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ident048\OneDrive - Rajamangala University of Technology Isan\Desktop\"/>
    </mc:Choice>
  </mc:AlternateContent>
  <bookViews>
    <workbookView xWindow="-105" yWindow="-105" windowWidth="23250" windowHeight="12450" tabRatio="773"/>
  </bookViews>
  <sheets>
    <sheet name="ปร.6" sheetId="5" r:id="rId1"/>
    <sheet name="ปร.5(ก)" sheetId="11" r:id="rId2"/>
    <sheet name="ปร.5(ข)" sheetId="12" r:id="rId3"/>
    <sheet name="ปร.4 " sheetId="10" r:id="rId4"/>
    <sheet name="ครุภัณฑ์" sheetId="14" r:id="rId5"/>
    <sheet name="factor f" sheetId="13" r:id="rId6"/>
    <sheet name="Structure" sheetId="6" state="hidden" r:id="rId7"/>
    <sheet name="Architecture " sheetId="7" state="hidden" r:id="rId8"/>
    <sheet name="Sannitary ware" sheetId="8" state="hidden" r:id="rId9"/>
  </sheets>
  <definedNames>
    <definedName name="_xlnm.Print_Area" localSheetId="5">'factor f'!$A$1:$H$39</definedName>
    <definedName name="_xlnm.Print_Area" localSheetId="4">ครุภัณฑ์!$C$1:$L$279</definedName>
    <definedName name="_xlnm.Print_Area" localSheetId="3">'ปร.4 '!$C$1:$L$638</definedName>
    <definedName name="_xlnm.Print_Area" localSheetId="1">'ปร.5(ก)'!$C$1:$I$27</definedName>
    <definedName name="_xlnm.Print_Area" localSheetId="2">'ปร.5(ข)'!$A$1:$G$25</definedName>
    <definedName name="_xlnm.Print_Area" localSheetId="0">ปร.6!$A$1:$E$47</definedName>
    <definedName name="_xlnm.Print_Titles" localSheetId="6">Structure!$A$1:$IX$9</definedName>
    <definedName name="_xlnm.Print_Titles" localSheetId="4">ครุภัณฑ์!$1:$8</definedName>
    <definedName name="_xlnm.Print_Titles" localSheetId="3">'ปร.4 '!$1:$8</definedName>
    <definedName name="_xlnm.Print_Titles" localSheetId="0">ปร.6!$1:$11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3" l="1"/>
  <c r="B22" i="5"/>
  <c r="D20" i="11"/>
  <c r="D18" i="11"/>
  <c r="B20" i="5" s="1"/>
  <c r="H86" i="10" l="1"/>
  <c r="H87" i="10"/>
  <c r="H88" i="10"/>
  <c r="H89" i="10"/>
  <c r="H592" i="10"/>
  <c r="H593" i="10"/>
  <c r="J86" i="10"/>
  <c r="J87" i="10"/>
  <c r="J88" i="10"/>
  <c r="J89" i="10"/>
  <c r="K89" i="10" s="1"/>
  <c r="J592" i="10"/>
  <c r="K592" i="10" s="1"/>
  <c r="J593" i="10"/>
  <c r="K87" i="10" l="1"/>
  <c r="K593" i="10"/>
  <c r="K88" i="10"/>
  <c r="K22" i="14"/>
  <c r="K86" i="10"/>
  <c r="E586" i="10"/>
  <c r="E514" i="10"/>
  <c r="E479" i="10"/>
  <c r="H22" i="14" l="1"/>
  <c r="E489" i="10"/>
  <c r="E480" i="10"/>
  <c r="E490" i="10" l="1"/>
  <c r="F14" i="12" l="1"/>
  <c r="DI63" i="7"/>
  <c r="CT214" i="7"/>
  <c r="CX218" i="7"/>
  <c r="CV216" i="7"/>
  <c r="CV224" i="7" s="1"/>
  <c r="CV227" i="7" s="1"/>
  <c r="CS9" i="7"/>
  <c r="CS8" i="7"/>
  <c r="CS7" i="7"/>
  <c r="DL61" i="7"/>
  <c r="CR9" i="7"/>
  <c r="CR8" i="7"/>
  <c r="CR7" i="7"/>
  <c r="DL60" i="7"/>
  <c r="CQ9" i="7"/>
  <c r="CQ8" i="7"/>
  <c r="CQ7" i="7"/>
  <c r="DL59" i="7"/>
  <c r="CP8" i="7"/>
  <c r="CP7" i="7"/>
  <c r="CO8" i="7"/>
  <c r="CO7" i="7"/>
  <c r="CN9" i="7"/>
  <c r="CN8" i="7"/>
  <c r="CN7" i="7"/>
  <c r="CK8" i="7"/>
  <c r="CM9" i="7"/>
  <c r="CM8" i="7"/>
  <c r="CM7" i="7"/>
  <c r="CL9" i="7"/>
  <c r="CL7" i="7"/>
  <c r="DL54" i="7"/>
  <c r="CL8" i="7"/>
  <c r="CJ9" i="7"/>
  <c r="CK7" i="7"/>
  <c r="DL53" i="7"/>
  <c r="CK9" i="7"/>
  <c r="CJ8" i="7"/>
  <c r="CJ7" i="7"/>
  <c r="CI9" i="7"/>
  <c r="CI8" i="7"/>
  <c r="CI7" i="7"/>
  <c r="DL51" i="7" s="1"/>
  <c r="CH9" i="7"/>
  <c r="CH8" i="7"/>
  <c r="CH7" i="7"/>
  <c r="CG9" i="7"/>
  <c r="CG7" i="7"/>
  <c r="DL49" i="7"/>
  <c r="CG8" i="7"/>
  <c r="CF9" i="7"/>
  <c r="CF7" i="7"/>
  <c r="CE9" i="7"/>
  <c r="CE7" i="7"/>
  <c r="DL47" i="7"/>
  <c r="CE8" i="7"/>
  <c r="CD9" i="7"/>
  <c r="CD7" i="7"/>
  <c r="CC9" i="7"/>
  <c r="CC7" i="7"/>
  <c r="DL45" i="7"/>
  <c r="CC8" i="7"/>
  <c r="CB9" i="7"/>
  <c r="CB8" i="7"/>
  <c r="CB7" i="7"/>
  <c r="CA9" i="7"/>
  <c r="BZ9" i="7"/>
  <c r="BY9" i="7"/>
  <c r="BX9" i="7"/>
  <c r="CA8" i="7"/>
  <c r="BZ8" i="7"/>
  <c r="BY8" i="7"/>
  <c r="BX8" i="7"/>
  <c r="CA7" i="7"/>
  <c r="BZ7" i="7"/>
  <c r="BY7" i="7"/>
  <c r="BX7" i="7"/>
  <c r="DL40" i="7" s="1"/>
  <c r="BW7" i="7"/>
  <c r="BF482" i="7"/>
  <c r="BG482" i="7"/>
  <c r="BH482" i="7"/>
  <c r="BI482" i="7"/>
  <c r="BJ482" i="7"/>
  <c r="BK482" i="7"/>
  <c r="BK485" i="7" s="1"/>
  <c r="BL482" i="7"/>
  <c r="BM482" i="7"/>
  <c r="BN482" i="7"/>
  <c r="BO482" i="7"/>
  <c r="BP482" i="7"/>
  <c r="BQ482" i="7"/>
  <c r="BQ485" i="7" s="1"/>
  <c r="BR482" i="7"/>
  <c r="BS482" i="7"/>
  <c r="BT482" i="7"/>
  <c r="BU482" i="7"/>
  <c r="BV482" i="7"/>
  <c r="BW482" i="7"/>
  <c r="BY482" i="7"/>
  <c r="BZ482" i="7"/>
  <c r="BF468" i="7"/>
  <c r="BG468" i="7"/>
  <c r="BH468" i="7"/>
  <c r="BI468" i="7"/>
  <c r="BI485" i="7" s="1"/>
  <c r="BJ468" i="7"/>
  <c r="BK468" i="7"/>
  <c r="BL468" i="7"/>
  <c r="BM468" i="7"/>
  <c r="BM485" i="7" s="1"/>
  <c r="BN468" i="7"/>
  <c r="BO468" i="7"/>
  <c r="BP468" i="7"/>
  <c r="BQ468" i="7"/>
  <c r="BR468" i="7"/>
  <c r="BS468" i="7"/>
  <c r="BS485" i="7" s="1"/>
  <c r="BT468" i="7"/>
  <c r="BU468" i="7"/>
  <c r="BV468" i="7"/>
  <c r="BW468" i="7"/>
  <c r="BY468" i="7"/>
  <c r="BZ468" i="7"/>
  <c r="BZ485" i="7" s="1"/>
  <c r="CA468" i="7"/>
  <c r="BF455" i="7"/>
  <c r="BF485" i="7" s="1"/>
  <c r="BG455" i="7"/>
  <c r="BH455" i="7"/>
  <c r="BI455" i="7"/>
  <c r="BJ455" i="7"/>
  <c r="BJ485" i="7" s="1"/>
  <c r="BK455" i="7"/>
  <c r="BL455" i="7"/>
  <c r="BM455" i="7"/>
  <c r="BN455" i="7"/>
  <c r="BO455" i="7"/>
  <c r="BP455" i="7"/>
  <c r="BP485" i="7" s="1"/>
  <c r="BQ455" i="7"/>
  <c r="BR455" i="7"/>
  <c r="BS455" i="7"/>
  <c r="BT455" i="7"/>
  <c r="BU455" i="7"/>
  <c r="BV455" i="7"/>
  <c r="BV485" i="7" s="1"/>
  <c r="BW455" i="7"/>
  <c r="BY455" i="7"/>
  <c r="BY485" i="7" s="1"/>
  <c r="BZ455" i="7"/>
  <c r="CA455" i="7"/>
  <c r="CB455" i="7"/>
  <c r="BF423" i="7"/>
  <c r="BG423" i="7"/>
  <c r="BH423" i="7"/>
  <c r="BH431" i="7" s="1"/>
  <c r="BI423" i="7"/>
  <c r="BJ423" i="7"/>
  <c r="BK423" i="7"/>
  <c r="BL423" i="7"/>
  <c r="BM423" i="7"/>
  <c r="BN423" i="7"/>
  <c r="BN431" i="7" s="1"/>
  <c r="BO423" i="7"/>
  <c r="BP423" i="7"/>
  <c r="BQ423" i="7"/>
  <c r="BR423" i="7"/>
  <c r="BS423" i="7"/>
  <c r="BT423" i="7"/>
  <c r="BU423" i="7"/>
  <c r="BV423" i="7"/>
  <c r="BW423" i="7"/>
  <c r="BY423" i="7"/>
  <c r="BZ423" i="7"/>
  <c r="CA423" i="7"/>
  <c r="BF411" i="7"/>
  <c r="BG411" i="7"/>
  <c r="BH411" i="7"/>
  <c r="BI411" i="7"/>
  <c r="BJ411" i="7"/>
  <c r="BK411" i="7"/>
  <c r="BL411" i="7"/>
  <c r="BM411" i="7"/>
  <c r="BN411" i="7"/>
  <c r="BO411" i="7"/>
  <c r="BO431" i="7" s="1"/>
  <c r="BP411" i="7"/>
  <c r="BQ411" i="7"/>
  <c r="BR411" i="7"/>
  <c r="BS411" i="7"/>
  <c r="BT411" i="7"/>
  <c r="BU411" i="7"/>
  <c r="BU431" i="7" s="1"/>
  <c r="BV411" i="7"/>
  <c r="BW411" i="7"/>
  <c r="BY411" i="7"/>
  <c r="BZ411" i="7"/>
  <c r="CA411" i="7"/>
  <c r="CB411" i="7"/>
  <c r="BF383" i="7"/>
  <c r="BG383" i="7"/>
  <c r="BG431" i="7" s="1"/>
  <c r="BH383" i="7"/>
  <c r="BI383" i="7"/>
  <c r="BJ383" i="7"/>
  <c r="BK383" i="7"/>
  <c r="BL383" i="7"/>
  <c r="BM383" i="7"/>
  <c r="BM431" i="7" s="1"/>
  <c r="BN383" i="7"/>
  <c r="BO383" i="7"/>
  <c r="BP383" i="7"/>
  <c r="BQ383" i="7"/>
  <c r="BR383" i="7"/>
  <c r="BS383" i="7"/>
  <c r="BT383" i="7"/>
  <c r="BU383" i="7"/>
  <c r="BV383" i="7"/>
  <c r="BW383" i="7"/>
  <c r="BY383" i="7"/>
  <c r="BF347" i="7"/>
  <c r="BF431" i="7" s="1"/>
  <c r="BG347" i="7"/>
  <c r="BH347" i="7"/>
  <c r="BI347" i="7"/>
  <c r="BJ347" i="7"/>
  <c r="BK347" i="7"/>
  <c r="BL347" i="7"/>
  <c r="BM347" i="7"/>
  <c r="BN347" i="7"/>
  <c r="BO347" i="7"/>
  <c r="BP347" i="7"/>
  <c r="BP431" i="7" s="1"/>
  <c r="BQ347" i="7"/>
  <c r="BR347" i="7"/>
  <c r="BS347" i="7"/>
  <c r="BT347" i="7"/>
  <c r="BU347" i="7"/>
  <c r="BV347" i="7"/>
  <c r="BV431" i="7" s="1"/>
  <c r="BW347" i="7"/>
  <c r="BF282" i="7"/>
  <c r="BG282" i="7"/>
  <c r="BH282" i="7"/>
  <c r="BI282" i="7"/>
  <c r="BJ282" i="7"/>
  <c r="BK282" i="7"/>
  <c r="BL282" i="7"/>
  <c r="BM282" i="7"/>
  <c r="BN282" i="7"/>
  <c r="BO282" i="7"/>
  <c r="BP282" i="7"/>
  <c r="BQ282" i="7"/>
  <c r="BR282" i="7"/>
  <c r="BS282" i="7"/>
  <c r="BT282" i="7"/>
  <c r="BU282" i="7"/>
  <c r="BV282" i="7"/>
  <c r="BW282" i="7"/>
  <c r="BY282" i="7"/>
  <c r="BZ282" i="7"/>
  <c r="BF268" i="7"/>
  <c r="BG268" i="7"/>
  <c r="BH268" i="7"/>
  <c r="BI268" i="7"/>
  <c r="BJ268" i="7"/>
  <c r="BK268" i="7"/>
  <c r="BL268" i="7"/>
  <c r="BM268" i="7"/>
  <c r="BN268" i="7"/>
  <c r="BO268" i="7"/>
  <c r="BP268" i="7"/>
  <c r="BP285" i="7" s="1"/>
  <c r="BQ268" i="7"/>
  <c r="BR268" i="7"/>
  <c r="BS268" i="7"/>
  <c r="BT268" i="7"/>
  <c r="BT285" i="7" s="1"/>
  <c r="BU268" i="7"/>
  <c r="BV268" i="7"/>
  <c r="BW268" i="7"/>
  <c r="BY268" i="7"/>
  <c r="BZ268" i="7"/>
  <c r="CA268" i="7"/>
  <c r="CB268" i="7"/>
  <c r="BF255" i="7"/>
  <c r="BF285" i="7" s="1"/>
  <c r="BG255" i="7"/>
  <c r="BH255" i="7"/>
  <c r="BI255" i="7"/>
  <c r="BJ255" i="7"/>
  <c r="BK255" i="7"/>
  <c r="BL255" i="7"/>
  <c r="BL285" i="7" s="1"/>
  <c r="BM255" i="7"/>
  <c r="BN255" i="7"/>
  <c r="BO255" i="7"/>
  <c r="BP255" i="7"/>
  <c r="BQ255" i="7"/>
  <c r="BR255" i="7"/>
  <c r="BR285" i="7" s="1"/>
  <c r="BS255" i="7"/>
  <c r="BT255" i="7"/>
  <c r="BU255" i="7"/>
  <c r="BV255" i="7"/>
  <c r="BW255" i="7"/>
  <c r="BY255" i="7"/>
  <c r="BY285" i="7" s="1"/>
  <c r="BZ255" i="7"/>
  <c r="CA255" i="7"/>
  <c r="CB255" i="7"/>
  <c r="BF224" i="7"/>
  <c r="BG224" i="7"/>
  <c r="BH224" i="7"/>
  <c r="BI224" i="7"/>
  <c r="BJ224" i="7"/>
  <c r="BK224" i="7"/>
  <c r="BL224" i="7"/>
  <c r="BM224" i="7"/>
  <c r="BN224" i="7"/>
  <c r="BO224" i="7"/>
  <c r="BP224" i="7"/>
  <c r="BQ224" i="7"/>
  <c r="BR224" i="7"/>
  <c r="BS224" i="7"/>
  <c r="BT224" i="7"/>
  <c r="BU224" i="7"/>
  <c r="BV224" i="7"/>
  <c r="BW224" i="7"/>
  <c r="BF209" i="7"/>
  <c r="BF227" i="7" s="1"/>
  <c r="BG209" i="7"/>
  <c r="BH209" i="7"/>
  <c r="BH227" i="7" s="1"/>
  <c r="BI209" i="7"/>
  <c r="BJ209" i="7"/>
  <c r="BK209" i="7"/>
  <c r="BL209" i="7"/>
  <c r="BL227" i="7" s="1"/>
  <c r="BM209" i="7"/>
  <c r="BN209" i="7"/>
  <c r="BN227" i="7" s="1"/>
  <c r="BO209" i="7"/>
  <c r="BP209" i="7"/>
  <c r="BP227" i="7" s="1"/>
  <c r="BQ209" i="7"/>
  <c r="BR209" i="7"/>
  <c r="BR227" i="7" s="1"/>
  <c r="BS209" i="7"/>
  <c r="BT209" i="7"/>
  <c r="BT227" i="7" s="1"/>
  <c r="BU209" i="7"/>
  <c r="BV209" i="7"/>
  <c r="BV227" i="7" s="1"/>
  <c r="BW209" i="7"/>
  <c r="BF165" i="7"/>
  <c r="BG165" i="7"/>
  <c r="BH165" i="7"/>
  <c r="BI165" i="7"/>
  <c r="BJ165" i="7"/>
  <c r="BK165" i="7"/>
  <c r="BL165" i="7"/>
  <c r="BM165" i="7"/>
  <c r="BN165" i="7"/>
  <c r="BO165" i="7"/>
  <c r="BP165" i="7"/>
  <c r="BQ165" i="7"/>
  <c r="BR165" i="7"/>
  <c r="BS165" i="7"/>
  <c r="BT165" i="7"/>
  <c r="BU165" i="7"/>
  <c r="BV165" i="7"/>
  <c r="BW165" i="7"/>
  <c r="BF153" i="7"/>
  <c r="BG153" i="7"/>
  <c r="BH153" i="7"/>
  <c r="BI153" i="7"/>
  <c r="BJ153" i="7"/>
  <c r="BK153" i="7"/>
  <c r="BL153" i="7"/>
  <c r="BM153" i="7"/>
  <c r="BN153" i="7"/>
  <c r="BO153" i="7"/>
  <c r="BP153" i="7"/>
  <c r="BQ153" i="7"/>
  <c r="BR153" i="7"/>
  <c r="BS153" i="7"/>
  <c r="BT153" i="7"/>
  <c r="BT173" i="7" s="1"/>
  <c r="BU153" i="7"/>
  <c r="BV153" i="7"/>
  <c r="BW153" i="7"/>
  <c r="BF98" i="7"/>
  <c r="BF65" i="7"/>
  <c r="BV65" i="7"/>
  <c r="BV173" i="7" s="1"/>
  <c r="BP65" i="7"/>
  <c r="BV98" i="7"/>
  <c r="BP98" i="7"/>
  <c r="BR9" i="7"/>
  <c r="BR7" i="7"/>
  <c r="BQ9" i="7"/>
  <c r="BQ7" i="7"/>
  <c r="BP9" i="7"/>
  <c r="BP7" i="7"/>
  <c r="DL30" i="7"/>
  <c r="BO9" i="7"/>
  <c r="BO7" i="7"/>
  <c r="BN9" i="7"/>
  <c r="BN7" i="7"/>
  <c r="BM7" i="7"/>
  <c r="BL9" i="7"/>
  <c r="BL7" i="7"/>
  <c r="BK9" i="7"/>
  <c r="BK7" i="7"/>
  <c r="BJ9" i="7"/>
  <c r="BJ7" i="7"/>
  <c r="BI9" i="7"/>
  <c r="BI7" i="7"/>
  <c r="BH9" i="7"/>
  <c r="BH7" i="7"/>
  <c r="BG9" i="7"/>
  <c r="BG7" i="7"/>
  <c r="BF9" i="7"/>
  <c r="BF7" i="7"/>
  <c r="DL20" i="7"/>
  <c r="BE7" i="7"/>
  <c r="BE65" i="7"/>
  <c r="BD9" i="7"/>
  <c r="BD7" i="7"/>
  <c r="DL18" i="7" s="1"/>
  <c r="BC9" i="7"/>
  <c r="BE9" i="7"/>
  <c r="BC7" i="7"/>
  <c r="BB7" i="7"/>
  <c r="BB9" i="7"/>
  <c r="BA9" i="7"/>
  <c r="BA7" i="7"/>
  <c r="AZ9" i="7"/>
  <c r="AZ7" i="7"/>
  <c r="CR65" i="7"/>
  <c r="CS65" i="7"/>
  <c r="CR98" i="7"/>
  <c r="CS98" i="7"/>
  <c r="CR153" i="7"/>
  <c r="CS153" i="7"/>
  <c r="CR165" i="7"/>
  <c r="CS165" i="7"/>
  <c r="CR209" i="7"/>
  <c r="CS209" i="7"/>
  <c r="CS227" i="7" s="1"/>
  <c r="CR224" i="7"/>
  <c r="CS224" i="7"/>
  <c r="CR255" i="7"/>
  <c r="CS255" i="7"/>
  <c r="CR268" i="7"/>
  <c r="CS268" i="7"/>
  <c r="CR282" i="7"/>
  <c r="CS282" i="7"/>
  <c r="CR347" i="7"/>
  <c r="CS347" i="7"/>
  <c r="CR383" i="7"/>
  <c r="CS383" i="7"/>
  <c r="CR411" i="7"/>
  <c r="CS411" i="7"/>
  <c r="CR423" i="7"/>
  <c r="CS423" i="7"/>
  <c r="CR442" i="7"/>
  <c r="CQ442" i="7"/>
  <c r="CP442" i="7"/>
  <c r="CO442" i="7"/>
  <c r="CN442" i="7"/>
  <c r="CM442" i="7"/>
  <c r="CJ442" i="7"/>
  <c r="CI442" i="7"/>
  <c r="CH442" i="7"/>
  <c r="CF442" i="7"/>
  <c r="CD442" i="7"/>
  <c r="CB442" i="7"/>
  <c r="CA442" i="7"/>
  <c r="BZ442" i="7"/>
  <c r="BU442" i="7"/>
  <c r="BT442" i="7"/>
  <c r="BS442" i="7"/>
  <c r="BR442" i="7"/>
  <c r="BQ442" i="7"/>
  <c r="BO442" i="7"/>
  <c r="BN442" i="7"/>
  <c r="BM442" i="7"/>
  <c r="BL442" i="7"/>
  <c r="BK442" i="7"/>
  <c r="BJ442" i="7"/>
  <c r="BI442" i="7"/>
  <c r="BH442" i="7"/>
  <c r="BG442" i="7"/>
  <c r="BE442" i="7"/>
  <c r="BD442" i="7"/>
  <c r="BC442" i="7"/>
  <c r="BB442" i="7"/>
  <c r="CR441" i="7"/>
  <c r="CQ441" i="7"/>
  <c r="CP441" i="7"/>
  <c r="CO441" i="7"/>
  <c r="CN441" i="7"/>
  <c r="CM441" i="7"/>
  <c r="CJ441" i="7"/>
  <c r="CI441" i="7"/>
  <c r="CH441" i="7"/>
  <c r="CF441" i="7"/>
  <c r="CD441" i="7"/>
  <c r="CB441" i="7"/>
  <c r="CA441" i="7"/>
  <c r="BZ441" i="7"/>
  <c r="BI441" i="7"/>
  <c r="BH441" i="7"/>
  <c r="CS440" i="7"/>
  <c r="CR440" i="7"/>
  <c r="CQ440" i="7"/>
  <c r="CP440" i="7"/>
  <c r="CO440" i="7"/>
  <c r="CN440" i="7"/>
  <c r="CM440" i="7"/>
  <c r="CJ440" i="7"/>
  <c r="CI440" i="7"/>
  <c r="CH440" i="7"/>
  <c r="CF440" i="7"/>
  <c r="CD440" i="7"/>
  <c r="CB440" i="7"/>
  <c r="CA440" i="7"/>
  <c r="BZ440" i="7"/>
  <c r="BU440" i="7"/>
  <c r="BT440" i="7"/>
  <c r="BS440" i="7"/>
  <c r="BR440" i="7"/>
  <c r="BQ440" i="7"/>
  <c r="BO440" i="7"/>
  <c r="BN440" i="7"/>
  <c r="BM440" i="7"/>
  <c r="BL440" i="7"/>
  <c r="BK440" i="7"/>
  <c r="BJ440" i="7"/>
  <c r="BI440" i="7"/>
  <c r="BH440" i="7"/>
  <c r="BG440" i="7"/>
  <c r="BE440" i="7"/>
  <c r="BD440" i="7"/>
  <c r="BC440" i="7"/>
  <c r="BB440" i="7"/>
  <c r="CR295" i="7"/>
  <c r="CQ295" i="7"/>
  <c r="CP295" i="7"/>
  <c r="CO295" i="7"/>
  <c r="CN295" i="7"/>
  <c r="CM295" i="7"/>
  <c r="CJ295" i="7"/>
  <c r="CI295" i="7"/>
  <c r="CH295" i="7"/>
  <c r="CF295" i="7"/>
  <c r="CD295" i="7"/>
  <c r="CB295" i="7"/>
  <c r="CA295" i="7"/>
  <c r="BZ295" i="7"/>
  <c r="BU295" i="7"/>
  <c r="BT295" i="7"/>
  <c r="BS295" i="7"/>
  <c r="BR295" i="7"/>
  <c r="BQ295" i="7"/>
  <c r="BO295" i="7"/>
  <c r="BN295" i="7"/>
  <c r="BM295" i="7"/>
  <c r="BL295" i="7"/>
  <c r="BK295" i="7"/>
  <c r="BJ295" i="7"/>
  <c r="BI295" i="7"/>
  <c r="BH295" i="7"/>
  <c r="BG295" i="7"/>
  <c r="BE295" i="7"/>
  <c r="BD295" i="7"/>
  <c r="BC295" i="7"/>
  <c r="BB295" i="7"/>
  <c r="CR294" i="7"/>
  <c r="CQ294" i="7"/>
  <c r="CP294" i="7"/>
  <c r="CO294" i="7"/>
  <c r="CN294" i="7"/>
  <c r="CM294" i="7"/>
  <c r="CJ294" i="7"/>
  <c r="CI294" i="7"/>
  <c r="CH294" i="7"/>
  <c r="CF294" i="7"/>
  <c r="CD294" i="7"/>
  <c r="CB294" i="7"/>
  <c r="CA294" i="7"/>
  <c r="BZ294" i="7"/>
  <c r="BI294" i="7"/>
  <c r="BH294" i="7"/>
  <c r="CS293" i="7"/>
  <c r="CR293" i="7"/>
  <c r="CQ293" i="7"/>
  <c r="CP293" i="7"/>
  <c r="CO293" i="7"/>
  <c r="CN293" i="7"/>
  <c r="CM293" i="7"/>
  <c r="CJ293" i="7"/>
  <c r="CI293" i="7"/>
  <c r="CH293" i="7"/>
  <c r="CF293" i="7"/>
  <c r="CD293" i="7"/>
  <c r="CB293" i="7"/>
  <c r="CA293" i="7"/>
  <c r="BZ293" i="7"/>
  <c r="BU293" i="7"/>
  <c r="BT293" i="7"/>
  <c r="BS293" i="7"/>
  <c r="BR293" i="7"/>
  <c r="BQ293" i="7"/>
  <c r="BO293" i="7"/>
  <c r="BN293" i="7"/>
  <c r="BM293" i="7"/>
  <c r="BL293" i="7"/>
  <c r="BK293" i="7"/>
  <c r="BJ293" i="7"/>
  <c r="BI293" i="7"/>
  <c r="BH293" i="7"/>
  <c r="BG293" i="7"/>
  <c r="BE293" i="7"/>
  <c r="BD293" i="7"/>
  <c r="BC293" i="7"/>
  <c r="BB293" i="7"/>
  <c r="CR241" i="7"/>
  <c r="CQ241" i="7"/>
  <c r="CP241" i="7"/>
  <c r="CO241" i="7"/>
  <c r="CN241" i="7"/>
  <c r="CM241" i="7"/>
  <c r="CJ241" i="7"/>
  <c r="CI241" i="7"/>
  <c r="CH241" i="7"/>
  <c r="CF241" i="7"/>
  <c r="CD241" i="7"/>
  <c r="CB241" i="7"/>
  <c r="CA241" i="7"/>
  <c r="BZ241" i="7"/>
  <c r="BU241" i="7"/>
  <c r="BT241" i="7"/>
  <c r="BS241" i="7"/>
  <c r="BR241" i="7"/>
  <c r="BQ241" i="7"/>
  <c r="BO241" i="7"/>
  <c r="BN241" i="7"/>
  <c r="BM241" i="7"/>
  <c r="BL241" i="7"/>
  <c r="BK241" i="7"/>
  <c r="BJ241" i="7"/>
  <c r="BI241" i="7"/>
  <c r="BH241" i="7"/>
  <c r="BG241" i="7"/>
  <c r="BE241" i="7"/>
  <c r="BD241" i="7"/>
  <c r="BC241" i="7"/>
  <c r="BB241" i="7"/>
  <c r="CR240" i="7"/>
  <c r="CQ240" i="7"/>
  <c r="CP240" i="7"/>
  <c r="CO240" i="7"/>
  <c r="CN240" i="7"/>
  <c r="CM240" i="7"/>
  <c r="CJ240" i="7"/>
  <c r="CI240" i="7"/>
  <c r="CH240" i="7"/>
  <c r="CF240" i="7"/>
  <c r="CD240" i="7"/>
  <c r="CB240" i="7"/>
  <c r="CA240" i="7"/>
  <c r="BZ240" i="7"/>
  <c r="BI240" i="7"/>
  <c r="BH240" i="7"/>
  <c r="CS239" i="7"/>
  <c r="CR239" i="7"/>
  <c r="CQ239" i="7"/>
  <c r="CP239" i="7"/>
  <c r="CO239" i="7"/>
  <c r="CN239" i="7"/>
  <c r="CM239" i="7"/>
  <c r="CJ239" i="7"/>
  <c r="CI239" i="7"/>
  <c r="CH239" i="7"/>
  <c r="CF239" i="7"/>
  <c r="CD239" i="7"/>
  <c r="CB239" i="7"/>
  <c r="CA239" i="7"/>
  <c r="BZ239" i="7"/>
  <c r="BU239" i="7"/>
  <c r="BT239" i="7"/>
  <c r="BS239" i="7"/>
  <c r="BR239" i="7"/>
  <c r="BQ239" i="7"/>
  <c r="BO239" i="7"/>
  <c r="BN239" i="7"/>
  <c r="BM239" i="7"/>
  <c r="BL239" i="7"/>
  <c r="BK239" i="7"/>
  <c r="BJ239" i="7"/>
  <c r="BI239" i="7"/>
  <c r="BH239" i="7"/>
  <c r="BG239" i="7"/>
  <c r="BE239" i="7"/>
  <c r="BD239" i="7"/>
  <c r="BC239" i="7"/>
  <c r="BB239" i="7"/>
  <c r="CR184" i="7"/>
  <c r="CQ184" i="7"/>
  <c r="CP184" i="7"/>
  <c r="CO184" i="7"/>
  <c r="CN184" i="7"/>
  <c r="CM184" i="7"/>
  <c r="CJ184" i="7"/>
  <c r="CI184" i="7"/>
  <c r="CH184" i="7"/>
  <c r="CF184" i="7"/>
  <c r="CD184" i="7"/>
  <c r="CB184" i="7"/>
  <c r="CA184" i="7"/>
  <c r="BZ184" i="7"/>
  <c r="BU184" i="7"/>
  <c r="BT184" i="7"/>
  <c r="BS184" i="7"/>
  <c r="BR184" i="7"/>
  <c r="BQ184" i="7"/>
  <c r="BO184" i="7"/>
  <c r="BN184" i="7"/>
  <c r="BM184" i="7"/>
  <c r="BL184" i="7"/>
  <c r="BK184" i="7"/>
  <c r="BJ184" i="7"/>
  <c r="BI184" i="7"/>
  <c r="BH184" i="7"/>
  <c r="BG184" i="7"/>
  <c r="BE184" i="7"/>
  <c r="BD184" i="7"/>
  <c r="BC184" i="7"/>
  <c r="BB184" i="7"/>
  <c r="CR183" i="7"/>
  <c r="CQ183" i="7"/>
  <c r="CP183" i="7"/>
  <c r="CO183" i="7"/>
  <c r="CN183" i="7"/>
  <c r="CM183" i="7"/>
  <c r="CJ183" i="7"/>
  <c r="CI183" i="7"/>
  <c r="CH183" i="7"/>
  <c r="CF183" i="7"/>
  <c r="CD183" i="7"/>
  <c r="CB183" i="7"/>
  <c r="CA183" i="7"/>
  <c r="BZ183" i="7"/>
  <c r="BI183" i="7"/>
  <c r="BH183" i="7"/>
  <c r="CS182" i="7"/>
  <c r="CR182" i="7"/>
  <c r="CQ182" i="7"/>
  <c r="CP182" i="7"/>
  <c r="CO182" i="7"/>
  <c r="CN182" i="7"/>
  <c r="CM182" i="7"/>
  <c r="CJ182" i="7"/>
  <c r="CI182" i="7"/>
  <c r="CH182" i="7"/>
  <c r="CF182" i="7"/>
  <c r="CD182" i="7"/>
  <c r="CB182" i="7"/>
  <c r="CA182" i="7"/>
  <c r="BZ182" i="7"/>
  <c r="BU182" i="7"/>
  <c r="BT182" i="7"/>
  <c r="BS182" i="7"/>
  <c r="BR182" i="7"/>
  <c r="BQ182" i="7"/>
  <c r="BO182" i="7"/>
  <c r="BN182" i="7"/>
  <c r="BM182" i="7"/>
  <c r="BL182" i="7"/>
  <c r="BK182" i="7"/>
  <c r="BJ182" i="7"/>
  <c r="BI182" i="7"/>
  <c r="BH182" i="7"/>
  <c r="BG182" i="7"/>
  <c r="BE182" i="7"/>
  <c r="BD182" i="7"/>
  <c r="BC182" i="7"/>
  <c r="BB182" i="7"/>
  <c r="BT65" i="7"/>
  <c r="BU65" i="7"/>
  <c r="BU173" i="7" s="1"/>
  <c r="BT98" i="7"/>
  <c r="BU98" i="7"/>
  <c r="BW485" i="7"/>
  <c r="BO485" i="7"/>
  <c r="BG485" i="7"/>
  <c r="BW285" i="7"/>
  <c r="BS285" i="7"/>
  <c r="BR485" i="7"/>
  <c r="BH285" i="7"/>
  <c r="BS431" i="7"/>
  <c r="BU485" i="7"/>
  <c r="BT431" i="7"/>
  <c r="BN485" i="7"/>
  <c r="BZ285" i="7"/>
  <c r="BU285" i="7"/>
  <c r="BR431" i="7"/>
  <c r="BT485" i="7"/>
  <c r="BL485" i="7"/>
  <c r="BH485" i="7"/>
  <c r="BW227" i="7"/>
  <c r="BS227" i="7"/>
  <c r="BO227" i="7"/>
  <c r="BK227" i="7"/>
  <c r="BG227" i="7"/>
  <c r="BO285" i="7"/>
  <c r="BK285" i="7"/>
  <c r="BG285" i="7"/>
  <c r="BP173" i="7"/>
  <c r="BJ431" i="7"/>
  <c r="BF173" i="7"/>
  <c r="BJ227" i="7"/>
  <c r="BN285" i="7"/>
  <c r="BL431" i="7"/>
  <c r="BU227" i="7"/>
  <c r="BQ227" i="7"/>
  <c r="BM227" i="7"/>
  <c r="BI227" i="7"/>
  <c r="BQ285" i="7"/>
  <c r="BM285" i="7"/>
  <c r="BI285" i="7"/>
  <c r="BQ431" i="7"/>
  <c r="BI431" i="7"/>
  <c r="CR227" i="7"/>
  <c r="CR173" i="7"/>
  <c r="CS285" i="7"/>
  <c r="CR285" i="7"/>
  <c r="CS431" i="7"/>
  <c r="CR431" i="7"/>
  <c r="AU65" i="7"/>
  <c r="AU98" i="7"/>
  <c r="AU153" i="7"/>
  <c r="AU165" i="7"/>
  <c r="AU209" i="7"/>
  <c r="AU227" i="7" s="1"/>
  <c r="AU224" i="7"/>
  <c r="AU255" i="7"/>
  <c r="AU268" i="7"/>
  <c r="AU282" i="7"/>
  <c r="AU347" i="7"/>
  <c r="AU383" i="7"/>
  <c r="AU411" i="7"/>
  <c r="AU423" i="7"/>
  <c r="AU455" i="7"/>
  <c r="AU468" i="7"/>
  <c r="AU482" i="7"/>
  <c r="AU285" i="7"/>
  <c r="AU431" i="7"/>
  <c r="AY262" i="7"/>
  <c r="CY423" i="7"/>
  <c r="CY411" i="7"/>
  <c r="CY383" i="7"/>
  <c r="CY165" i="7"/>
  <c r="CY153" i="7"/>
  <c r="CY98" i="7"/>
  <c r="CY65" i="7"/>
  <c r="X78" i="8"/>
  <c r="W78" i="8"/>
  <c r="V78" i="8"/>
  <c r="U78" i="8"/>
  <c r="Y78" i="8" s="1"/>
  <c r="T78" i="8"/>
  <c r="S78" i="8"/>
  <c r="R78" i="8"/>
  <c r="W76" i="8"/>
  <c r="V76" i="8"/>
  <c r="U76" i="8"/>
  <c r="Y76" i="8" s="1"/>
  <c r="T76" i="8"/>
  <c r="S76" i="8"/>
  <c r="R76" i="8"/>
  <c r="X67" i="8"/>
  <c r="Y67" i="8" s="1"/>
  <c r="X66" i="8"/>
  <c r="W66" i="8"/>
  <c r="Y66" i="8" s="1"/>
  <c r="V66" i="8"/>
  <c r="U66" i="8"/>
  <c r="T66" i="8"/>
  <c r="S66" i="8"/>
  <c r="R66" i="8"/>
  <c r="X65" i="8"/>
  <c r="W65" i="8"/>
  <c r="V65" i="8"/>
  <c r="U65" i="8"/>
  <c r="T65" i="8"/>
  <c r="S65" i="8"/>
  <c r="R65" i="8"/>
  <c r="Y65" i="8" s="1"/>
  <c r="X64" i="8"/>
  <c r="W64" i="8"/>
  <c r="V64" i="8"/>
  <c r="U64" i="8"/>
  <c r="T64" i="8"/>
  <c r="S64" i="8"/>
  <c r="Y64" i="8" s="1"/>
  <c r="R64" i="8"/>
  <c r="X63" i="8"/>
  <c r="W63" i="8"/>
  <c r="V63" i="8"/>
  <c r="U63" i="8"/>
  <c r="T63" i="8"/>
  <c r="S63" i="8"/>
  <c r="R63" i="8"/>
  <c r="X61" i="8"/>
  <c r="W61" i="8"/>
  <c r="V61" i="8"/>
  <c r="U61" i="8"/>
  <c r="T61" i="8"/>
  <c r="S61" i="8"/>
  <c r="R61" i="8"/>
  <c r="X60" i="8"/>
  <c r="W60" i="8"/>
  <c r="V60" i="8"/>
  <c r="U60" i="8"/>
  <c r="T60" i="8"/>
  <c r="S60" i="8"/>
  <c r="R60" i="8"/>
  <c r="X59" i="8"/>
  <c r="W59" i="8"/>
  <c r="V59" i="8"/>
  <c r="U59" i="8"/>
  <c r="T59" i="8"/>
  <c r="S59" i="8"/>
  <c r="R59" i="8"/>
  <c r="CY173" i="7"/>
  <c r="X53" i="8"/>
  <c r="W53" i="8"/>
  <c r="V53" i="8"/>
  <c r="U53" i="8"/>
  <c r="T53" i="8"/>
  <c r="S53" i="8"/>
  <c r="Y53" i="8" s="1"/>
  <c r="R53" i="8"/>
  <c r="W51" i="8"/>
  <c r="V51" i="8"/>
  <c r="U51" i="8"/>
  <c r="T51" i="8"/>
  <c r="S51" i="8"/>
  <c r="Y51" i="8" s="1"/>
  <c r="R51" i="8"/>
  <c r="X42" i="8"/>
  <c r="Y42" i="8" s="1"/>
  <c r="X41" i="8"/>
  <c r="W41" i="8"/>
  <c r="V41" i="8"/>
  <c r="U41" i="8"/>
  <c r="T41" i="8"/>
  <c r="S41" i="8"/>
  <c r="R41" i="8"/>
  <c r="X40" i="8"/>
  <c r="W40" i="8"/>
  <c r="Y40" i="8" s="1"/>
  <c r="V40" i="8"/>
  <c r="U40" i="8"/>
  <c r="T40" i="8"/>
  <c r="S40" i="8"/>
  <c r="R40" i="8"/>
  <c r="X39" i="8"/>
  <c r="W39" i="8"/>
  <c r="V39" i="8"/>
  <c r="U39" i="8"/>
  <c r="T39" i="8"/>
  <c r="S39" i="8"/>
  <c r="R39" i="8"/>
  <c r="Y39" i="8" s="1"/>
  <c r="X38" i="8"/>
  <c r="W38" i="8"/>
  <c r="V38" i="8"/>
  <c r="U38" i="8"/>
  <c r="T38" i="8"/>
  <c r="S38" i="8"/>
  <c r="Y38" i="8" s="1"/>
  <c r="R38" i="8"/>
  <c r="X36" i="8"/>
  <c r="W36" i="8"/>
  <c r="V36" i="8"/>
  <c r="U36" i="8"/>
  <c r="T36" i="8"/>
  <c r="Y36" i="8" s="1"/>
  <c r="S36" i="8"/>
  <c r="R36" i="8"/>
  <c r="X35" i="8"/>
  <c r="W35" i="8"/>
  <c r="V35" i="8"/>
  <c r="U35" i="8"/>
  <c r="T35" i="8"/>
  <c r="S35" i="8"/>
  <c r="R35" i="8"/>
  <c r="X34" i="8"/>
  <c r="W34" i="8"/>
  <c r="V34" i="8"/>
  <c r="U34" i="8"/>
  <c r="T34" i="8"/>
  <c r="S34" i="8"/>
  <c r="R34" i="8"/>
  <c r="X27" i="8"/>
  <c r="W27" i="8"/>
  <c r="W25" i="8"/>
  <c r="V27" i="8"/>
  <c r="V25" i="8"/>
  <c r="U27" i="8"/>
  <c r="T27" i="8"/>
  <c r="S27" i="8"/>
  <c r="Y27" i="8" s="1"/>
  <c r="R27" i="8"/>
  <c r="W15" i="8"/>
  <c r="V15" i="8"/>
  <c r="W14" i="8"/>
  <c r="V14" i="8"/>
  <c r="W13" i="8"/>
  <c r="V13" i="8"/>
  <c r="W12" i="8"/>
  <c r="V12" i="8"/>
  <c r="W10" i="8"/>
  <c r="V10" i="8"/>
  <c r="W9" i="8"/>
  <c r="V9" i="8"/>
  <c r="W8" i="8"/>
  <c r="V8" i="8"/>
  <c r="U25" i="8"/>
  <c r="T25" i="8"/>
  <c r="S25" i="8"/>
  <c r="Y25" i="8" s="1"/>
  <c r="R25" i="8"/>
  <c r="U15" i="8"/>
  <c r="T15" i="8"/>
  <c r="S15" i="8"/>
  <c r="R15" i="8"/>
  <c r="U14" i="8"/>
  <c r="T14" i="8"/>
  <c r="S14" i="8"/>
  <c r="R14" i="8"/>
  <c r="U13" i="8"/>
  <c r="T13" i="8"/>
  <c r="S13" i="8"/>
  <c r="Y13" i="8" s="1"/>
  <c r="R13" i="8"/>
  <c r="U12" i="8"/>
  <c r="T12" i="8"/>
  <c r="S12" i="8"/>
  <c r="R12" i="8"/>
  <c r="U10" i="8"/>
  <c r="T10" i="8"/>
  <c r="S10" i="8"/>
  <c r="R10" i="8"/>
  <c r="U9" i="8"/>
  <c r="T9" i="8"/>
  <c r="S9" i="8"/>
  <c r="R9" i="8"/>
  <c r="U8" i="8"/>
  <c r="T8" i="8"/>
  <c r="S8" i="8"/>
  <c r="R8" i="8"/>
  <c r="Y7" i="8"/>
  <c r="Y37" i="8"/>
  <c r="Y43" i="8"/>
  <c r="Y44" i="8"/>
  <c r="Y45" i="8"/>
  <c r="Y46" i="8"/>
  <c r="Y47" i="8"/>
  <c r="Y48" i="8"/>
  <c r="Y49" i="8"/>
  <c r="Y50" i="8"/>
  <c r="Y52" i="8"/>
  <c r="Y54" i="8"/>
  <c r="Y33" i="8"/>
  <c r="Y60" i="8"/>
  <c r="Y62" i="8"/>
  <c r="Y68" i="8"/>
  <c r="Y69" i="8"/>
  <c r="Y70" i="8"/>
  <c r="Y71" i="8"/>
  <c r="Y72" i="8"/>
  <c r="Y73" i="8"/>
  <c r="Y74" i="8"/>
  <c r="Y75" i="8"/>
  <c r="Y77" i="8"/>
  <c r="Y79" i="8"/>
  <c r="Y58" i="8"/>
  <c r="H58" i="8"/>
  <c r="H33" i="8"/>
  <c r="Y11" i="8"/>
  <c r="Y17" i="8"/>
  <c r="Y18" i="8"/>
  <c r="Y19" i="8"/>
  <c r="Y20" i="8"/>
  <c r="Y21" i="8"/>
  <c r="Y22" i="8"/>
  <c r="Y23" i="8"/>
  <c r="Y24" i="8"/>
  <c r="Y26" i="8"/>
  <c r="Y28" i="8"/>
  <c r="X16" i="8"/>
  <c r="Y16" i="8" s="1"/>
  <c r="X15" i="8"/>
  <c r="X14" i="8"/>
  <c r="X13" i="8"/>
  <c r="X12" i="8"/>
  <c r="X10" i="8"/>
  <c r="X9" i="8"/>
  <c r="X8" i="8"/>
  <c r="Y15" i="8"/>
  <c r="Y8" i="8"/>
  <c r="Y12" i="8"/>
  <c r="D347" i="7"/>
  <c r="E347" i="7"/>
  <c r="F347" i="7"/>
  <c r="H347" i="7"/>
  <c r="H431" i="7" s="1"/>
  <c r="I347" i="7"/>
  <c r="J347" i="7"/>
  <c r="K347" i="7"/>
  <c r="L347" i="7"/>
  <c r="M347" i="7"/>
  <c r="N347" i="7"/>
  <c r="N431" i="7" s="1"/>
  <c r="O347" i="7"/>
  <c r="P347" i="7"/>
  <c r="Q347" i="7"/>
  <c r="R347" i="7"/>
  <c r="S347" i="7"/>
  <c r="W347" i="7"/>
  <c r="X347" i="7"/>
  <c r="Y347" i="7"/>
  <c r="AB347" i="7"/>
  <c r="AC347" i="7"/>
  <c r="AE347" i="7"/>
  <c r="AF347" i="7"/>
  <c r="AG347" i="7"/>
  <c r="AH347" i="7"/>
  <c r="AI347" i="7"/>
  <c r="AJ347" i="7"/>
  <c r="AK347" i="7"/>
  <c r="AL347" i="7"/>
  <c r="AL431" i="7" s="1"/>
  <c r="AM347" i="7"/>
  <c r="AO347" i="7"/>
  <c r="AP347" i="7"/>
  <c r="AV347" i="7"/>
  <c r="AZ347" i="7"/>
  <c r="BA347" i="7"/>
  <c r="BB347" i="7"/>
  <c r="BC347" i="7"/>
  <c r="BD347" i="7"/>
  <c r="BE347" i="7"/>
  <c r="BY347" i="7"/>
  <c r="BY431" i="7"/>
  <c r="BZ347" i="7"/>
  <c r="CA347" i="7"/>
  <c r="CB347" i="7"/>
  <c r="CD347" i="7"/>
  <c r="CF347" i="7"/>
  <c r="CH347" i="7"/>
  <c r="CI347" i="7"/>
  <c r="CJ347" i="7"/>
  <c r="CM347" i="7"/>
  <c r="CN347" i="7"/>
  <c r="CO347" i="7"/>
  <c r="CP347" i="7"/>
  <c r="CP431" i="7" s="1"/>
  <c r="CQ347" i="7"/>
  <c r="CT347" i="7"/>
  <c r="CU347" i="7"/>
  <c r="CV347" i="7"/>
  <c r="CW347" i="7"/>
  <c r="CX347" i="7"/>
  <c r="CX431" i="7" s="1"/>
  <c r="CY347" i="7"/>
  <c r="CY431" i="7"/>
  <c r="CZ347" i="7"/>
  <c r="DA347" i="7"/>
  <c r="DB347" i="7"/>
  <c r="DC347" i="7"/>
  <c r="DC431" i="7" s="1"/>
  <c r="C347" i="7"/>
  <c r="G338" i="7"/>
  <c r="G347" i="7" s="1"/>
  <c r="DA482" i="7"/>
  <c r="CZ482" i="7"/>
  <c r="CY482" i="7"/>
  <c r="CX482" i="7"/>
  <c r="CW482" i="7"/>
  <c r="CV482" i="7"/>
  <c r="CU482" i="7"/>
  <c r="CQ482" i="7"/>
  <c r="CP482" i="7"/>
  <c r="CP485" i="7" s="1"/>
  <c r="CO482" i="7"/>
  <c r="CN482" i="7"/>
  <c r="CM482" i="7"/>
  <c r="CJ482" i="7"/>
  <c r="CI482" i="7"/>
  <c r="CH482" i="7"/>
  <c r="CH485" i="7" s="1"/>
  <c r="CF482" i="7"/>
  <c r="CD482" i="7"/>
  <c r="CD485" i="7" s="1"/>
  <c r="CB482" i="7"/>
  <c r="CA482" i="7"/>
  <c r="CA485" i="7" s="1"/>
  <c r="BE482" i="7"/>
  <c r="BE485" i="7" s="1"/>
  <c r="BD482" i="7"/>
  <c r="BC482" i="7"/>
  <c r="BB482" i="7"/>
  <c r="BA482" i="7"/>
  <c r="AZ482" i="7"/>
  <c r="AY482" i="7"/>
  <c r="AW482" i="7"/>
  <c r="AV482" i="7"/>
  <c r="AV485" i="7" s="1"/>
  <c r="AT482" i="7"/>
  <c r="AS482" i="7"/>
  <c r="AR482" i="7"/>
  <c r="AP482" i="7"/>
  <c r="AP485" i="7" s="1"/>
  <c r="AO482" i="7"/>
  <c r="AN482" i="7"/>
  <c r="AM482" i="7"/>
  <c r="AL482" i="7"/>
  <c r="AK482" i="7"/>
  <c r="AJ482" i="7"/>
  <c r="AI482" i="7"/>
  <c r="AH482" i="7"/>
  <c r="AG482" i="7"/>
  <c r="AF482" i="7"/>
  <c r="AE482" i="7"/>
  <c r="AD482" i="7"/>
  <c r="AC482" i="7"/>
  <c r="AB482" i="7"/>
  <c r="AA482" i="7"/>
  <c r="Y482" i="7"/>
  <c r="X482" i="7"/>
  <c r="W482" i="7"/>
  <c r="W485" i="7" s="1"/>
  <c r="V482" i="7"/>
  <c r="S482" i="7"/>
  <c r="S485" i="7" s="1"/>
  <c r="R482" i="7"/>
  <c r="Q482" i="7"/>
  <c r="P482" i="7"/>
  <c r="O482" i="7"/>
  <c r="N482" i="7"/>
  <c r="M482" i="7"/>
  <c r="M485" i="7" s="1"/>
  <c r="L482" i="7"/>
  <c r="K482" i="7"/>
  <c r="J482" i="7"/>
  <c r="I482" i="7"/>
  <c r="H482" i="7"/>
  <c r="G482" i="7"/>
  <c r="G485" i="7" s="1"/>
  <c r="F482" i="7"/>
  <c r="E482" i="7"/>
  <c r="D482" i="7"/>
  <c r="T479" i="7"/>
  <c r="T482" i="7" s="1"/>
  <c r="T478" i="7"/>
  <c r="DC477" i="7"/>
  <c r="DC482" i="7" s="1"/>
  <c r="DB476" i="7"/>
  <c r="DB482" i="7"/>
  <c r="CT473" i="7"/>
  <c r="CT482" i="7" s="1"/>
  <c r="C472" i="7"/>
  <c r="C482" i="7" s="1"/>
  <c r="C485" i="7" s="1"/>
  <c r="AQ471" i="7"/>
  <c r="AQ482" i="7"/>
  <c r="U471" i="7"/>
  <c r="Z471" i="7" s="1"/>
  <c r="Z482" i="7" s="1"/>
  <c r="DC468" i="7"/>
  <c r="DB468" i="7"/>
  <c r="DA468" i="7"/>
  <c r="CZ468" i="7"/>
  <c r="CY468" i="7"/>
  <c r="CX468" i="7"/>
  <c r="CW468" i="7"/>
  <c r="CV468" i="7"/>
  <c r="CU468" i="7"/>
  <c r="CT468" i="7"/>
  <c r="CQ468" i="7"/>
  <c r="CP468" i="7"/>
  <c r="CO468" i="7"/>
  <c r="CN468" i="7"/>
  <c r="CM468" i="7"/>
  <c r="CJ468" i="7"/>
  <c r="CI468" i="7"/>
  <c r="CH468" i="7"/>
  <c r="CF468" i="7"/>
  <c r="CD468" i="7"/>
  <c r="CB468" i="7"/>
  <c r="BE468" i="7"/>
  <c r="BD468" i="7"/>
  <c r="BD485" i="7" s="1"/>
  <c r="BC468" i="7"/>
  <c r="BB468" i="7"/>
  <c r="BB485" i="7" s="1"/>
  <c r="BA468" i="7"/>
  <c r="AZ468" i="7"/>
  <c r="AV468" i="7"/>
  <c r="AT468" i="7"/>
  <c r="AP468" i="7"/>
  <c r="AO468" i="7"/>
  <c r="AM468" i="7"/>
  <c r="AL468" i="7"/>
  <c r="AK468" i="7"/>
  <c r="AJ468" i="7"/>
  <c r="AJ485" i="7" s="1"/>
  <c r="AI468" i="7"/>
  <c r="AH468" i="7"/>
  <c r="AG468" i="7"/>
  <c r="AF468" i="7"/>
  <c r="AE468" i="7"/>
  <c r="AD468" i="7"/>
  <c r="AC468" i="7"/>
  <c r="AB468" i="7"/>
  <c r="Y468" i="7"/>
  <c r="X468" i="7"/>
  <c r="W468" i="7"/>
  <c r="V468" i="7"/>
  <c r="S468" i="7"/>
  <c r="R468" i="7"/>
  <c r="R485" i="7" s="1"/>
  <c r="Q468" i="7"/>
  <c r="P468" i="7"/>
  <c r="O468" i="7"/>
  <c r="N468" i="7"/>
  <c r="N485" i="7" s="1"/>
  <c r="M468" i="7"/>
  <c r="L468" i="7"/>
  <c r="K468" i="7"/>
  <c r="J468" i="7"/>
  <c r="I468" i="7"/>
  <c r="H468" i="7"/>
  <c r="H485" i="7" s="1"/>
  <c r="G468" i="7"/>
  <c r="E468" i="7"/>
  <c r="E485" i="7" s="1"/>
  <c r="D468" i="7"/>
  <c r="C468" i="7"/>
  <c r="T464" i="7"/>
  <c r="F463" i="7"/>
  <c r="AR462" i="7"/>
  <c r="AY462" i="7" s="1"/>
  <c r="AQ462" i="7"/>
  <c r="AN462" i="7"/>
  <c r="U462" i="7"/>
  <c r="T462" i="7"/>
  <c r="AR461" i="7"/>
  <c r="AY461" i="7"/>
  <c r="AQ461" i="7"/>
  <c r="AQ468" i="7" s="1"/>
  <c r="AQ485" i="7" s="1"/>
  <c r="AN461" i="7"/>
  <c r="U461" i="7"/>
  <c r="T461" i="7"/>
  <c r="AR460" i="7"/>
  <c r="U460" i="7"/>
  <c r="T460" i="7"/>
  <c r="AS459" i="7"/>
  <c r="AN459" i="7"/>
  <c r="AN468" i="7" s="1"/>
  <c r="U459" i="7"/>
  <c r="AA459" i="7"/>
  <c r="AX459" i="7"/>
  <c r="T459" i="7"/>
  <c r="T458" i="7"/>
  <c r="DC455" i="7"/>
  <c r="DB455" i="7"/>
  <c r="DA455" i="7"/>
  <c r="CZ455" i="7"/>
  <c r="CY455" i="7"/>
  <c r="CX455" i="7"/>
  <c r="CW455" i="7"/>
  <c r="CW485" i="7" s="1"/>
  <c r="CV455" i="7"/>
  <c r="CU455" i="7"/>
  <c r="CT455" i="7"/>
  <c r="CQ455" i="7"/>
  <c r="CP455" i="7"/>
  <c r="CO455" i="7"/>
  <c r="CO485" i="7" s="1"/>
  <c r="CN455" i="7"/>
  <c r="CM455" i="7"/>
  <c r="CJ455" i="7"/>
  <c r="CI455" i="7"/>
  <c r="CH455" i="7"/>
  <c r="CF455" i="7"/>
  <c r="CD455" i="7"/>
  <c r="BE455" i="7"/>
  <c r="BD455" i="7"/>
  <c r="BC455" i="7"/>
  <c r="BB455" i="7"/>
  <c r="BA455" i="7"/>
  <c r="BA485" i="7" s="1"/>
  <c r="AZ455" i="7"/>
  <c r="AY455" i="7"/>
  <c r="AX455" i="7"/>
  <c r="AW455" i="7"/>
  <c r="AV455" i="7"/>
  <c r="AT455" i="7"/>
  <c r="AS455" i="7"/>
  <c r="AR455" i="7"/>
  <c r="AQ455" i="7"/>
  <c r="AP455" i="7"/>
  <c r="AO455" i="7"/>
  <c r="AN455" i="7"/>
  <c r="AM455" i="7"/>
  <c r="AL455" i="7"/>
  <c r="AK455" i="7"/>
  <c r="AJ455" i="7"/>
  <c r="AI455" i="7"/>
  <c r="AH455" i="7"/>
  <c r="AG455" i="7"/>
  <c r="AF455" i="7"/>
  <c r="AE455" i="7"/>
  <c r="AD455" i="7"/>
  <c r="AC455" i="7"/>
  <c r="AB455" i="7"/>
  <c r="AA455" i="7"/>
  <c r="Z455" i="7"/>
  <c r="Y455" i="7"/>
  <c r="X455" i="7"/>
  <c r="W455" i="7"/>
  <c r="V455" i="7"/>
  <c r="U455" i="7"/>
  <c r="S455" i="7"/>
  <c r="R455" i="7"/>
  <c r="Q455" i="7"/>
  <c r="P455" i="7"/>
  <c r="O455" i="7"/>
  <c r="O485" i="7" s="1"/>
  <c r="N455" i="7"/>
  <c r="M455" i="7"/>
  <c r="L455" i="7"/>
  <c r="K455" i="7"/>
  <c r="K485" i="7" s="1"/>
  <c r="J455" i="7"/>
  <c r="I455" i="7"/>
  <c r="G455" i="7"/>
  <c r="F455" i="7"/>
  <c r="E455" i="7"/>
  <c r="D455" i="7"/>
  <c r="D485" i="7" s="1"/>
  <c r="C455" i="7"/>
  <c r="T454" i="7"/>
  <c r="T455" i="7" s="1"/>
  <c r="H446" i="7"/>
  <c r="T446" i="7"/>
  <c r="DC423" i="7"/>
  <c r="DA423" i="7"/>
  <c r="CZ423" i="7"/>
  <c r="CX423" i="7"/>
  <c r="CW423" i="7"/>
  <c r="CV423" i="7"/>
  <c r="CU423" i="7"/>
  <c r="CT423" i="7"/>
  <c r="CQ423" i="7"/>
  <c r="CP423" i="7"/>
  <c r="CO423" i="7"/>
  <c r="CN423" i="7"/>
  <c r="CM423" i="7"/>
  <c r="CJ423" i="7"/>
  <c r="CI423" i="7"/>
  <c r="CH423" i="7"/>
  <c r="CF423" i="7"/>
  <c r="CD423" i="7"/>
  <c r="CB423" i="7"/>
  <c r="BE423" i="7"/>
  <c r="BE431" i="7" s="1"/>
  <c r="BD423" i="7"/>
  <c r="BC423" i="7"/>
  <c r="BB423" i="7"/>
  <c r="BA423" i="7"/>
  <c r="AZ423" i="7"/>
  <c r="AY423" i="7"/>
  <c r="AV423" i="7"/>
  <c r="AT423" i="7"/>
  <c r="AS423" i="7"/>
  <c r="AR423" i="7"/>
  <c r="AP423" i="7"/>
  <c r="AO423" i="7"/>
  <c r="AM423" i="7"/>
  <c r="AL423" i="7"/>
  <c r="AK423" i="7"/>
  <c r="AJ423" i="7"/>
  <c r="AI423" i="7"/>
  <c r="AH423" i="7"/>
  <c r="AG423" i="7"/>
  <c r="AF423" i="7"/>
  <c r="AE423" i="7"/>
  <c r="AD423" i="7"/>
  <c r="AC423" i="7"/>
  <c r="AB423" i="7"/>
  <c r="Y423" i="7"/>
  <c r="X423" i="7"/>
  <c r="W423" i="7"/>
  <c r="V423" i="7"/>
  <c r="T423" i="7"/>
  <c r="S423" i="7"/>
  <c r="S431" i="7" s="1"/>
  <c r="R423" i="7"/>
  <c r="Q423" i="7"/>
  <c r="P423" i="7"/>
  <c r="O423" i="7"/>
  <c r="N423" i="7"/>
  <c r="M423" i="7"/>
  <c r="L423" i="7"/>
  <c r="K423" i="7"/>
  <c r="J423" i="7"/>
  <c r="I423" i="7"/>
  <c r="H423" i="7"/>
  <c r="G423" i="7"/>
  <c r="F423" i="7"/>
  <c r="E423" i="7"/>
  <c r="D423" i="7"/>
  <c r="C423" i="7"/>
  <c r="DB417" i="7"/>
  <c r="DB423" i="7"/>
  <c r="AQ416" i="7"/>
  <c r="AQ423" i="7"/>
  <c r="AN416" i="7"/>
  <c r="AN423" i="7"/>
  <c r="DC411" i="7"/>
  <c r="DA411" i="7"/>
  <c r="DA431" i="7" s="1"/>
  <c r="CZ411" i="7"/>
  <c r="CX411" i="7"/>
  <c r="CW411" i="7"/>
  <c r="CV411" i="7"/>
  <c r="CU411" i="7"/>
  <c r="CT411" i="7"/>
  <c r="CQ411" i="7"/>
  <c r="CP411" i="7"/>
  <c r="CO411" i="7"/>
  <c r="CN411" i="7"/>
  <c r="CM411" i="7"/>
  <c r="CJ411" i="7"/>
  <c r="CI411" i="7"/>
  <c r="CH411" i="7"/>
  <c r="CF411" i="7"/>
  <c r="CD411" i="7"/>
  <c r="BE411" i="7"/>
  <c r="BD411" i="7"/>
  <c r="BC411" i="7"/>
  <c r="BB411" i="7"/>
  <c r="BB431" i="7" s="1"/>
  <c r="BA411" i="7"/>
  <c r="AZ411" i="7"/>
  <c r="AV411" i="7"/>
  <c r="AT411" i="7"/>
  <c r="AP411" i="7"/>
  <c r="AO411" i="7"/>
  <c r="AM411" i="7"/>
  <c r="AL411" i="7"/>
  <c r="AK411" i="7"/>
  <c r="AJ411" i="7"/>
  <c r="AI411" i="7"/>
  <c r="AH411" i="7"/>
  <c r="AH431" i="7" s="1"/>
  <c r="AG411" i="7"/>
  <c r="AF411" i="7"/>
  <c r="AE411" i="7"/>
  <c r="AC411" i="7"/>
  <c r="AC431" i="7" s="1"/>
  <c r="AB411" i="7"/>
  <c r="Y411" i="7"/>
  <c r="X411" i="7"/>
  <c r="W411" i="7"/>
  <c r="S411" i="7"/>
  <c r="R411" i="7"/>
  <c r="R431" i="7" s="1"/>
  <c r="Q411" i="7"/>
  <c r="P411" i="7"/>
  <c r="O411" i="7"/>
  <c r="N411" i="7"/>
  <c r="M411" i="7"/>
  <c r="L411" i="7"/>
  <c r="L431" i="7" s="1"/>
  <c r="K411" i="7"/>
  <c r="J411" i="7"/>
  <c r="I411" i="7"/>
  <c r="H411" i="7"/>
  <c r="G411" i="7"/>
  <c r="F411" i="7"/>
  <c r="T408" i="7"/>
  <c r="T407" i="7"/>
  <c r="T411" i="7" s="1"/>
  <c r="T406" i="7"/>
  <c r="DB400" i="7"/>
  <c r="DB411" i="7"/>
  <c r="AQ399" i="7"/>
  <c r="AN399" i="7"/>
  <c r="AR399" i="7"/>
  <c r="AY399" i="7" s="1"/>
  <c r="AR398" i="7"/>
  <c r="AY398" i="7"/>
  <c r="AQ398" i="7"/>
  <c r="AN398" i="7"/>
  <c r="AQ397" i="7"/>
  <c r="AN397" i="7"/>
  <c r="AR397" i="7"/>
  <c r="AY397" i="7"/>
  <c r="AR396" i="7"/>
  <c r="AY396" i="7" s="1"/>
  <c r="AQ396" i="7"/>
  <c r="AN396" i="7"/>
  <c r="AQ395" i="7"/>
  <c r="AN395" i="7"/>
  <c r="AR395" i="7"/>
  <c r="AY395" i="7" s="1"/>
  <c r="AR394" i="7"/>
  <c r="AY394" i="7" s="1"/>
  <c r="AQ394" i="7"/>
  <c r="AN394" i="7"/>
  <c r="AQ393" i="7"/>
  <c r="AN393" i="7"/>
  <c r="AR393" i="7"/>
  <c r="AY393" i="7" s="1"/>
  <c r="AR392" i="7"/>
  <c r="AY392" i="7"/>
  <c r="AQ392" i="7"/>
  <c r="AN392" i="7"/>
  <c r="AX391" i="7"/>
  <c r="AQ391" i="7"/>
  <c r="AN391" i="7"/>
  <c r="AR391" i="7"/>
  <c r="AY391" i="7"/>
  <c r="AR390" i="7"/>
  <c r="AY390" i="7"/>
  <c r="AQ390" i="7"/>
  <c r="AN390" i="7"/>
  <c r="V390" i="7"/>
  <c r="V411" i="7"/>
  <c r="AQ389" i="7"/>
  <c r="AN389" i="7"/>
  <c r="AR389" i="7"/>
  <c r="AY389" i="7"/>
  <c r="AR388" i="7"/>
  <c r="AY388" i="7"/>
  <c r="AQ388" i="7"/>
  <c r="AN388" i="7"/>
  <c r="AN411" i="7" s="1"/>
  <c r="C411" i="7"/>
  <c r="D411" i="7"/>
  <c r="T386" i="7"/>
  <c r="DC383" i="7"/>
  <c r="DA383" i="7"/>
  <c r="CZ383" i="7"/>
  <c r="CZ431" i="7" s="1"/>
  <c r="CX383" i="7"/>
  <c r="CW383" i="7"/>
  <c r="CV383" i="7"/>
  <c r="CU383" i="7"/>
  <c r="CU431" i="7" s="1"/>
  <c r="CT383" i="7"/>
  <c r="CQ383" i="7"/>
  <c r="CQ431" i="7" s="1"/>
  <c r="CP383" i="7"/>
  <c r="CO383" i="7"/>
  <c r="CN383" i="7"/>
  <c r="CM383" i="7"/>
  <c r="CJ383" i="7"/>
  <c r="CI383" i="7"/>
  <c r="CI431" i="7" s="1"/>
  <c r="CH383" i="7"/>
  <c r="CF383" i="7"/>
  <c r="CD383" i="7"/>
  <c r="CB383" i="7"/>
  <c r="CB431" i="7" s="1"/>
  <c r="CA383" i="7"/>
  <c r="BZ383" i="7"/>
  <c r="BZ431" i="7" s="1"/>
  <c r="BE383" i="7"/>
  <c r="BD383" i="7"/>
  <c r="BC383" i="7"/>
  <c r="BB383" i="7"/>
  <c r="BA383" i="7"/>
  <c r="AZ383" i="7"/>
  <c r="AV383" i="7"/>
  <c r="AT383" i="7"/>
  <c r="AP383" i="7"/>
  <c r="AO383" i="7"/>
  <c r="AM383" i="7"/>
  <c r="AM431" i="7" s="1"/>
  <c r="AL383" i="7"/>
  <c r="AK383" i="7"/>
  <c r="AJ383" i="7"/>
  <c r="AJ431" i="7" s="1"/>
  <c r="AI383" i="7"/>
  <c r="AI431" i="7" s="1"/>
  <c r="AH383" i="7"/>
  <c r="AG383" i="7"/>
  <c r="AG431" i="7" s="1"/>
  <c r="AF383" i="7"/>
  <c r="AE383" i="7"/>
  <c r="AC383" i="7"/>
  <c r="AB383" i="7"/>
  <c r="AB431" i="7" s="1"/>
  <c r="Y383" i="7"/>
  <c r="X383" i="7"/>
  <c r="X431" i="7" s="1"/>
  <c r="W383" i="7"/>
  <c r="S383" i="7"/>
  <c r="R383" i="7"/>
  <c r="Q383" i="7"/>
  <c r="P383" i="7"/>
  <c r="O383" i="7"/>
  <c r="O431" i="7" s="1"/>
  <c r="N383" i="7"/>
  <c r="M383" i="7"/>
  <c r="L383" i="7"/>
  <c r="K383" i="7"/>
  <c r="J383" i="7"/>
  <c r="I383" i="7"/>
  <c r="I431" i="7" s="1"/>
  <c r="H383" i="7"/>
  <c r="G383" i="7"/>
  <c r="F383" i="7"/>
  <c r="DB375" i="7"/>
  <c r="DB383" i="7" s="1"/>
  <c r="AR374" i="7"/>
  <c r="AY374" i="7" s="1"/>
  <c r="AQ374" i="7"/>
  <c r="AN374" i="7"/>
  <c r="AQ372" i="7"/>
  <c r="AN372" i="7"/>
  <c r="T372" i="7"/>
  <c r="AS372" i="7"/>
  <c r="AY372" i="7"/>
  <c r="AQ371" i="7"/>
  <c r="T371" i="7"/>
  <c r="AQ370" i="7"/>
  <c r="AN370" i="7"/>
  <c r="T370" i="7"/>
  <c r="AS370" i="7"/>
  <c r="AY370" i="7"/>
  <c r="AQ369" i="7"/>
  <c r="AN369" i="7"/>
  <c r="T369" i="7"/>
  <c r="T383" i="7" s="1"/>
  <c r="AS369" i="7"/>
  <c r="AY369" i="7"/>
  <c r="AS368" i="7"/>
  <c r="AY368" i="7"/>
  <c r="AQ368" i="7"/>
  <c r="AN368" i="7"/>
  <c r="T368" i="7"/>
  <c r="AQ367" i="7"/>
  <c r="AN367" i="7"/>
  <c r="AS367" i="7"/>
  <c r="AS383" i="7" s="1"/>
  <c r="AR366" i="7"/>
  <c r="AY366" i="7"/>
  <c r="AR365" i="7"/>
  <c r="AY365" i="7"/>
  <c r="AQ365" i="7"/>
  <c r="AN365" i="7"/>
  <c r="AQ364" i="7"/>
  <c r="AN364" i="7"/>
  <c r="AR364" i="7"/>
  <c r="AY364" i="7"/>
  <c r="AR363" i="7"/>
  <c r="AY363" i="7"/>
  <c r="AQ363" i="7"/>
  <c r="AN363" i="7"/>
  <c r="AQ362" i="7"/>
  <c r="AN362" i="7"/>
  <c r="AR362" i="7"/>
  <c r="AY362" i="7"/>
  <c r="AR361" i="7"/>
  <c r="AY361" i="7"/>
  <c r="AQ361" i="7"/>
  <c r="AN361" i="7"/>
  <c r="AQ360" i="7"/>
  <c r="AN360" i="7"/>
  <c r="AR360" i="7"/>
  <c r="AY360" i="7"/>
  <c r="AR359" i="7"/>
  <c r="AY359" i="7"/>
  <c r="AQ359" i="7"/>
  <c r="AN359" i="7"/>
  <c r="AQ358" i="7"/>
  <c r="AN358" i="7"/>
  <c r="AR358" i="7"/>
  <c r="AY358" i="7"/>
  <c r="AR357" i="7"/>
  <c r="AY357" i="7"/>
  <c r="AQ357" i="7"/>
  <c r="AR356" i="7"/>
  <c r="AY356" i="7" s="1"/>
  <c r="AQ356" i="7"/>
  <c r="AN356" i="7"/>
  <c r="AR355" i="7"/>
  <c r="AQ355" i="7"/>
  <c r="AN355" i="7"/>
  <c r="AQ354" i="7"/>
  <c r="AN354" i="7"/>
  <c r="V354" i="7"/>
  <c r="V383" i="7" s="1"/>
  <c r="AR354" i="7"/>
  <c r="AY354" i="7" s="1"/>
  <c r="AR353" i="7"/>
  <c r="AY353" i="7"/>
  <c r="AQ353" i="7"/>
  <c r="AQ383" i="7" s="1"/>
  <c r="AN353" i="7"/>
  <c r="AR352" i="7"/>
  <c r="AY352" i="7" s="1"/>
  <c r="AQ352" i="7"/>
  <c r="AN352" i="7"/>
  <c r="AR351" i="7"/>
  <c r="AY351" i="7" s="1"/>
  <c r="T346" i="7"/>
  <c r="AR321" i="7"/>
  <c r="AY321" i="7"/>
  <c r="AQ321" i="7"/>
  <c r="AN321" i="7"/>
  <c r="AR320" i="7"/>
  <c r="AY320" i="7"/>
  <c r="AR318" i="7"/>
  <c r="AY318" i="7"/>
  <c r="AQ316" i="7"/>
  <c r="AN316" i="7"/>
  <c r="AS316" i="7"/>
  <c r="AY316" i="7"/>
  <c r="AS315" i="7"/>
  <c r="AY315" i="7"/>
  <c r="AQ315" i="7"/>
  <c r="T315" i="7"/>
  <c r="AQ314" i="7"/>
  <c r="AN314" i="7"/>
  <c r="T314" i="7"/>
  <c r="AS314" i="7"/>
  <c r="AY314" i="7"/>
  <c r="AS313" i="7"/>
  <c r="AY313" i="7" s="1"/>
  <c r="AQ313" i="7"/>
  <c r="AN313" i="7"/>
  <c r="T313" i="7"/>
  <c r="AQ312" i="7"/>
  <c r="AN312" i="7"/>
  <c r="T312" i="7"/>
  <c r="AS312" i="7"/>
  <c r="AS311" i="7"/>
  <c r="AQ311" i="7"/>
  <c r="AN311" i="7"/>
  <c r="T311" i="7"/>
  <c r="AR310" i="7"/>
  <c r="AY310" i="7" s="1"/>
  <c r="AQ310" i="7"/>
  <c r="AN310" i="7"/>
  <c r="AQ309" i="7"/>
  <c r="AN309" i="7"/>
  <c r="V309" i="7"/>
  <c r="V347" i="7" s="1"/>
  <c r="V431" i="7" s="1"/>
  <c r="AR309" i="7"/>
  <c r="AY309" i="7"/>
  <c r="AQ308" i="7"/>
  <c r="AN308" i="7"/>
  <c r="AN347" i="7" s="1"/>
  <c r="V308" i="7"/>
  <c r="AR308" i="7"/>
  <c r="AY308" i="7" s="1"/>
  <c r="AR307" i="7"/>
  <c r="AY307" i="7"/>
  <c r="AQ307" i="7"/>
  <c r="AN307" i="7"/>
  <c r="AR306" i="7"/>
  <c r="AY306" i="7" s="1"/>
  <c r="AQ306" i="7"/>
  <c r="AN306" i="7"/>
  <c r="AQ305" i="7"/>
  <c r="AN305" i="7"/>
  <c r="AR305" i="7"/>
  <c r="AY305" i="7" s="1"/>
  <c r="AQ304" i="7"/>
  <c r="AN304" i="7"/>
  <c r="AR304" i="7"/>
  <c r="AY304" i="7"/>
  <c r="AR303" i="7"/>
  <c r="AY303" i="7"/>
  <c r="AQ303" i="7"/>
  <c r="AN303" i="7"/>
  <c r="AQ302" i="7"/>
  <c r="AN302" i="7"/>
  <c r="V302" i="7"/>
  <c r="AT300" i="7"/>
  <c r="AT347" i="7" s="1"/>
  <c r="D255" i="7"/>
  <c r="E255" i="7"/>
  <c r="F255" i="7"/>
  <c r="G255" i="7"/>
  <c r="I255" i="7"/>
  <c r="J255" i="7"/>
  <c r="K255" i="7"/>
  <c r="L255" i="7"/>
  <c r="M255" i="7"/>
  <c r="N255" i="7"/>
  <c r="O255" i="7"/>
  <c r="P255" i="7"/>
  <c r="Q255" i="7"/>
  <c r="R255" i="7"/>
  <c r="S255" i="7"/>
  <c r="U255" i="7"/>
  <c r="V255" i="7"/>
  <c r="W255" i="7"/>
  <c r="X255" i="7"/>
  <c r="Y255" i="7"/>
  <c r="Z255" i="7"/>
  <c r="AA255" i="7"/>
  <c r="AB255" i="7"/>
  <c r="AC255" i="7"/>
  <c r="AD255" i="7"/>
  <c r="AE255" i="7"/>
  <c r="AF255" i="7"/>
  <c r="AG255" i="7"/>
  <c r="AH255" i="7"/>
  <c r="AI255" i="7"/>
  <c r="AJ255" i="7"/>
  <c r="AK255" i="7"/>
  <c r="AL255" i="7"/>
  <c r="AM255" i="7"/>
  <c r="AN255" i="7"/>
  <c r="AO255" i="7"/>
  <c r="AP255" i="7"/>
  <c r="AQ255" i="7"/>
  <c r="AR255" i="7"/>
  <c r="AS255" i="7"/>
  <c r="AT255" i="7"/>
  <c r="AV255" i="7"/>
  <c r="AW255" i="7"/>
  <c r="AX255" i="7"/>
  <c r="AY255" i="7"/>
  <c r="AZ255" i="7"/>
  <c r="BA255" i="7"/>
  <c r="BB255" i="7"/>
  <c r="BC255" i="7"/>
  <c r="BD255" i="7"/>
  <c r="BE255" i="7"/>
  <c r="CD255" i="7"/>
  <c r="CF255" i="7"/>
  <c r="CH255" i="7"/>
  <c r="CH285" i="7" s="1"/>
  <c r="CI255" i="7"/>
  <c r="CJ255" i="7"/>
  <c r="CM255" i="7"/>
  <c r="CN255" i="7"/>
  <c r="CO255" i="7"/>
  <c r="CP255" i="7"/>
  <c r="CP285" i="7" s="1"/>
  <c r="CQ255" i="7"/>
  <c r="CT255" i="7"/>
  <c r="CU255" i="7"/>
  <c r="CV255" i="7"/>
  <c r="CV285" i="7" s="1"/>
  <c r="CW255" i="7"/>
  <c r="CX255" i="7"/>
  <c r="CY255" i="7"/>
  <c r="CZ255" i="7"/>
  <c r="DA255" i="7"/>
  <c r="DB255" i="7"/>
  <c r="DC255" i="7"/>
  <c r="C255" i="7"/>
  <c r="F282" i="7"/>
  <c r="CF485" i="7"/>
  <c r="CB485" i="7"/>
  <c r="J485" i="7"/>
  <c r="AQ347" i="7"/>
  <c r="AR347" i="7"/>
  <c r="AZ431" i="7"/>
  <c r="BD431" i="7"/>
  <c r="CF431" i="7"/>
  <c r="CM431" i="7"/>
  <c r="CW431" i="7"/>
  <c r="CJ431" i="7"/>
  <c r="AK431" i="7"/>
  <c r="X485" i="7"/>
  <c r="DA485" i="7"/>
  <c r="DB485" i="7"/>
  <c r="CD431" i="7"/>
  <c r="AE431" i="7"/>
  <c r="DB431" i="7"/>
  <c r="W431" i="7"/>
  <c r="AF485" i="7"/>
  <c r="AZ485" i="7"/>
  <c r="CM485" i="7"/>
  <c r="AC485" i="7"/>
  <c r="AG485" i="7"/>
  <c r="AK485" i="7"/>
  <c r="AO485" i="7"/>
  <c r="CV431" i="7"/>
  <c r="L485" i="7"/>
  <c r="P485" i="7"/>
  <c r="CT485" i="7"/>
  <c r="CA431" i="7"/>
  <c r="CN431" i="7"/>
  <c r="CJ485" i="7"/>
  <c r="CV485" i="7"/>
  <c r="CZ485" i="7"/>
  <c r="Y485" i="7"/>
  <c r="AP431" i="7"/>
  <c r="AE485" i="7"/>
  <c r="AI485" i="7"/>
  <c r="AM485" i="7"/>
  <c r="M431" i="7"/>
  <c r="AV431" i="7"/>
  <c r="AH485" i="7"/>
  <c r="AL485" i="7"/>
  <c r="CU485" i="7"/>
  <c r="I485" i="7"/>
  <c r="Q485" i="7"/>
  <c r="U374" i="7"/>
  <c r="AA374" i="7"/>
  <c r="AW374" i="7" s="1"/>
  <c r="CO431" i="7"/>
  <c r="CN485" i="7"/>
  <c r="CX485" i="7"/>
  <c r="J431" i="7"/>
  <c r="AX471" i="7"/>
  <c r="AX482" i="7" s="1"/>
  <c r="H455" i="7"/>
  <c r="U482" i="7"/>
  <c r="Z459" i="7"/>
  <c r="AY367" i="7"/>
  <c r="AS371" i="7"/>
  <c r="AY371" i="7"/>
  <c r="AS411" i="7"/>
  <c r="AT302" i="7"/>
  <c r="AY311" i="7"/>
  <c r="T316" i="7"/>
  <c r="F431" i="7"/>
  <c r="T367" i="7"/>
  <c r="E383" i="7"/>
  <c r="AR387" i="7"/>
  <c r="D383" i="7"/>
  <c r="D431" i="7" s="1"/>
  <c r="C383" i="7"/>
  <c r="C431" i="7" s="1"/>
  <c r="E411" i="7"/>
  <c r="AW459" i="7"/>
  <c r="AY387" i="7"/>
  <c r="AY411" i="7" s="1"/>
  <c r="AQ271" i="7"/>
  <c r="U271" i="7"/>
  <c r="V268" i="7"/>
  <c r="C272" i="7"/>
  <c r="C282" i="7" s="1"/>
  <c r="DC277" i="7"/>
  <c r="DC282" i="7"/>
  <c r="DB276" i="7"/>
  <c r="DB282" i="7"/>
  <c r="CT273" i="7"/>
  <c r="CT282" i="7" s="1"/>
  <c r="CZ282" i="7"/>
  <c r="D282" i="7"/>
  <c r="E282" i="7"/>
  <c r="G282" i="7"/>
  <c r="H282" i="7"/>
  <c r="I282" i="7"/>
  <c r="J282" i="7"/>
  <c r="K282" i="7"/>
  <c r="L282" i="7"/>
  <c r="M282" i="7"/>
  <c r="N282" i="7"/>
  <c r="O282" i="7"/>
  <c r="P282" i="7"/>
  <c r="Q282" i="7"/>
  <c r="R282" i="7"/>
  <c r="S282" i="7"/>
  <c r="V282" i="7"/>
  <c r="V285" i="7" s="1"/>
  <c r="W282" i="7"/>
  <c r="X282" i="7"/>
  <c r="Y282" i="7"/>
  <c r="AA282" i="7"/>
  <c r="AB282" i="7"/>
  <c r="AC282" i="7"/>
  <c r="AD282" i="7"/>
  <c r="AE282" i="7"/>
  <c r="AF282" i="7"/>
  <c r="AG282" i="7"/>
  <c r="AH282" i="7"/>
  <c r="AI282" i="7"/>
  <c r="AJ282" i="7"/>
  <c r="AK282" i="7"/>
  <c r="AL282" i="7"/>
  <c r="AM282" i="7"/>
  <c r="AN282" i="7"/>
  <c r="AO282" i="7"/>
  <c r="AP282" i="7"/>
  <c r="AQ282" i="7"/>
  <c r="AR282" i="7"/>
  <c r="AS282" i="7"/>
  <c r="AT282" i="7"/>
  <c r="AV282" i="7"/>
  <c r="AW282" i="7"/>
  <c r="AY282" i="7"/>
  <c r="AZ282" i="7"/>
  <c r="BA282" i="7"/>
  <c r="BB282" i="7"/>
  <c r="BC282" i="7"/>
  <c r="BD282" i="7"/>
  <c r="BE282" i="7"/>
  <c r="CA282" i="7"/>
  <c r="CA285" i="7"/>
  <c r="CB282" i="7"/>
  <c r="CB285" i="7" s="1"/>
  <c r="CD282" i="7"/>
  <c r="CF282" i="7"/>
  <c r="CH282" i="7"/>
  <c r="CI282" i="7"/>
  <c r="CJ282" i="7"/>
  <c r="CJ285" i="7" s="1"/>
  <c r="CM282" i="7"/>
  <c r="CN282" i="7"/>
  <c r="CN285" i="7" s="1"/>
  <c r="CO282" i="7"/>
  <c r="CP282" i="7"/>
  <c r="CQ282" i="7"/>
  <c r="CU282" i="7"/>
  <c r="CV282" i="7"/>
  <c r="CW282" i="7"/>
  <c r="CX282" i="7"/>
  <c r="CY282" i="7"/>
  <c r="DA282" i="7"/>
  <c r="CD268" i="7"/>
  <c r="CF268" i="7"/>
  <c r="CF285" i="7" s="1"/>
  <c r="CH268" i="7"/>
  <c r="CI268" i="7"/>
  <c r="CI285" i="7" s="1"/>
  <c r="CJ268" i="7"/>
  <c r="CM268" i="7"/>
  <c r="CN268" i="7"/>
  <c r="CO268" i="7"/>
  <c r="CP268" i="7"/>
  <c r="CQ268" i="7"/>
  <c r="CQ285" i="7" s="1"/>
  <c r="CT268" i="7"/>
  <c r="CT285" i="7"/>
  <c r="CU268" i="7"/>
  <c r="CV268" i="7"/>
  <c r="CW268" i="7"/>
  <c r="CX268" i="7"/>
  <c r="CX285" i="7"/>
  <c r="CY268" i="7"/>
  <c r="CY285" i="7" s="1"/>
  <c r="CZ268" i="7"/>
  <c r="DA268" i="7"/>
  <c r="DB268" i="7"/>
  <c r="DB285" i="7"/>
  <c r="DC268" i="7"/>
  <c r="DC285" i="7" s="1"/>
  <c r="F263" i="7"/>
  <c r="CZ285" i="7"/>
  <c r="CO285" i="7"/>
  <c r="H246" i="7"/>
  <c r="H255" i="7"/>
  <c r="H91" i="7"/>
  <c r="F14" i="7"/>
  <c r="L27" i="8"/>
  <c r="K27" i="8"/>
  <c r="L15" i="8"/>
  <c r="K15" i="8"/>
  <c r="L14" i="8"/>
  <c r="K14" i="8"/>
  <c r="L13" i="8"/>
  <c r="K13" i="8"/>
  <c r="L12" i="8"/>
  <c r="K12" i="8"/>
  <c r="L10" i="8"/>
  <c r="K10" i="8"/>
  <c r="L9" i="8"/>
  <c r="K9" i="8"/>
  <c r="L8" i="8"/>
  <c r="K8" i="8"/>
  <c r="CY219" i="7"/>
  <c r="CY224" i="7"/>
  <c r="CY227" i="7" s="1"/>
  <c r="CY209" i="7"/>
  <c r="CX165" i="7"/>
  <c r="CZ165" i="7"/>
  <c r="CX153" i="7"/>
  <c r="CX98" i="7"/>
  <c r="CX65" i="7"/>
  <c r="CX224" i="7"/>
  <c r="CX209" i="7"/>
  <c r="CT224" i="7"/>
  <c r="CT227" i="7" s="1"/>
  <c r="C213" i="7"/>
  <c r="B6" i="12"/>
  <c r="D4" i="11"/>
  <c r="B8" i="12"/>
  <c r="D6" i="11"/>
  <c r="CU224" i="7"/>
  <c r="BY224" i="7"/>
  <c r="BZ224" i="7"/>
  <c r="CA224" i="7"/>
  <c r="CB224" i="7"/>
  <c r="CD224" i="7"/>
  <c r="CF224" i="7"/>
  <c r="CF227" i="7" s="1"/>
  <c r="CH224" i="7"/>
  <c r="CI224" i="7"/>
  <c r="CJ224" i="7"/>
  <c r="CM224" i="7"/>
  <c r="CN224" i="7"/>
  <c r="CO224" i="7"/>
  <c r="CO227" i="7" s="1"/>
  <c r="CP224" i="7"/>
  <c r="CQ224" i="7"/>
  <c r="DA224" i="7"/>
  <c r="DB224" i="7"/>
  <c r="DC224" i="7"/>
  <c r="CM209" i="7"/>
  <c r="CN209" i="7"/>
  <c r="CO209" i="7"/>
  <c r="CP209" i="7"/>
  <c r="CP227" i="7" s="1"/>
  <c r="CQ209" i="7"/>
  <c r="CT209" i="7"/>
  <c r="CU209" i="7"/>
  <c r="CU227" i="7" s="1"/>
  <c r="CV209" i="7"/>
  <c r="CW209" i="7"/>
  <c r="CZ209" i="7"/>
  <c r="DA209" i="7"/>
  <c r="DA227" i="7" s="1"/>
  <c r="DB209" i="7"/>
  <c r="DC209" i="7"/>
  <c r="CD209" i="7"/>
  <c r="CF209" i="7"/>
  <c r="CH209" i="7"/>
  <c r="CI209" i="7"/>
  <c r="CJ209" i="7"/>
  <c r="V224" i="7"/>
  <c r="V209" i="7"/>
  <c r="AR192" i="7"/>
  <c r="AY192" i="7"/>
  <c r="AR193" i="7"/>
  <c r="AY193" i="7" s="1"/>
  <c r="AR194" i="7"/>
  <c r="AY194" i="7" s="1"/>
  <c r="AR195" i="7"/>
  <c r="AY195" i="7"/>
  <c r="AR196" i="7"/>
  <c r="AY196" i="7" s="1"/>
  <c r="AR191" i="7"/>
  <c r="AY191" i="7" s="1"/>
  <c r="AO199" i="7"/>
  <c r="CX227" i="7"/>
  <c r="CZ214" i="7"/>
  <c r="CZ224" i="7" s="1"/>
  <c r="CW217" i="7"/>
  <c r="CW224" i="7" s="1"/>
  <c r="CW227" i="7" s="1"/>
  <c r="C79" i="8"/>
  <c r="H79" i="8"/>
  <c r="G78" i="8"/>
  <c r="F78" i="8"/>
  <c r="E78" i="8"/>
  <c r="H78" i="8" s="1"/>
  <c r="D78" i="8"/>
  <c r="C78" i="8"/>
  <c r="H77" i="8"/>
  <c r="F76" i="8"/>
  <c r="E76" i="8"/>
  <c r="D76" i="8"/>
  <c r="H76" i="8" s="1"/>
  <c r="C76" i="8"/>
  <c r="H75" i="8"/>
  <c r="H74" i="8"/>
  <c r="H73" i="8"/>
  <c r="H72" i="8"/>
  <c r="H71" i="8"/>
  <c r="H70" i="8"/>
  <c r="H69" i="8"/>
  <c r="H68" i="8"/>
  <c r="G67" i="8"/>
  <c r="H67" i="8" s="1"/>
  <c r="G66" i="8"/>
  <c r="F66" i="8"/>
  <c r="E66" i="8"/>
  <c r="D66" i="8"/>
  <c r="C66" i="8"/>
  <c r="G65" i="8"/>
  <c r="F65" i="8"/>
  <c r="E65" i="8"/>
  <c r="D65" i="8"/>
  <c r="C65" i="8"/>
  <c r="G64" i="8"/>
  <c r="F64" i="8"/>
  <c r="E64" i="8"/>
  <c r="D64" i="8"/>
  <c r="C64" i="8"/>
  <c r="G63" i="8"/>
  <c r="F63" i="8"/>
  <c r="E63" i="8"/>
  <c r="D63" i="8"/>
  <c r="H63" i="8" s="1"/>
  <c r="C63" i="8"/>
  <c r="H62" i="8"/>
  <c r="G61" i="8"/>
  <c r="F61" i="8"/>
  <c r="E61" i="8"/>
  <c r="D61" i="8"/>
  <c r="C61" i="8"/>
  <c r="G60" i="8"/>
  <c r="F60" i="8"/>
  <c r="E60" i="8"/>
  <c r="D60" i="8"/>
  <c r="C60" i="8"/>
  <c r="H60" i="8" s="1"/>
  <c r="G59" i="8"/>
  <c r="F59" i="8"/>
  <c r="E59" i="8"/>
  <c r="D59" i="8"/>
  <c r="H59" i="8" s="1"/>
  <c r="C59" i="8"/>
  <c r="C54" i="8"/>
  <c r="H54" i="8" s="1"/>
  <c r="G53" i="8"/>
  <c r="F53" i="8"/>
  <c r="H53" i="8" s="1"/>
  <c r="E53" i="8"/>
  <c r="D53" i="8"/>
  <c r="C53" i="8"/>
  <c r="H52" i="8"/>
  <c r="F51" i="8"/>
  <c r="E51" i="8"/>
  <c r="H51" i="8" s="1"/>
  <c r="D51" i="8"/>
  <c r="C51" i="8"/>
  <c r="H50" i="8"/>
  <c r="H49" i="8"/>
  <c r="H48" i="8"/>
  <c r="H47" i="8"/>
  <c r="H46" i="8"/>
  <c r="H45" i="8"/>
  <c r="H44" i="8"/>
  <c r="H43" i="8"/>
  <c r="G42" i="8"/>
  <c r="H42" i="8"/>
  <c r="G41" i="8"/>
  <c r="F41" i="8"/>
  <c r="E41" i="8"/>
  <c r="D41" i="8"/>
  <c r="C41" i="8"/>
  <c r="G40" i="8"/>
  <c r="H40" i="8" s="1"/>
  <c r="F40" i="8"/>
  <c r="E40" i="8"/>
  <c r="D40" i="8"/>
  <c r="C40" i="8"/>
  <c r="G39" i="8"/>
  <c r="F39" i="8"/>
  <c r="H39" i="8" s="1"/>
  <c r="E39" i="8"/>
  <c r="D39" i="8"/>
  <c r="C39" i="8"/>
  <c r="G38" i="8"/>
  <c r="F38" i="8"/>
  <c r="E38" i="8"/>
  <c r="H38" i="8" s="1"/>
  <c r="D38" i="8"/>
  <c r="C38" i="8"/>
  <c r="H37" i="8"/>
  <c r="G36" i="8"/>
  <c r="F36" i="8"/>
  <c r="E36" i="8"/>
  <c r="H36" i="8" s="1"/>
  <c r="D36" i="8"/>
  <c r="C36" i="8"/>
  <c r="G35" i="8"/>
  <c r="F35" i="8"/>
  <c r="E35" i="8"/>
  <c r="D35" i="8"/>
  <c r="H35" i="8" s="1"/>
  <c r="C35" i="8"/>
  <c r="G34" i="8"/>
  <c r="F34" i="8"/>
  <c r="E34" i="8"/>
  <c r="D34" i="8"/>
  <c r="C34" i="8"/>
  <c r="H34" i="8" s="1"/>
  <c r="E25" i="8"/>
  <c r="F25" i="8"/>
  <c r="D25" i="8"/>
  <c r="E8" i="8"/>
  <c r="F8" i="8"/>
  <c r="E9" i="8"/>
  <c r="F9" i="8"/>
  <c r="E10" i="8"/>
  <c r="F10" i="8"/>
  <c r="E12" i="8"/>
  <c r="F12" i="8"/>
  <c r="E13" i="8"/>
  <c r="H13" i="8" s="1"/>
  <c r="F13" i="8"/>
  <c r="E14" i="8"/>
  <c r="F14" i="8"/>
  <c r="E15" i="8"/>
  <c r="F15" i="8"/>
  <c r="E16" i="8"/>
  <c r="F16" i="8"/>
  <c r="D15" i="8"/>
  <c r="D14" i="8"/>
  <c r="D13" i="8"/>
  <c r="D12" i="8"/>
  <c r="D10" i="8"/>
  <c r="D9" i="8"/>
  <c r="D8" i="8"/>
  <c r="F27" i="8"/>
  <c r="E27" i="8"/>
  <c r="D27" i="8"/>
  <c r="G27" i="8"/>
  <c r="H11" i="8"/>
  <c r="H17" i="8"/>
  <c r="H18" i="8"/>
  <c r="H19" i="8"/>
  <c r="H20" i="8"/>
  <c r="H21" i="8"/>
  <c r="H22" i="8"/>
  <c r="H23" i="8"/>
  <c r="H24" i="8"/>
  <c r="H26" i="8"/>
  <c r="H7" i="8"/>
  <c r="G16" i="8"/>
  <c r="G15" i="8"/>
  <c r="G14" i="8"/>
  <c r="G13" i="8"/>
  <c r="G12" i="8"/>
  <c r="G10" i="8"/>
  <c r="G9" i="8"/>
  <c r="G8" i="8"/>
  <c r="C27" i="8"/>
  <c r="C28" i="8"/>
  <c r="H28" i="8" s="1"/>
  <c r="C25" i="8"/>
  <c r="C15" i="8"/>
  <c r="C14" i="8"/>
  <c r="H14" i="8" s="1"/>
  <c r="C13" i="8"/>
  <c r="C12" i="8"/>
  <c r="C10" i="8"/>
  <c r="C9" i="8"/>
  <c r="C8" i="8"/>
  <c r="H8" i="8" s="1"/>
  <c r="BS9" i="7"/>
  <c r="E200" i="7"/>
  <c r="AS200" i="7"/>
  <c r="AY200" i="7" s="1"/>
  <c r="E199" i="7"/>
  <c r="AS199" i="7"/>
  <c r="AY199" i="7"/>
  <c r="C198" i="7"/>
  <c r="AR198" i="7" s="1"/>
  <c r="AY198" i="7" s="1"/>
  <c r="C197" i="7"/>
  <c r="AR197" i="7"/>
  <c r="AY197" i="7"/>
  <c r="C190" i="7"/>
  <c r="V227" i="7"/>
  <c r="CD227" i="7"/>
  <c r="CH227" i="7"/>
  <c r="CI227" i="7"/>
  <c r="CJ227" i="7"/>
  <c r="CN227" i="7"/>
  <c r="CQ227" i="7"/>
  <c r="CZ227" i="7"/>
  <c r="DB227" i="7"/>
  <c r="AN224" i="7"/>
  <c r="F224" i="7"/>
  <c r="G224" i="7"/>
  <c r="K224" i="7"/>
  <c r="AT224" i="7"/>
  <c r="T212" i="7"/>
  <c r="T224" i="7" s="1"/>
  <c r="D224" i="7"/>
  <c r="E224" i="7"/>
  <c r="H224" i="7"/>
  <c r="I224" i="7"/>
  <c r="L224" i="7"/>
  <c r="M224" i="7"/>
  <c r="N224" i="7"/>
  <c r="O224" i="7"/>
  <c r="P224" i="7"/>
  <c r="Q224" i="7"/>
  <c r="R224" i="7"/>
  <c r="S224" i="7"/>
  <c r="W224" i="7"/>
  <c r="X224" i="7"/>
  <c r="Y224" i="7"/>
  <c r="AB224" i="7"/>
  <c r="AC224" i="7"/>
  <c r="AE224" i="7"/>
  <c r="AF224" i="7"/>
  <c r="AG224" i="7"/>
  <c r="AH224" i="7"/>
  <c r="AI224" i="7"/>
  <c r="AJ224" i="7"/>
  <c r="AK224" i="7"/>
  <c r="AL224" i="7"/>
  <c r="AM224" i="7"/>
  <c r="AO224" i="7"/>
  <c r="AP224" i="7"/>
  <c r="AQ224" i="7"/>
  <c r="AV224" i="7"/>
  <c r="AZ224" i="7"/>
  <c r="BA224" i="7"/>
  <c r="BB224" i="7"/>
  <c r="BC224" i="7"/>
  <c r="BD224" i="7"/>
  <c r="BE224" i="7"/>
  <c r="H25" i="8"/>
  <c r="H41" i="8"/>
  <c r="H66" i="8"/>
  <c r="H10" i="8"/>
  <c r="U194" i="7"/>
  <c r="Z194" i="7"/>
  <c r="AX194" i="7"/>
  <c r="H15" i="8"/>
  <c r="H61" i="8"/>
  <c r="H64" i="8"/>
  <c r="H65" i="8"/>
  <c r="T200" i="7"/>
  <c r="T199" i="7"/>
  <c r="H12" i="8"/>
  <c r="C224" i="7"/>
  <c r="J224" i="7"/>
  <c r="DB159" i="7"/>
  <c r="DB165" i="7"/>
  <c r="D165" i="7"/>
  <c r="E165" i="7"/>
  <c r="F165" i="7"/>
  <c r="G165" i="7"/>
  <c r="H165" i="7"/>
  <c r="I165" i="7"/>
  <c r="J165" i="7"/>
  <c r="K165" i="7"/>
  <c r="L165" i="7"/>
  <c r="M165" i="7"/>
  <c r="N165" i="7"/>
  <c r="O165" i="7"/>
  <c r="P165" i="7"/>
  <c r="Q165" i="7"/>
  <c r="R165" i="7"/>
  <c r="S165" i="7"/>
  <c r="T165" i="7"/>
  <c r="V165" i="7"/>
  <c r="W165" i="7"/>
  <c r="X165" i="7"/>
  <c r="Y165" i="7"/>
  <c r="AB165" i="7"/>
  <c r="AC165" i="7"/>
  <c r="AD165" i="7"/>
  <c r="AE165" i="7"/>
  <c r="AF165" i="7"/>
  <c r="AG165" i="7"/>
  <c r="AH165" i="7"/>
  <c r="AI165" i="7"/>
  <c r="AJ165" i="7"/>
  <c r="AK165" i="7"/>
  <c r="AL165" i="7"/>
  <c r="AM165" i="7"/>
  <c r="AO165" i="7"/>
  <c r="AP165" i="7"/>
  <c r="AR165" i="7"/>
  <c r="AS165" i="7"/>
  <c r="AT165" i="7"/>
  <c r="AV165" i="7"/>
  <c r="AZ165" i="7"/>
  <c r="BA165" i="7"/>
  <c r="BB165" i="7"/>
  <c r="BC165" i="7"/>
  <c r="BD165" i="7"/>
  <c r="BE165" i="7"/>
  <c r="BY165" i="7"/>
  <c r="BZ165" i="7"/>
  <c r="CA165" i="7"/>
  <c r="CB165" i="7"/>
  <c r="CD165" i="7"/>
  <c r="CF165" i="7"/>
  <c r="CH165" i="7"/>
  <c r="CI165" i="7"/>
  <c r="CJ165" i="7"/>
  <c r="CM165" i="7"/>
  <c r="CN165" i="7"/>
  <c r="CO165" i="7"/>
  <c r="CP165" i="7"/>
  <c r="CQ165" i="7"/>
  <c r="CT165" i="7"/>
  <c r="CU165" i="7"/>
  <c r="CV165" i="7"/>
  <c r="CW165" i="7"/>
  <c r="DA165" i="7"/>
  <c r="DC165" i="7"/>
  <c r="C165" i="7"/>
  <c r="DL158" i="7"/>
  <c r="AY165" i="7"/>
  <c r="D102" i="7"/>
  <c r="D69" i="7"/>
  <c r="DL141" i="7"/>
  <c r="AR141" i="7"/>
  <c r="AY141" i="7"/>
  <c r="U141" i="7"/>
  <c r="AA141" i="7" s="1"/>
  <c r="AW141" i="7" s="1"/>
  <c r="AR92" i="7"/>
  <c r="AY92" i="7"/>
  <c r="AR43" i="7"/>
  <c r="AY43" i="7"/>
  <c r="D17" i="7"/>
  <c r="DB142" i="7"/>
  <c r="CN153" i="7"/>
  <c r="CO153" i="7"/>
  <c r="CO173" i="7" s="1"/>
  <c r="CP153" i="7"/>
  <c r="CQ153" i="7"/>
  <c r="CN98" i="7"/>
  <c r="CO98" i="7"/>
  <c r="CP98" i="7"/>
  <c r="CQ98" i="7"/>
  <c r="AA194" i="7"/>
  <c r="AW194" i="7"/>
  <c r="AS224" i="7"/>
  <c r="AD224" i="7"/>
  <c r="AY224" i="7"/>
  <c r="AR224" i="7"/>
  <c r="U224" i="7"/>
  <c r="AX224" i="7"/>
  <c r="Z224" i="7"/>
  <c r="AA224" i="7"/>
  <c r="AW224" i="7"/>
  <c r="C39" i="7"/>
  <c r="C41" i="7"/>
  <c r="CN65" i="7"/>
  <c r="CN173" i="7" s="1"/>
  <c r="CO65" i="7"/>
  <c r="CP65" i="7"/>
  <c r="CP173" i="7"/>
  <c r="CQ65" i="7"/>
  <c r="AQ123" i="7"/>
  <c r="AQ129" i="7"/>
  <c r="AQ131" i="7"/>
  <c r="AQ121" i="7"/>
  <c r="AQ133" i="7"/>
  <c r="AQ127" i="7"/>
  <c r="AQ125" i="7"/>
  <c r="AQ119" i="7"/>
  <c r="AX106" i="7"/>
  <c r="AQ105" i="7"/>
  <c r="V105" i="7"/>
  <c r="AQ72" i="7"/>
  <c r="V72" i="7"/>
  <c r="V98" i="7"/>
  <c r="AQ138" i="7"/>
  <c r="AQ137" i="7"/>
  <c r="AQ88" i="7"/>
  <c r="AQ87" i="7"/>
  <c r="AQ29" i="7"/>
  <c r="AQ28" i="7"/>
  <c r="V24" i="7"/>
  <c r="V65" i="7" s="1"/>
  <c r="V23" i="7"/>
  <c r="AQ16" i="7"/>
  <c r="V16" i="7"/>
  <c r="DL56" i="7"/>
  <c r="DL55" i="7"/>
  <c r="DL29" i="7"/>
  <c r="DL52" i="7"/>
  <c r="DL41" i="7"/>
  <c r="DL23" i="7"/>
  <c r="DL58" i="7"/>
  <c r="CP9" i="7"/>
  <c r="CO9" i="7"/>
  <c r="DL57" i="7"/>
  <c r="DL32" i="7"/>
  <c r="BM9" i="7"/>
  <c r="DL27" i="7"/>
  <c r="DL14" i="7"/>
  <c r="DL31" i="7"/>
  <c r="DL17" i="7"/>
  <c r="DL15" i="7"/>
  <c r="CF8" i="7"/>
  <c r="DL48" i="7"/>
  <c r="AQ103" i="7"/>
  <c r="DL44" i="7"/>
  <c r="AQ70" i="7"/>
  <c r="DL43" i="7"/>
  <c r="DL28" i="7"/>
  <c r="CD8" i="7"/>
  <c r="BW9" i="7"/>
  <c r="BW8" i="7"/>
  <c r="AQ191" i="7" s="1"/>
  <c r="DL39" i="7"/>
  <c r="DL22" i="7"/>
  <c r="DL42" i="7"/>
  <c r="DL24" i="7"/>
  <c r="DL46" i="7"/>
  <c r="DL25" i="7"/>
  <c r="DL26" i="7"/>
  <c r="DL50" i="7"/>
  <c r="DL19" i="7"/>
  <c r="DL21" i="7"/>
  <c r="U198" i="7"/>
  <c r="U197" i="7"/>
  <c r="AQ200" i="7"/>
  <c r="AQ199" i="7"/>
  <c r="AQ196" i="7"/>
  <c r="AQ195" i="7"/>
  <c r="AQ192" i="7"/>
  <c r="U200" i="7"/>
  <c r="U199" i="7"/>
  <c r="U196" i="7"/>
  <c r="U195" i="7"/>
  <c r="U191" i="7"/>
  <c r="U192" i="7"/>
  <c r="Z192" i="7" s="1"/>
  <c r="U193" i="7"/>
  <c r="AN193" i="7"/>
  <c r="AN197" i="7"/>
  <c r="AN198" i="7"/>
  <c r="AQ198" i="7"/>
  <c r="AQ197" i="7"/>
  <c r="U43" i="7"/>
  <c r="AA43" i="7" s="1"/>
  <c r="AW43" i="7" s="1"/>
  <c r="AN141" i="7"/>
  <c r="AQ92" i="7"/>
  <c r="AQ43" i="7"/>
  <c r="Z92" i="7"/>
  <c r="AX92" i="7"/>
  <c r="Z43" i="7"/>
  <c r="AX43" i="7" s="1"/>
  <c r="Z141" i="7"/>
  <c r="AX141" i="7"/>
  <c r="U158" i="7"/>
  <c r="AN106" i="7"/>
  <c r="U19" i="7"/>
  <c r="AA19" i="7" s="1"/>
  <c r="AW19" i="7" s="1"/>
  <c r="DL16" i="7"/>
  <c r="Z72" i="7"/>
  <c r="AX72" i="7"/>
  <c r="Z16" i="7"/>
  <c r="Z105" i="7"/>
  <c r="AX105" i="7"/>
  <c r="U72" i="7"/>
  <c r="AA72" i="7"/>
  <c r="AW72" i="7"/>
  <c r="U105" i="7"/>
  <c r="U16" i="7"/>
  <c r="AA16" i="7"/>
  <c r="AW16" i="7" s="1"/>
  <c r="AA140" i="7"/>
  <c r="AD140" i="7"/>
  <c r="AA135" i="7"/>
  <c r="AD135" i="7"/>
  <c r="U138" i="7"/>
  <c r="AA88" i="7"/>
  <c r="AD88" i="7" s="1"/>
  <c r="U86" i="7"/>
  <c r="U85" i="7"/>
  <c r="AA26" i="7"/>
  <c r="AD26" i="7" s="1"/>
  <c r="U88" i="7"/>
  <c r="U32" i="7"/>
  <c r="AA138" i="7"/>
  <c r="AD138" i="7"/>
  <c r="U140" i="7"/>
  <c r="U136" i="7"/>
  <c r="AA90" i="7"/>
  <c r="AD90" i="7" s="1"/>
  <c r="AA29" i="7"/>
  <c r="AD29" i="7"/>
  <c r="U26" i="7"/>
  <c r="U27" i="7"/>
  <c r="AA136" i="7"/>
  <c r="AD136" i="7" s="1"/>
  <c r="U135" i="7"/>
  <c r="U90" i="7"/>
  <c r="AA86" i="7"/>
  <c r="AD86" i="7"/>
  <c r="AA85" i="7"/>
  <c r="AD85" i="7" s="1"/>
  <c r="AA32" i="7"/>
  <c r="AD32" i="7"/>
  <c r="U29" i="7"/>
  <c r="AA27" i="7"/>
  <c r="AD27" i="7"/>
  <c r="AA102" i="7"/>
  <c r="U106" i="7"/>
  <c r="AN138" i="7"/>
  <c r="AN32" i="7"/>
  <c r="AN90" i="7"/>
  <c r="AN136" i="7"/>
  <c r="AN86" i="7"/>
  <c r="AN85" i="7"/>
  <c r="AN29" i="7"/>
  <c r="AN27" i="7"/>
  <c r="AN26" i="7"/>
  <c r="AN140" i="7"/>
  <c r="AN135" i="7"/>
  <c r="AN88" i="7"/>
  <c r="Z89" i="7"/>
  <c r="AX89" i="7" s="1"/>
  <c r="Z31" i="7"/>
  <c r="AX31" i="7"/>
  <c r="Z139" i="7"/>
  <c r="U89" i="7"/>
  <c r="U31" i="7"/>
  <c r="U139" i="7"/>
  <c r="U104" i="7"/>
  <c r="AA104" i="7"/>
  <c r="AW104" i="7"/>
  <c r="U24" i="7"/>
  <c r="U71" i="7"/>
  <c r="AA71" i="7" s="1"/>
  <c r="AW71" i="7" s="1"/>
  <c r="U25" i="7"/>
  <c r="AA25" i="7"/>
  <c r="AW25" i="7" s="1"/>
  <c r="Z25" i="7"/>
  <c r="AX25" i="7" s="1"/>
  <c r="Z24" i="7"/>
  <c r="AX24" i="7"/>
  <c r="AA23" i="7"/>
  <c r="AW23" i="7"/>
  <c r="U23" i="7"/>
  <c r="AA24" i="7"/>
  <c r="AW24" i="7"/>
  <c r="AA69" i="7"/>
  <c r="AW69" i="7"/>
  <c r="U22" i="7"/>
  <c r="AA22" i="7" s="1"/>
  <c r="AW22" i="7" s="1"/>
  <c r="U21" i="7"/>
  <c r="AA21" i="7"/>
  <c r="AW21" i="7"/>
  <c r="Z18" i="7"/>
  <c r="AX18" i="7"/>
  <c r="U18" i="7"/>
  <c r="AA18" i="7"/>
  <c r="AW18" i="7"/>
  <c r="U17" i="7"/>
  <c r="Z17" i="7"/>
  <c r="AX17" i="7"/>
  <c r="AA17" i="7"/>
  <c r="AW17" i="7" s="1"/>
  <c r="U70" i="7"/>
  <c r="AA70" i="7"/>
  <c r="AW70" i="7"/>
  <c r="AA139" i="7"/>
  <c r="AD139" i="7" s="1"/>
  <c r="U103" i="7"/>
  <c r="AA103" i="7"/>
  <c r="AW103" i="7"/>
  <c r="AA89" i="7"/>
  <c r="AD89" i="7"/>
  <c r="AA31" i="7"/>
  <c r="AD31" i="7" s="1"/>
  <c r="AN137" i="7"/>
  <c r="AN87" i="7"/>
  <c r="AN28" i="7"/>
  <c r="AN104" i="7"/>
  <c r="AN25" i="7"/>
  <c r="AN24" i="7"/>
  <c r="AN23" i="7"/>
  <c r="AN71" i="7"/>
  <c r="AN22" i="7"/>
  <c r="Z122" i="7"/>
  <c r="AX122" i="7" s="1"/>
  <c r="Z130" i="7"/>
  <c r="AX130" i="7"/>
  <c r="Z114" i="7"/>
  <c r="Z128" i="7"/>
  <c r="AX128" i="7" s="1"/>
  <c r="Z120" i="7"/>
  <c r="AX120" i="7"/>
  <c r="Z117" i="7"/>
  <c r="AX117" i="7"/>
  <c r="Z113" i="7"/>
  <c r="AX113" i="7" s="1"/>
  <c r="Z116" i="7"/>
  <c r="AX116" i="7"/>
  <c r="Z112" i="7"/>
  <c r="AX112" i="7"/>
  <c r="Z115" i="7"/>
  <c r="AX115" i="7" s="1"/>
  <c r="Z109" i="7"/>
  <c r="AX109" i="7"/>
  <c r="Z80" i="7"/>
  <c r="AX80" i="7"/>
  <c r="Z71" i="7"/>
  <c r="Z78" i="7"/>
  <c r="AX78" i="7"/>
  <c r="Z77" i="7"/>
  <c r="AX77" i="7"/>
  <c r="Z21" i="7"/>
  <c r="AX21" i="7"/>
  <c r="Z108" i="7"/>
  <c r="AX108" i="7" s="1"/>
  <c r="Z83" i="7"/>
  <c r="AX83" i="7"/>
  <c r="Z79" i="7"/>
  <c r="AX79" i="7"/>
  <c r="Z84" i="7"/>
  <c r="AX84" i="7" s="1"/>
  <c r="Z76" i="7"/>
  <c r="AX76" i="7"/>
  <c r="Z111" i="7"/>
  <c r="AX111" i="7" s="1"/>
  <c r="Z107" i="7"/>
  <c r="AX107" i="7" s="1"/>
  <c r="Z104" i="7"/>
  <c r="AX104" i="7"/>
  <c r="Z82" i="7"/>
  <c r="AX82" i="7"/>
  <c r="Z75" i="7"/>
  <c r="AX75" i="7" s="1"/>
  <c r="Z110" i="7"/>
  <c r="AX110" i="7"/>
  <c r="Z81" i="7"/>
  <c r="AX81" i="7" s="1"/>
  <c r="Z22" i="7"/>
  <c r="AX22" i="7" s="1"/>
  <c r="Z19" i="7"/>
  <c r="AX19" i="7"/>
  <c r="U84" i="7"/>
  <c r="AA84" i="7"/>
  <c r="AW84" i="7" s="1"/>
  <c r="AQ134" i="7"/>
  <c r="AQ130" i="7"/>
  <c r="AQ122" i="7"/>
  <c r="AQ128" i="7"/>
  <c r="AQ116" i="7"/>
  <c r="AQ112" i="7"/>
  <c r="AQ115" i="7"/>
  <c r="AQ114" i="7"/>
  <c r="AQ120" i="7"/>
  <c r="AQ113" i="7"/>
  <c r="AQ117" i="7"/>
  <c r="AQ111" i="7"/>
  <c r="AQ107" i="7"/>
  <c r="AQ82" i="7"/>
  <c r="AQ76" i="7"/>
  <c r="AQ73" i="7"/>
  <c r="AQ110" i="7"/>
  <c r="AQ81" i="7"/>
  <c r="AQ109" i="7"/>
  <c r="AQ80" i="7"/>
  <c r="AQ74" i="7"/>
  <c r="AQ18" i="7"/>
  <c r="AQ108" i="7"/>
  <c r="AQ83" i="7"/>
  <c r="AQ79" i="7"/>
  <c r="AQ78" i="7"/>
  <c r="AQ77" i="7"/>
  <c r="AQ75" i="7"/>
  <c r="AQ21" i="7"/>
  <c r="AQ19" i="7"/>
  <c r="AQ106" i="7"/>
  <c r="AQ89" i="7"/>
  <c r="AQ31" i="7"/>
  <c r="AQ23" i="7"/>
  <c r="AQ71" i="7"/>
  <c r="AQ24" i="7"/>
  <c r="AQ104" i="7"/>
  <c r="AQ25" i="7"/>
  <c r="AQ22" i="7"/>
  <c r="AQ17" i="7"/>
  <c r="AQ132" i="7"/>
  <c r="AQ124" i="7"/>
  <c r="AQ118" i="7"/>
  <c r="AQ126" i="7"/>
  <c r="AN103" i="7"/>
  <c r="AN105" i="7"/>
  <c r="AN16" i="7"/>
  <c r="AN72" i="7"/>
  <c r="Z134" i="7"/>
  <c r="AX134" i="7" s="1"/>
  <c r="U123" i="7"/>
  <c r="AA123" i="7" s="1"/>
  <c r="AW123" i="7" s="1"/>
  <c r="U134" i="7"/>
  <c r="AA134" i="7"/>
  <c r="AW134" i="7" s="1"/>
  <c r="U129" i="7"/>
  <c r="AA129" i="7" s="1"/>
  <c r="AW129" i="7" s="1"/>
  <c r="U128" i="7"/>
  <c r="AA128" i="7"/>
  <c r="AW128" i="7"/>
  <c r="U125" i="7"/>
  <c r="AA125" i="7" s="1"/>
  <c r="AW125" i="7" s="1"/>
  <c r="U131" i="7"/>
  <c r="AA131" i="7"/>
  <c r="AW131" i="7" s="1"/>
  <c r="U122" i="7"/>
  <c r="AA122" i="7" s="1"/>
  <c r="AW122" i="7" s="1"/>
  <c r="U133" i="7"/>
  <c r="AA133" i="7"/>
  <c r="AW133" i="7" s="1"/>
  <c r="U126" i="7"/>
  <c r="AA126" i="7" s="1"/>
  <c r="AW126" i="7" s="1"/>
  <c r="U114" i="7"/>
  <c r="AA114" i="7"/>
  <c r="AW114" i="7"/>
  <c r="U130" i="7"/>
  <c r="AA130" i="7" s="1"/>
  <c r="AW130" i="7" s="1"/>
  <c r="U121" i="7"/>
  <c r="AA121" i="7"/>
  <c r="AW121" i="7" s="1"/>
  <c r="U127" i="7"/>
  <c r="AA127" i="7" s="1"/>
  <c r="AW127" i="7" s="1"/>
  <c r="U124" i="7"/>
  <c r="AA124" i="7"/>
  <c r="AW124" i="7" s="1"/>
  <c r="U118" i="7"/>
  <c r="AA118" i="7" s="1"/>
  <c r="AW118" i="7" s="1"/>
  <c r="U113" i="7"/>
  <c r="AA113" i="7"/>
  <c r="AW113" i="7"/>
  <c r="U117" i="7"/>
  <c r="AA117" i="7" s="1"/>
  <c r="AW117" i="7" s="1"/>
  <c r="U116" i="7"/>
  <c r="AA116" i="7"/>
  <c r="AW116" i="7" s="1"/>
  <c r="U112" i="7"/>
  <c r="AA112" i="7" s="1"/>
  <c r="AW112" i="7" s="1"/>
  <c r="U120" i="7"/>
  <c r="AA120" i="7"/>
  <c r="AW120" i="7" s="1"/>
  <c r="U132" i="7"/>
  <c r="AA132" i="7" s="1"/>
  <c r="AW132" i="7" s="1"/>
  <c r="U115" i="7"/>
  <c r="AA115" i="7"/>
  <c r="AW115" i="7"/>
  <c r="U119" i="7"/>
  <c r="AA119" i="7" s="1"/>
  <c r="AW119" i="7" s="1"/>
  <c r="U110" i="7"/>
  <c r="AA110" i="7"/>
  <c r="AW110" i="7" s="1"/>
  <c r="U81" i="7"/>
  <c r="AA81" i="7" s="1"/>
  <c r="AW81" i="7" s="1"/>
  <c r="U77" i="7"/>
  <c r="AA77" i="7"/>
  <c r="AW77" i="7" s="1"/>
  <c r="AN75" i="7"/>
  <c r="U74" i="7"/>
  <c r="U109" i="7"/>
  <c r="U80" i="7"/>
  <c r="AA80" i="7"/>
  <c r="AW80" i="7" s="1"/>
  <c r="AA75" i="7"/>
  <c r="AW75" i="7" s="1"/>
  <c r="U75" i="7"/>
  <c r="U73" i="7"/>
  <c r="U108" i="7"/>
  <c r="AA108" i="7"/>
  <c r="AW108" i="7" s="1"/>
  <c r="U83" i="7"/>
  <c r="AA83" i="7"/>
  <c r="AW83" i="7"/>
  <c r="U79" i="7"/>
  <c r="AA79" i="7"/>
  <c r="AW79" i="7" s="1"/>
  <c r="U78" i="7"/>
  <c r="AA78" i="7" s="1"/>
  <c r="AW78" i="7" s="1"/>
  <c r="U76" i="7"/>
  <c r="AA76" i="7" s="1"/>
  <c r="AW76" i="7" s="1"/>
  <c r="AA74" i="7"/>
  <c r="AW74" i="7" s="1"/>
  <c r="U111" i="7"/>
  <c r="AA111" i="7"/>
  <c r="AW111" i="7" s="1"/>
  <c r="U107" i="7"/>
  <c r="AA107" i="7" s="1"/>
  <c r="AW107" i="7" s="1"/>
  <c r="U82" i="7"/>
  <c r="AA82" i="7"/>
  <c r="AW82" i="7"/>
  <c r="AA73" i="7"/>
  <c r="AW73" i="7" s="1"/>
  <c r="AN131" i="7"/>
  <c r="AN134" i="7"/>
  <c r="AN123" i="7"/>
  <c r="AN129" i="7"/>
  <c r="AN120" i="7"/>
  <c r="AN126" i="7"/>
  <c r="AN117" i="7"/>
  <c r="AN113" i="7"/>
  <c r="AN128" i="7"/>
  <c r="AN127" i="7"/>
  <c r="AN119" i="7"/>
  <c r="AN116" i="7"/>
  <c r="AN112" i="7"/>
  <c r="AN132" i="7"/>
  <c r="AN124" i="7"/>
  <c r="AN115" i="7"/>
  <c r="AN121" i="7"/>
  <c r="AN130" i="7"/>
  <c r="AN122" i="7"/>
  <c r="AN133" i="7"/>
  <c r="AN118" i="7"/>
  <c r="AN114" i="7"/>
  <c r="AN125" i="7"/>
  <c r="AN111" i="7"/>
  <c r="AN83" i="7"/>
  <c r="AN79" i="7"/>
  <c r="AN110" i="7"/>
  <c r="AN107" i="7"/>
  <c r="AN82" i="7"/>
  <c r="AN78" i="7"/>
  <c r="AN77" i="7"/>
  <c r="AN73" i="7"/>
  <c r="AN109" i="7"/>
  <c r="AN81" i="7"/>
  <c r="AN108" i="7"/>
  <c r="AN80" i="7"/>
  <c r="AN76" i="7"/>
  <c r="AN74" i="7"/>
  <c r="U87" i="7"/>
  <c r="AA87" i="7"/>
  <c r="AD87" i="7" s="1"/>
  <c r="U28" i="7"/>
  <c r="AA28" i="7" s="1"/>
  <c r="AD28" i="7"/>
  <c r="AD65" i="7" s="1"/>
  <c r="U137" i="7"/>
  <c r="AA137" i="7"/>
  <c r="AD137" i="7" s="1"/>
  <c r="AN18" i="7"/>
  <c r="Z132" i="7"/>
  <c r="AX132" i="7"/>
  <c r="Z126" i="7"/>
  <c r="AX126" i="7" s="1"/>
  <c r="Z124" i="7"/>
  <c r="AX124" i="7" s="1"/>
  <c r="Z118" i="7"/>
  <c r="AX118" i="7" s="1"/>
  <c r="AN19" i="7"/>
  <c r="D134" i="7"/>
  <c r="AR134" i="7" s="1"/>
  <c r="AY134" i="7" s="1"/>
  <c r="D133" i="7"/>
  <c r="AR133" i="7" s="1"/>
  <c r="AY133" i="7"/>
  <c r="D132" i="7"/>
  <c r="AR132" i="7" s="1"/>
  <c r="AY132" i="7" s="1"/>
  <c r="D131" i="7"/>
  <c r="AR131" i="7"/>
  <c r="AY131" i="7"/>
  <c r="D130" i="7"/>
  <c r="AR130" i="7" s="1"/>
  <c r="AY130" i="7" s="1"/>
  <c r="D129" i="7"/>
  <c r="AR129" i="7" s="1"/>
  <c r="AY129" i="7" s="1"/>
  <c r="D128" i="7"/>
  <c r="AR128" i="7" s="1"/>
  <c r="AY128" i="7" s="1"/>
  <c r="D123" i="7"/>
  <c r="AR123" i="7" s="1"/>
  <c r="AY123" i="7" s="1"/>
  <c r="D122" i="7"/>
  <c r="AR122" i="7" s="1"/>
  <c r="AY122" i="7" s="1"/>
  <c r="D121" i="7"/>
  <c r="AR121" i="7"/>
  <c r="AY121" i="7" s="1"/>
  <c r="D120" i="7"/>
  <c r="AR120" i="7" s="1"/>
  <c r="AY120" i="7" s="1"/>
  <c r="D119" i="7"/>
  <c r="AR119" i="7" s="1"/>
  <c r="AY119" i="7" s="1"/>
  <c r="D124" i="7"/>
  <c r="AR124" i="7" s="1"/>
  <c r="AY124" i="7" s="1"/>
  <c r="D125" i="7"/>
  <c r="AR125" i="7" s="1"/>
  <c r="AY125" i="7"/>
  <c r="D126" i="7"/>
  <c r="AR126" i="7" s="1"/>
  <c r="AY126" i="7" s="1"/>
  <c r="D127" i="7"/>
  <c r="AR127" i="7"/>
  <c r="AY127" i="7"/>
  <c r="D118" i="7"/>
  <c r="AR118" i="7" s="1"/>
  <c r="AY118" i="7" s="1"/>
  <c r="D117" i="7"/>
  <c r="AR117" i="7" s="1"/>
  <c r="AY117" i="7" s="1"/>
  <c r="D113" i="7"/>
  <c r="AR113" i="7" s="1"/>
  <c r="AY113" i="7" s="1"/>
  <c r="D114" i="7"/>
  <c r="AR114" i="7" s="1"/>
  <c r="AY114" i="7" s="1"/>
  <c r="D115" i="7"/>
  <c r="AR115" i="7" s="1"/>
  <c r="AY115" i="7" s="1"/>
  <c r="D116" i="7"/>
  <c r="AR116" i="7"/>
  <c r="AY116" i="7"/>
  <c r="D112" i="7"/>
  <c r="AR112" i="7" s="1"/>
  <c r="AY112" i="7" s="1"/>
  <c r="D108" i="7"/>
  <c r="AR108" i="7" s="1"/>
  <c r="AY108" i="7" s="1"/>
  <c r="D109" i="7"/>
  <c r="AR109" i="7"/>
  <c r="AY109" i="7" s="1"/>
  <c r="D110" i="7"/>
  <c r="AR110" i="7"/>
  <c r="AY110" i="7" s="1"/>
  <c r="D111" i="7"/>
  <c r="AR111" i="7"/>
  <c r="AY111" i="7" s="1"/>
  <c r="D107" i="7"/>
  <c r="AR107" i="7" s="1"/>
  <c r="AY107" i="7"/>
  <c r="D106" i="7"/>
  <c r="AR106" i="7"/>
  <c r="AY106" i="7" s="1"/>
  <c r="C103" i="7"/>
  <c r="AR103" i="7" s="1"/>
  <c r="AR102" i="7"/>
  <c r="AY102" i="7" s="1"/>
  <c r="E140" i="7"/>
  <c r="AS140" i="7"/>
  <c r="AS153" i="7" s="1"/>
  <c r="E139" i="7"/>
  <c r="AS139" i="7"/>
  <c r="AY139" i="7" s="1"/>
  <c r="E138" i="7"/>
  <c r="AS138" i="7"/>
  <c r="AY138" i="7"/>
  <c r="E137" i="7"/>
  <c r="AS137" i="7"/>
  <c r="AY137" i="7" s="1"/>
  <c r="E136" i="7"/>
  <c r="AS136" i="7"/>
  <c r="AY136" i="7"/>
  <c r="E135" i="7"/>
  <c r="AS135" i="7"/>
  <c r="AY135" i="7" s="1"/>
  <c r="C105" i="7"/>
  <c r="AR105" i="7"/>
  <c r="AY105" i="7"/>
  <c r="C104" i="7"/>
  <c r="AR104" i="7"/>
  <c r="AY104" i="7" s="1"/>
  <c r="C71" i="7"/>
  <c r="AR71" i="7"/>
  <c r="AY71" i="7" s="1"/>
  <c r="E90" i="7"/>
  <c r="AS90" i="7"/>
  <c r="AY90" i="7" s="1"/>
  <c r="E89" i="7"/>
  <c r="AS89" i="7"/>
  <c r="E88" i="7"/>
  <c r="T88" i="7" s="1"/>
  <c r="E87" i="7"/>
  <c r="AS87" i="7"/>
  <c r="AY87" i="7" s="1"/>
  <c r="E86" i="7"/>
  <c r="AS86" i="7"/>
  <c r="AY86" i="7" s="1"/>
  <c r="E85" i="7"/>
  <c r="T85" i="7" s="1"/>
  <c r="D84" i="7"/>
  <c r="AR84" i="7"/>
  <c r="D83" i="7"/>
  <c r="AR83" i="7"/>
  <c r="AY83" i="7" s="1"/>
  <c r="D82" i="7"/>
  <c r="AR82" i="7" s="1"/>
  <c r="AY82" i="7" s="1"/>
  <c r="D81" i="7"/>
  <c r="AR81" i="7"/>
  <c r="D80" i="7"/>
  <c r="AR80" i="7"/>
  <c r="AY80" i="7" s="1"/>
  <c r="D79" i="7"/>
  <c r="AR79" i="7" s="1"/>
  <c r="AY79" i="7" s="1"/>
  <c r="D78" i="7"/>
  <c r="AR78" i="7"/>
  <c r="AY78" i="7" s="1"/>
  <c r="D77" i="7"/>
  <c r="AR77" i="7"/>
  <c r="AY77" i="7" s="1"/>
  <c r="D76" i="7"/>
  <c r="AR76" i="7" s="1"/>
  <c r="AY76" i="7" s="1"/>
  <c r="D75" i="7"/>
  <c r="AR75" i="7"/>
  <c r="AY75" i="7" s="1"/>
  <c r="D74" i="7"/>
  <c r="AR74" i="7"/>
  <c r="D73" i="7"/>
  <c r="AR73" i="7" s="1"/>
  <c r="AY73" i="7" s="1"/>
  <c r="C72" i="7"/>
  <c r="AR72" i="7"/>
  <c r="AY72" i="7" s="1"/>
  <c r="AR69" i="7"/>
  <c r="W65" i="7"/>
  <c r="W173" i="7" s="1"/>
  <c r="X65" i="7"/>
  <c r="Y65" i="7"/>
  <c r="AB65" i="7"/>
  <c r="AC65" i="7"/>
  <c r="AE65" i="7"/>
  <c r="AF65" i="7"/>
  <c r="AF173" i="7" s="1"/>
  <c r="AG65" i="7"/>
  <c r="AH65" i="7"/>
  <c r="AI65" i="7"/>
  <c r="AJ65" i="7"/>
  <c r="AK65" i="7"/>
  <c r="AL65" i="7"/>
  <c r="AL173" i="7" s="1"/>
  <c r="AM65" i="7"/>
  <c r="AO65" i="7"/>
  <c r="AP65" i="7"/>
  <c r="AV65" i="7"/>
  <c r="AZ65" i="7"/>
  <c r="BA65" i="7"/>
  <c r="BB65" i="7"/>
  <c r="BC65" i="7"/>
  <c r="BD65" i="7"/>
  <c r="BG65" i="7"/>
  <c r="BH65" i="7"/>
  <c r="BH173" i="7" s="1"/>
  <c r="BI65" i="7"/>
  <c r="BJ65" i="7"/>
  <c r="BK65" i="7"/>
  <c r="BL65" i="7"/>
  <c r="BM65" i="7"/>
  <c r="BN65" i="7"/>
  <c r="BN173" i="7" s="1"/>
  <c r="BO65" i="7"/>
  <c r="BO173" i="7" s="1"/>
  <c r="BQ65" i="7"/>
  <c r="BQ173" i="7" s="1"/>
  <c r="BR65" i="7"/>
  <c r="BS65" i="7"/>
  <c r="BW65" i="7"/>
  <c r="BY65" i="7"/>
  <c r="BZ65" i="7"/>
  <c r="BZ173" i="7" s="1"/>
  <c r="CA65" i="7"/>
  <c r="CB65" i="7"/>
  <c r="CD65" i="7"/>
  <c r="CF65" i="7"/>
  <c r="CH65" i="7"/>
  <c r="CI65" i="7"/>
  <c r="CJ65" i="7"/>
  <c r="CM65" i="7"/>
  <c r="CT65" i="7"/>
  <c r="CU65" i="7"/>
  <c r="CV65" i="7"/>
  <c r="CW65" i="7"/>
  <c r="CW173" i="7" s="1"/>
  <c r="CZ65" i="7"/>
  <c r="CZ173" i="7" s="1"/>
  <c r="DA65" i="7"/>
  <c r="DB65" i="7"/>
  <c r="DC65" i="7"/>
  <c r="F65" i="7"/>
  <c r="G65" i="7"/>
  <c r="G173" i="7" s="1"/>
  <c r="I65" i="7"/>
  <c r="J65" i="7"/>
  <c r="K65" i="7"/>
  <c r="L65" i="7"/>
  <c r="M65" i="7"/>
  <c r="N65" i="7"/>
  <c r="O65" i="7"/>
  <c r="P65" i="7"/>
  <c r="Q65" i="7"/>
  <c r="R65" i="7"/>
  <c r="S65" i="7"/>
  <c r="AR42" i="7"/>
  <c r="AY42" i="7" s="1"/>
  <c r="C16" i="7"/>
  <c r="AT16" i="7" s="1"/>
  <c r="AT14" i="7"/>
  <c r="AR39" i="7"/>
  <c r="E32" i="7"/>
  <c r="AS32" i="7"/>
  <c r="AY32" i="7" s="1"/>
  <c r="E31" i="7"/>
  <c r="E29" i="7"/>
  <c r="AS29" i="7" s="1"/>
  <c r="E28" i="7"/>
  <c r="AS28" i="7"/>
  <c r="AY28" i="7" s="1"/>
  <c r="E27" i="7"/>
  <c r="AS27" i="7" s="1"/>
  <c r="AY27" i="7" s="1"/>
  <c r="E26" i="7"/>
  <c r="C25" i="7"/>
  <c r="AR25" i="7"/>
  <c r="C24" i="7"/>
  <c r="AR24" i="7" s="1"/>
  <c r="C23" i="7"/>
  <c r="AR23" i="7" s="1"/>
  <c r="C22" i="7"/>
  <c r="AR22" i="7"/>
  <c r="H15" i="7"/>
  <c r="H65" i="7" s="1"/>
  <c r="H173" i="7" s="1"/>
  <c r="D21" i="7"/>
  <c r="AR21" i="7" s="1"/>
  <c r="D19" i="7"/>
  <c r="AR19" i="7"/>
  <c r="D18" i="7"/>
  <c r="AR18" i="7" s="1"/>
  <c r="AA192" i="7"/>
  <c r="AX192" i="7"/>
  <c r="AA191" i="7"/>
  <c r="AW191" i="7" s="1"/>
  <c r="Z191" i="7"/>
  <c r="AX191" i="7" s="1"/>
  <c r="Z199" i="7"/>
  <c r="AA199" i="7"/>
  <c r="AD199" i="7"/>
  <c r="AD209" i="7" s="1"/>
  <c r="AA197" i="7"/>
  <c r="AW197" i="7"/>
  <c r="Z197" i="7"/>
  <c r="AX197" i="7"/>
  <c r="Z195" i="7"/>
  <c r="AX195" i="7"/>
  <c r="AA195" i="7"/>
  <c r="AW195" i="7"/>
  <c r="AA200" i="7"/>
  <c r="AD200" i="7"/>
  <c r="Z200" i="7"/>
  <c r="Z198" i="7"/>
  <c r="AX198" i="7" s="1"/>
  <c r="AA198" i="7"/>
  <c r="AW198" i="7" s="1"/>
  <c r="AA193" i="7"/>
  <c r="AW193" i="7"/>
  <c r="Z193" i="7"/>
  <c r="AX193" i="7" s="1"/>
  <c r="AA196" i="7"/>
  <c r="AW196" i="7" s="1"/>
  <c r="Z196" i="7"/>
  <c r="AX196" i="7"/>
  <c r="DL92" i="7"/>
  <c r="AW65" i="7"/>
  <c r="C65" i="7"/>
  <c r="T135" i="7"/>
  <c r="T136" i="7"/>
  <c r="T139" i="7"/>
  <c r="AA106" i="7"/>
  <c r="AW106" i="7"/>
  <c r="T137" i="7"/>
  <c r="T138" i="7"/>
  <c r="T140" i="7"/>
  <c r="AA109" i="7"/>
  <c r="AW109" i="7"/>
  <c r="C70" i="7"/>
  <c r="AR70" i="7" s="1"/>
  <c r="AY70" i="7" s="1"/>
  <c r="AY81" i="7"/>
  <c r="AY84" i="7"/>
  <c r="AY74" i="7"/>
  <c r="CT153" i="7"/>
  <c r="CU153" i="7"/>
  <c r="CV153" i="7"/>
  <c r="CW153" i="7"/>
  <c r="CZ153" i="7"/>
  <c r="DA153" i="7"/>
  <c r="DB153" i="7"/>
  <c r="CT98" i="7"/>
  <c r="CT173" i="7" s="1"/>
  <c r="CU98" i="7"/>
  <c r="CV98" i="7"/>
  <c r="CV173" i="7" s="1"/>
  <c r="CW98" i="7"/>
  <c r="CZ98" i="7"/>
  <c r="DA98" i="7"/>
  <c r="DB93" i="7"/>
  <c r="DB98" i="7" s="1"/>
  <c r="AY69" i="7"/>
  <c r="AY89" i="7"/>
  <c r="DA173" i="7"/>
  <c r="CU173" i="7"/>
  <c r="T86" i="7"/>
  <c r="T87" i="7"/>
  <c r="T89" i="7"/>
  <c r="T98" i="7" s="1"/>
  <c r="T90" i="7"/>
  <c r="BO98" i="7"/>
  <c r="BQ98" i="7"/>
  <c r="BR98" i="7"/>
  <c r="BR173" i="7"/>
  <c r="BS98" i="7"/>
  <c r="BS173" i="7"/>
  <c r="CD153" i="7"/>
  <c r="CF153" i="7"/>
  <c r="CF173" i="7" s="1"/>
  <c r="CH153" i="7"/>
  <c r="CI153" i="7"/>
  <c r="CJ153" i="7"/>
  <c r="CD98" i="7"/>
  <c r="CF98" i="7"/>
  <c r="CH98" i="7"/>
  <c r="CI98" i="7"/>
  <c r="CJ98" i="7"/>
  <c r="AY21" i="7"/>
  <c r="AY19" i="7"/>
  <c r="CJ173" i="7"/>
  <c r="CI173" i="7"/>
  <c r="AR17" i="7"/>
  <c r="BD153" i="7"/>
  <c r="BE153" i="7"/>
  <c r="BE173" i="7" s="1"/>
  <c r="BY153" i="7"/>
  <c r="BY173" i="7" s="1"/>
  <c r="BZ153" i="7"/>
  <c r="CA153" i="7"/>
  <c r="CB153" i="7"/>
  <c r="CM153" i="7"/>
  <c r="CM173" i="7" s="1"/>
  <c r="BD268" i="7"/>
  <c r="BE268" i="7"/>
  <c r="BE285" i="7" s="1"/>
  <c r="BD209" i="7"/>
  <c r="BD227" i="7" s="1"/>
  <c r="BE209" i="7"/>
  <c r="BE227" i="7"/>
  <c r="BY209" i="7"/>
  <c r="BZ209" i="7"/>
  <c r="BZ227" i="7"/>
  <c r="CA209" i="7"/>
  <c r="CA227" i="7"/>
  <c r="CB209" i="7"/>
  <c r="CB227" i="7"/>
  <c r="CM227" i="7"/>
  <c r="BD98" i="7"/>
  <c r="BD173" i="7" s="1"/>
  <c r="BE98" i="7"/>
  <c r="BG98" i="7"/>
  <c r="BG173" i="7"/>
  <c r="BH98" i="7"/>
  <c r="BI98" i="7"/>
  <c r="BJ98" i="7"/>
  <c r="BJ173" i="7"/>
  <c r="BK98" i="7"/>
  <c r="BK173" i="7" s="1"/>
  <c r="BL98" i="7"/>
  <c r="BM98" i="7"/>
  <c r="BM173" i="7"/>
  <c r="BN98" i="7"/>
  <c r="BW98" i="7"/>
  <c r="BW173" i="7" s="1"/>
  <c r="BY98" i="7"/>
  <c r="BZ98" i="7"/>
  <c r="CA98" i="7"/>
  <c r="CB98" i="7"/>
  <c r="CM98" i="7"/>
  <c r="U398" i="7"/>
  <c r="AA398" i="7" s="1"/>
  <c r="AW398" i="7" s="1"/>
  <c r="U396" i="7"/>
  <c r="AA396" i="7" s="1"/>
  <c r="AW396" i="7" s="1"/>
  <c r="U394" i="7"/>
  <c r="AA394" i="7" s="1"/>
  <c r="AW394" i="7" s="1"/>
  <c r="U392" i="7"/>
  <c r="AA392" i="7"/>
  <c r="AW392" i="7" s="1"/>
  <c r="AA357" i="7"/>
  <c r="AW357" i="7" s="1"/>
  <c r="U355" i="7"/>
  <c r="U364" i="7"/>
  <c r="AA364" i="7"/>
  <c r="AW364" i="7" s="1"/>
  <c r="U362" i="7"/>
  <c r="AA362" i="7" s="1"/>
  <c r="AW362" i="7" s="1"/>
  <c r="U360" i="7"/>
  <c r="AA360" i="7" s="1"/>
  <c r="AW360" i="7" s="1"/>
  <c r="U358" i="7"/>
  <c r="AA358" i="7" s="1"/>
  <c r="AW358" i="7" s="1"/>
  <c r="AN357" i="7"/>
  <c r="AN383" i="7"/>
  <c r="U356" i="7"/>
  <c r="AA355" i="7"/>
  <c r="AW355" i="7"/>
  <c r="U357" i="7"/>
  <c r="AA356" i="7"/>
  <c r="AW356" i="7" s="1"/>
  <c r="U365" i="7"/>
  <c r="AA365" i="7" s="1"/>
  <c r="AW365" i="7"/>
  <c r="U363" i="7"/>
  <c r="AA363" i="7" s="1"/>
  <c r="AW363" i="7" s="1"/>
  <c r="U361" i="7"/>
  <c r="AA361" i="7" s="1"/>
  <c r="AW361" i="7" s="1"/>
  <c r="U359" i="7"/>
  <c r="AA359" i="7"/>
  <c r="AW359" i="7" s="1"/>
  <c r="U399" i="7"/>
  <c r="AA399" i="7" s="1"/>
  <c r="AW399" i="7" s="1"/>
  <c r="U397" i="7"/>
  <c r="AA397" i="7" s="1"/>
  <c r="AW397" i="7" s="1"/>
  <c r="U395" i="7"/>
  <c r="AA395" i="7" s="1"/>
  <c r="AW395" i="7"/>
  <c r="U393" i="7"/>
  <c r="AA393" i="7"/>
  <c r="AW393" i="7" s="1"/>
  <c r="Z399" i="7"/>
  <c r="AX399" i="7"/>
  <c r="Z397" i="7"/>
  <c r="AX397" i="7"/>
  <c r="Z395" i="7"/>
  <c r="AX395" i="7"/>
  <c r="Z393" i="7"/>
  <c r="AX393" i="7"/>
  <c r="Z365" i="7"/>
  <c r="AX365" i="7"/>
  <c r="Z363" i="7"/>
  <c r="AX363" i="7"/>
  <c r="Z361" i="7"/>
  <c r="AX361" i="7"/>
  <c r="Z359" i="7"/>
  <c r="AX359" i="7"/>
  <c r="Z306" i="7"/>
  <c r="AX306" i="7"/>
  <c r="Z398" i="7"/>
  <c r="AX398" i="7"/>
  <c r="Z396" i="7"/>
  <c r="AX396" i="7"/>
  <c r="Z394" i="7"/>
  <c r="AX394" i="7"/>
  <c r="Z392" i="7"/>
  <c r="AX392" i="7"/>
  <c r="Z389" i="7"/>
  <c r="Z353" i="7"/>
  <c r="Z307" i="7"/>
  <c r="AX307" i="7"/>
  <c r="Z366" i="7"/>
  <c r="AX366" i="7"/>
  <c r="Z364" i="7"/>
  <c r="AX364" i="7"/>
  <c r="Z362" i="7"/>
  <c r="AX362" i="7"/>
  <c r="Z360" i="7"/>
  <c r="AX360" i="7"/>
  <c r="Z358" i="7"/>
  <c r="AX358" i="7"/>
  <c r="Z357" i="7"/>
  <c r="AX357" i="7"/>
  <c r="Z305" i="7"/>
  <c r="AX305" i="7"/>
  <c r="U366" i="7"/>
  <c r="AA366" i="7"/>
  <c r="AW366" i="7" s="1"/>
  <c r="U389" i="7"/>
  <c r="AA389" i="7"/>
  <c r="AW389" i="7"/>
  <c r="U353" i="7"/>
  <c r="AA353" i="7"/>
  <c r="AW353" i="7" s="1"/>
  <c r="U310" i="7"/>
  <c r="AA310" i="7"/>
  <c r="AW310" i="7"/>
  <c r="AA309" i="7"/>
  <c r="AW309" i="7"/>
  <c r="U307" i="7"/>
  <c r="AA307" i="7"/>
  <c r="AW307" i="7"/>
  <c r="Z310" i="7"/>
  <c r="AX310" i="7" s="1"/>
  <c r="U309" i="7"/>
  <c r="AA308" i="7"/>
  <c r="AW308" i="7"/>
  <c r="U308" i="7"/>
  <c r="Z309" i="7"/>
  <c r="AX309" i="7" s="1"/>
  <c r="CA173" i="7"/>
  <c r="U370" i="7"/>
  <c r="BD285" i="7"/>
  <c r="BY227" i="7"/>
  <c r="CB173" i="7"/>
  <c r="O15" i="6"/>
  <c r="O14" i="6"/>
  <c r="O13" i="6"/>
  <c r="O12" i="6"/>
  <c r="O11" i="6"/>
  <c r="L11" i="6"/>
  <c r="AA370" i="7"/>
  <c r="AD370" i="7"/>
  <c r="AA315" i="7"/>
  <c r="AD315" i="7" s="1"/>
  <c r="U416" i="7"/>
  <c r="U388" i="7"/>
  <c r="AA371" i="7"/>
  <c r="AD371" i="7" s="1"/>
  <c r="U352" i="7"/>
  <c r="AX389" i="7"/>
  <c r="U369" i="7"/>
  <c r="AA369" i="7" s="1"/>
  <c r="AD369" i="7" s="1"/>
  <c r="U313" i="7"/>
  <c r="AA313" i="7"/>
  <c r="AD313" i="7" s="1"/>
  <c r="U321" i="7"/>
  <c r="AA321" i="7"/>
  <c r="AW321" i="7" s="1"/>
  <c r="AA314" i="7"/>
  <c r="AD314" i="7"/>
  <c r="U314" i="7"/>
  <c r="AD411" i="7"/>
  <c r="AA352" i="7"/>
  <c r="AW352" i="7" s="1"/>
  <c r="AA388" i="7"/>
  <c r="AW388" i="7"/>
  <c r="O120" i="6"/>
  <c r="P120" i="6" s="1"/>
  <c r="Q120" i="6" s="1"/>
  <c r="M120" i="6"/>
  <c r="K120" i="6"/>
  <c r="J230" i="6"/>
  <c r="O230" i="6"/>
  <c r="M230" i="6"/>
  <c r="K230" i="6"/>
  <c r="O287" i="6"/>
  <c r="O286" i="6"/>
  <c r="M287" i="6"/>
  <c r="M286" i="6"/>
  <c r="L287" i="6"/>
  <c r="L286" i="6"/>
  <c r="P286" i="6" s="1"/>
  <c r="Q286" i="6" s="1"/>
  <c r="J287" i="6"/>
  <c r="J286" i="6"/>
  <c r="E281" i="6"/>
  <c r="I281" i="6"/>
  <c r="E280" i="6"/>
  <c r="J280" i="6"/>
  <c r="G230" i="6"/>
  <c r="L201" i="6"/>
  <c r="L200" i="6"/>
  <c r="W287" i="6"/>
  <c r="T287" i="6"/>
  <c r="S287" i="6"/>
  <c r="R287" i="6"/>
  <c r="W286" i="6"/>
  <c r="T286" i="6"/>
  <c r="S286" i="6"/>
  <c r="R286" i="6"/>
  <c r="E279" i="6"/>
  <c r="W278" i="6"/>
  <c r="T278" i="6"/>
  <c r="U278" i="6" s="1"/>
  <c r="V278" i="6" s="1"/>
  <c r="S278" i="6"/>
  <c r="R278" i="6"/>
  <c r="P278" i="6"/>
  <c r="Q278" i="6" s="1"/>
  <c r="W269" i="6"/>
  <c r="T269" i="6"/>
  <c r="S269" i="6"/>
  <c r="R269" i="6"/>
  <c r="P269" i="6"/>
  <c r="Q269" i="6" s="1"/>
  <c r="W268" i="6"/>
  <c r="T268" i="6"/>
  <c r="U268" i="6" s="1"/>
  <c r="S268" i="6"/>
  <c r="R268" i="6"/>
  <c r="P268" i="6"/>
  <c r="Q268" i="6"/>
  <c r="W267" i="6"/>
  <c r="T267" i="6"/>
  <c r="S267" i="6"/>
  <c r="R267" i="6"/>
  <c r="P267" i="6"/>
  <c r="Q267" i="6"/>
  <c r="W266" i="6"/>
  <c r="T266" i="6"/>
  <c r="U266" i="6" s="1"/>
  <c r="S266" i="6"/>
  <c r="R266" i="6"/>
  <c r="P266" i="6"/>
  <c r="Q266" i="6"/>
  <c r="W265" i="6"/>
  <c r="T265" i="6"/>
  <c r="S265" i="6"/>
  <c r="R265" i="6"/>
  <c r="P265" i="6"/>
  <c r="Q265" i="6"/>
  <c r="W264" i="6"/>
  <c r="T264" i="6"/>
  <c r="U264" i="6"/>
  <c r="S264" i="6"/>
  <c r="R264" i="6"/>
  <c r="P264" i="6"/>
  <c r="Q264" i="6"/>
  <c r="W263" i="6"/>
  <c r="T263" i="6"/>
  <c r="S263" i="6"/>
  <c r="R263" i="6"/>
  <c r="P263" i="6"/>
  <c r="Q263" i="6"/>
  <c r="T260" i="6"/>
  <c r="S260" i="6"/>
  <c r="N260" i="6"/>
  <c r="J260" i="6"/>
  <c r="T259" i="6"/>
  <c r="U259" i="6" s="1"/>
  <c r="S259" i="6"/>
  <c r="N259" i="6"/>
  <c r="J259" i="6"/>
  <c r="T258" i="6"/>
  <c r="S258" i="6"/>
  <c r="M258" i="6"/>
  <c r="M295" i="6" s="1"/>
  <c r="J258" i="6"/>
  <c r="T257" i="6"/>
  <c r="S257" i="6"/>
  <c r="L257" i="6"/>
  <c r="J257" i="6"/>
  <c r="T256" i="6"/>
  <c r="S256" i="6"/>
  <c r="O256" i="6"/>
  <c r="J256" i="6"/>
  <c r="T255" i="6"/>
  <c r="S255" i="6"/>
  <c r="O255" i="6"/>
  <c r="L255" i="6"/>
  <c r="J255" i="6"/>
  <c r="T254" i="6"/>
  <c r="U254" i="6" s="1"/>
  <c r="S254" i="6"/>
  <c r="O254" i="6"/>
  <c r="J254" i="6"/>
  <c r="P254" i="6" s="1"/>
  <c r="Q254" i="6" s="1"/>
  <c r="T253" i="6"/>
  <c r="U253" i="6"/>
  <c r="S253" i="6"/>
  <c r="O253" i="6"/>
  <c r="L253" i="6"/>
  <c r="J253" i="6"/>
  <c r="P253" i="6" s="1"/>
  <c r="Q253" i="6" s="1"/>
  <c r="T252" i="6"/>
  <c r="S252" i="6"/>
  <c r="O252" i="6"/>
  <c r="L252" i="6"/>
  <c r="J252" i="6"/>
  <c r="P252" i="6" s="1"/>
  <c r="Q252" i="6" s="1"/>
  <c r="T251" i="6"/>
  <c r="S251" i="6"/>
  <c r="O251" i="6"/>
  <c r="L251" i="6"/>
  <c r="J251" i="6"/>
  <c r="P250" i="6"/>
  <c r="Q250" i="6"/>
  <c r="G249" i="6"/>
  <c r="G248" i="6"/>
  <c r="S248" i="6" s="1"/>
  <c r="G247" i="6"/>
  <c r="S247" i="6"/>
  <c r="T246" i="6"/>
  <c r="V246" i="6" s="1"/>
  <c r="S246" i="6"/>
  <c r="O246" i="6"/>
  <c r="I246" i="6"/>
  <c r="T245" i="6"/>
  <c r="S245" i="6"/>
  <c r="O245" i="6"/>
  <c r="I245" i="6"/>
  <c r="P245" i="6" s="1"/>
  <c r="T244" i="6"/>
  <c r="S244" i="6"/>
  <c r="O244" i="6"/>
  <c r="I244" i="6"/>
  <c r="T243" i="6"/>
  <c r="V243" i="6" s="1"/>
  <c r="S243" i="6"/>
  <c r="O243" i="6"/>
  <c r="I243" i="6"/>
  <c r="T242" i="6"/>
  <c r="S242" i="6"/>
  <c r="O242" i="6"/>
  <c r="J242" i="6"/>
  <c r="P242" i="6" s="1"/>
  <c r="Q242" i="6" s="1"/>
  <c r="T241" i="6"/>
  <c r="S241" i="6"/>
  <c r="O241" i="6"/>
  <c r="J241" i="6"/>
  <c r="T240" i="6"/>
  <c r="U240" i="6" s="1"/>
  <c r="V240" i="6" s="1"/>
  <c r="S240" i="6"/>
  <c r="O240" i="6"/>
  <c r="J240" i="6"/>
  <c r="P240" i="6" s="1"/>
  <c r="T239" i="6"/>
  <c r="S239" i="6"/>
  <c r="O239" i="6"/>
  <c r="J239" i="6"/>
  <c r="T238" i="6"/>
  <c r="S238" i="6"/>
  <c r="O238" i="6"/>
  <c r="J238" i="6"/>
  <c r="T237" i="6"/>
  <c r="U237" i="6" s="1"/>
  <c r="S237" i="6"/>
  <c r="O237" i="6"/>
  <c r="J237" i="6"/>
  <c r="T236" i="6"/>
  <c r="S236" i="6"/>
  <c r="O236" i="6"/>
  <c r="J236" i="6"/>
  <c r="P236" i="6" s="1"/>
  <c r="Q236" i="6" s="1"/>
  <c r="T235" i="6"/>
  <c r="S235" i="6"/>
  <c r="O235" i="6"/>
  <c r="J235" i="6"/>
  <c r="T234" i="6"/>
  <c r="S234" i="6"/>
  <c r="O234" i="6"/>
  <c r="J234" i="6"/>
  <c r="T233" i="6"/>
  <c r="S233" i="6"/>
  <c r="O233" i="6"/>
  <c r="L233" i="6"/>
  <c r="P233" i="6" s="1"/>
  <c r="Q233" i="6" s="1"/>
  <c r="J233" i="6"/>
  <c r="T232" i="6"/>
  <c r="S232" i="6"/>
  <c r="O232" i="6"/>
  <c r="L232" i="6"/>
  <c r="I232" i="6"/>
  <c r="P229" i="6"/>
  <c r="Q229" i="6"/>
  <c r="W228" i="6"/>
  <c r="T228" i="6"/>
  <c r="S228" i="6"/>
  <c r="R228" i="6"/>
  <c r="L228" i="6"/>
  <c r="G227" i="6"/>
  <c r="N227" i="6" s="1"/>
  <c r="G226" i="6"/>
  <c r="T226" i="6"/>
  <c r="G225" i="6"/>
  <c r="O225" i="6" s="1"/>
  <c r="P225" i="6" s="1"/>
  <c r="Q225" i="6" s="1"/>
  <c r="T225" i="6"/>
  <c r="U225" i="6" s="1"/>
  <c r="G224" i="6"/>
  <c r="T223" i="6"/>
  <c r="S223" i="6"/>
  <c r="M223" i="6"/>
  <c r="J223" i="6"/>
  <c r="T222" i="6"/>
  <c r="U222" i="6" s="1"/>
  <c r="S222" i="6"/>
  <c r="N222" i="6"/>
  <c r="P222" i="6" s="1"/>
  <c r="Q222" i="6" s="1"/>
  <c r="J222" i="6"/>
  <c r="T221" i="6"/>
  <c r="S221" i="6"/>
  <c r="N221" i="6"/>
  <c r="P221" i="6" s="1"/>
  <c r="Q221" i="6" s="1"/>
  <c r="J221" i="6"/>
  <c r="T220" i="6"/>
  <c r="S220" i="6"/>
  <c r="M220" i="6"/>
  <c r="J220" i="6"/>
  <c r="T219" i="6"/>
  <c r="S219" i="6"/>
  <c r="M219" i="6"/>
  <c r="J219" i="6"/>
  <c r="T218" i="6"/>
  <c r="S218" i="6"/>
  <c r="L218" i="6"/>
  <c r="P218" i="6" s="1"/>
  <c r="J218" i="6"/>
  <c r="T217" i="6"/>
  <c r="S217" i="6"/>
  <c r="O217" i="6"/>
  <c r="L217" i="6"/>
  <c r="J217" i="6"/>
  <c r="P217" i="6" s="1"/>
  <c r="Q217" i="6" s="1"/>
  <c r="T216" i="6"/>
  <c r="S216" i="6"/>
  <c r="M216" i="6"/>
  <c r="J216" i="6"/>
  <c r="T215" i="6"/>
  <c r="S215" i="6"/>
  <c r="O215" i="6"/>
  <c r="J215" i="6"/>
  <c r="T214" i="6"/>
  <c r="S214" i="6"/>
  <c r="N214" i="6"/>
  <c r="J214" i="6"/>
  <c r="T213" i="6"/>
  <c r="S213" i="6"/>
  <c r="O213" i="6"/>
  <c r="J213" i="6"/>
  <c r="T212" i="6"/>
  <c r="S212" i="6"/>
  <c r="N212" i="6"/>
  <c r="J212" i="6"/>
  <c r="T211" i="6"/>
  <c r="S211" i="6"/>
  <c r="O211" i="6"/>
  <c r="L211" i="6"/>
  <c r="J211" i="6"/>
  <c r="Z209" i="6"/>
  <c r="X209" i="6"/>
  <c r="W209" i="6"/>
  <c r="T209" i="6"/>
  <c r="S209" i="6"/>
  <c r="R209" i="6"/>
  <c r="O209" i="6"/>
  <c r="P209" i="6" s="1"/>
  <c r="Q209" i="6" s="1"/>
  <c r="L209" i="6"/>
  <c r="Z208" i="6"/>
  <c r="X208" i="6"/>
  <c r="W208" i="6"/>
  <c r="T208" i="6"/>
  <c r="S208" i="6"/>
  <c r="R208" i="6"/>
  <c r="O208" i="6"/>
  <c r="L208" i="6"/>
  <c r="Z207" i="6"/>
  <c r="Z295" i="6" s="1"/>
  <c r="X207" i="6"/>
  <c r="W207" i="6"/>
  <c r="T207" i="6"/>
  <c r="S207" i="6"/>
  <c r="R207" i="6"/>
  <c r="N207" i="6"/>
  <c r="N295" i="6" s="1"/>
  <c r="L207" i="6"/>
  <c r="Z206" i="6"/>
  <c r="X206" i="6"/>
  <c r="W206" i="6"/>
  <c r="T206" i="6"/>
  <c r="S206" i="6"/>
  <c r="R206" i="6"/>
  <c r="N206" i="6"/>
  <c r="L206" i="6"/>
  <c r="Z205" i="6"/>
  <c r="X205" i="6"/>
  <c r="W205" i="6"/>
  <c r="T205" i="6"/>
  <c r="S205" i="6"/>
  <c r="R205" i="6"/>
  <c r="O205" i="6"/>
  <c r="N205" i="6"/>
  <c r="L205" i="6"/>
  <c r="P205" i="6" s="1"/>
  <c r="Q205" i="6" s="1"/>
  <c r="Z204" i="6"/>
  <c r="X204" i="6"/>
  <c r="W204" i="6"/>
  <c r="T204" i="6"/>
  <c r="S204" i="6"/>
  <c r="R204" i="6"/>
  <c r="N204" i="6"/>
  <c r="L204" i="6"/>
  <c r="Z203" i="6"/>
  <c r="X203" i="6"/>
  <c r="W203" i="6"/>
  <c r="T203" i="6"/>
  <c r="S203" i="6"/>
  <c r="R203" i="6"/>
  <c r="M203" i="6"/>
  <c r="L203" i="6"/>
  <c r="Z202" i="6"/>
  <c r="X202" i="6"/>
  <c r="W202" i="6"/>
  <c r="T202" i="6"/>
  <c r="S202" i="6"/>
  <c r="R202" i="6"/>
  <c r="M202" i="6"/>
  <c r="L202" i="6"/>
  <c r="Z201" i="6"/>
  <c r="X201" i="6"/>
  <c r="W201" i="6"/>
  <c r="T201" i="6"/>
  <c r="S201" i="6"/>
  <c r="R201" i="6"/>
  <c r="N201" i="6"/>
  <c r="Z200" i="6"/>
  <c r="X200" i="6"/>
  <c r="W200" i="6"/>
  <c r="T200" i="6"/>
  <c r="U200" i="6"/>
  <c r="S200" i="6"/>
  <c r="R200" i="6"/>
  <c r="Y295" i="6"/>
  <c r="AA295" i="6"/>
  <c r="J120" i="6"/>
  <c r="S280" i="6"/>
  <c r="J281" i="6"/>
  <c r="S249" i="6"/>
  <c r="U252" i="6"/>
  <c r="U287" i="6"/>
  <c r="L280" i="6"/>
  <c r="L281" i="6"/>
  <c r="T224" i="6"/>
  <c r="AB230" i="6"/>
  <c r="P234" i="6"/>
  <c r="Q234" i="6" s="1"/>
  <c r="Q245" i="6"/>
  <c r="T230" i="6"/>
  <c r="T249" i="6"/>
  <c r="S230" i="6"/>
  <c r="Q240" i="6"/>
  <c r="P243" i="6"/>
  <c r="Q243" i="6" s="1"/>
  <c r="O248" i="6"/>
  <c r="P248" i="6" s="1"/>
  <c r="Q248" i="6" s="1"/>
  <c r="U207" i="6"/>
  <c r="P246" i="6"/>
  <c r="Q246" i="6" s="1"/>
  <c r="O247" i="6"/>
  <c r="U208" i="6"/>
  <c r="V208" i="6"/>
  <c r="P238" i="6"/>
  <c r="Q238" i="6"/>
  <c r="P241" i="6"/>
  <c r="Q241" i="6"/>
  <c r="T247" i="6"/>
  <c r="U204" i="6"/>
  <c r="P223" i="6"/>
  <c r="Q223" i="6" s="1"/>
  <c r="U226" i="6"/>
  <c r="P206" i="6"/>
  <c r="Q206" i="6"/>
  <c r="U206" i="6"/>
  <c r="V206" i="6" s="1"/>
  <c r="P211" i="6"/>
  <c r="Q211" i="6" s="1"/>
  <c r="U211" i="6"/>
  <c r="U212" i="6"/>
  <c r="U213" i="6"/>
  <c r="U214" i="6"/>
  <c r="V214" i="6" s="1"/>
  <c r="U215" i="6"/>
  <c r="V215" i="6" s="1"/>
  <c r="U216" i="6"/>
  <c r="P201" i="6"/>
  <c r="Q201" i="6"/>
  <c r="U218" i="6"/>
  <c r="P208" i="6"/>
  <c r="Q208" i="6" s="1"/>
  <c r="U223" i="6"/>
  <c r="T280" i="6"/>
  <c r="U280" i="6" s="1"/>
  <c r="I280" i="6"/>
  <c r="X295" i="6"/>
  <c r="P212" i="6"/>
  <c r="Q212" i="6"/>
  <c r="P213" i="6"/>
  <c r="Q213" i="6" s="1"/>
  <c r="P215" i="6"/>
  <c r="Q215" i="6"/>
  <c r="P216" i="6"/>
  <c r="Q216" i="6" s="1"/>
  <c r="U220" i="6"/>
  <c r="S227" i="6"/>
  <c r="P239" i="6"/>
  <c r="Q239" i="6"/>
  <c r="T248" i="6"/>
  <c r="V248" i="6" s="1"/>
  <c r="P256" i="6"/>
  <c r="Q256" i="6"/>
  <c r="P257" i="6"/>
  <c r="Q257" i="6"/>
  <c r="P258" i="6"/>
  <c r="Q258" i="6" s="1"/>
  <c r="P259" i="6"/>
  <c r="Q259" i="6"/>
  <c r="P260" i="6"/>
  <c r="Q260" i="6"/>
  <c r="Q218" i="6"/>
  <c r="S225" i="6"/>
  <c r="S226" i="6"/>
  <c r="T227" i="6"/>
  <c r="V200" i="6"/>
  <c r="U201" i="6"/>
  <c r="U202" i="6"/>
  <c r="U205" i="6"/>
  <c r="V205" i="6" s="1"/>
  <c r="U209" i="6"/>
  <c r="P219" i="6"/>
  <c r="Q219" i="6"/>
  <c r="P220" i="6"/>
  <c r="Q220" i="6"/>
  <c r="U221" i="6"/>
  <c r="V221" i="6" s="1"/>
  <c r="O226" i="6"/>
  <c r="P226" i="6" s="1"/>
  <c r="Q226" i="6" s="1"/>
  <c r="L227" i="6"/>
  <c r="P227" i="6" s="1"/>
  <c r="Q227" i="6" s="1"/>
  <c r="P228" i="6"/>
  <c r="Q228" i="6"/>
  <c r="P235" i="6"/>
  <c r="Q235" i="6" s="1"/>
  <c r="O249" i="6"/>
  <c r="U228" i="6"/>
  <c r="V228" i="6" s="1"/>
  <c r="U232" i="6"/>
  <c r="U241" i="6"/>
  <c r="V241" i="6" s="1"/>
  <c r="U244" i="6"/>
  <c r="P203" i="6"/>
  <c r="Q203" i="6"/>
  <c r="P244" i="6"/>
  <c r="Q244" i="6"/>
  <c r="U246" i="6"/>
  <c r="U269" i="6"/>
  <c r="V269" i="6" s="1"/>
  <c r="P200" i="6"/>
  <c r="Q200" i="6"/>
  <c r="V225" i="6"/>
  <c r="U239" i="6"/>
  <c r="U265" i="6"/>
  <c r="V265" i="6" s="1"/>
  <c r="U235" i="6"/>
  <c r="P204" i="6"/>
  <c r="Q204" i="6" s="1"/>
  <c r="U217" i="6"/>
  <c r="U233" i="6"/>
  <c r="V233" i="6" s="1"/>
  <c r="P237" i="6"/>
  <c r="Q237" i="6" s="1"/>
  <c r="S279" i="6"/>
  <c r="J279" i="6"/>
  <c r="T281" i="6"/>
  <c r="S281" i="6"/>
  <c r="V253" i="6"/>
  <c r="U255" i="6"/>
  <c r="V255" i="6" s="1"/>
  <c r="U256" i="6"/>
  <c r="U257" i="6"/>
  <c r="V257" i="6" s="1"/>
  <c r="U258" i="6"/>
  <c r="U260" i="6"/>
  <c r="V264" i="6"/>
  <c r="U234" i="6"/>
  <c r="V234" i="6" s="1"/>
  <c r="U236" i="6"/>
  <c r="V236" i="6" s="1"/>
  <c r="U238" i="6"/>
  <c r="U242" i="6"/>
  <c r="U243" i="6"/>
  <c r="U245" i="6"/>
  <c r="V245" i="6" s="1"/>
  <c r="P251" i="6"/>
  <c r="Q251" i="6" s="1"/>
  <c r="V254" i="6"/>
  <c r="U263" i="6"/>
  <c r="V263" i="6"/>
  <c r="V266" i="6"/>
  <c r="U267" i="6"/>
  <c r="V267" i="6" s="1"/>
  <c r="U286" i="6"/>
  <c r="V286" i="6" s="1"/>
  <c r="R295" i="6"/>
  <c r="V220" i="6"/>
  <c r="V242" i="6"/>
  <c r="V260" i="6"/>
  <c r="V235" i="6"/>
  <c r="V239" i="6"/>
  <c r="V244" i="6"/>
  <c r="U248" i="6"/>
  <c r="U249" i="6"/>
  <c r="P247" i="6"/>
  <c r="Q247" i="6"/>
  <c r="V287" i="6"/>
  <c r="V259" i="6"/>
  <c r="V252" i="6"/>
  <c r="V238" i="6"/>
  <c r="V258" i="6"/>
  <c r="V232" i="6"/>
  <c r="P249" i="6"/>
  <c r="Q249" i="6" s="1"/>
  <c r="U230" i="6"/>
  <c r="V226" i="6"/>
  <c r="V223" i="6"/>
  <c r="V213" i="6"/>
  <c r="V207" i="6"/>
  <c r="V211" i="6"/>
  <c r="V204" i="6"/>
  <c r="V217" i="6"/>
  <c r="V222" i="6"/>
  <c r="V209" i="6"/>
  <c r="U227" i="6"/>
  <c r="V227" i="6" s="1"/>
  <c r="V218" i="6"/>
  <c r="V202" i="6"/>
  <c r="V201" i="6"/>
  <c r="V216" i="6"/>
  <c r="V212" i="6"/>
  <c r="U281" i="6"/>
  <c r="V281" i="6" s="1"/>
  <c r="L78" i="8"/>
  <c r="M78" i="8"/>
  <c r="N78" i="8"/>
  <c r="K78" i="8"/>
  <c r="N53" i="8"/>
  <c r="O53" i="8" s="1"/>
  <c r="M53" i="8"/>
  <c r="L53" i="8"/>
  <c r="K53" i="8"/>
  <c r="P119" i="6"/>
  <c r="Q119" i="6" s="1"/>
  <c r="V280" i="6"/>
  <c r="V249" i="6"/>
  <c r="K189" i="6"/>
  <c r="AY22" i="7"/>
  <c r="AY17" i="7"/>
  <c r="AY23" i="7"/>
  <c r="T27" i="7"/>
  <c r="AY18" i="7"/>
  <c r="T29" i="7"/>
  <c r="T32" i="7"/>
  <c r="T28" i="7"/>
  <c r="AY25" i="7"/>
  <c r="AY29" i="7"/>
  <c r="AY24" i="7"/>
  <c r="U65" i="7"/>
  <c r="AY39" i="7"/>
  <c r="AA65" i="7"/>
  <c r="N155" i="6"/>
  <c r="N156" i="6"/>
  <c r="M154" i="6"/>
  <c r="L153" i="6"/>
  <c r="J156" i="6"/>
  <c r="J155" i="6"/>
  <c r="J154" i="6"/>
  <c r="J153" i="6"/>
  <c r="T156" i="6"/>
  <c r="S156" i="6"/>
  <c r="T155" i="6"/>
  <c r="U155" i="6"/>
  <c r="V155" i="6" s="1"/>
  <c r="S155" i="6"/>
  <c r="T154" i="6"/>
  <c r="U154" i="6"/>
  <c r="S154" i="6"/>
  <c r="T153" i="6"/>
  <c r="U153" i="6" s="1"/>
  <c r="S153" i="6"/>
  <c r="O152" i="6"/>
  <c r="O151" i="6"/>
  <c r="O150" i="6"/>
  <c r="O149" i="6"/>
  <c r="O148" i="6"/>
  <c r="O147" i="6"/>
  <c r="O140" i="6"/>
  <c r="G145" i="6"/>
  <c r="G144" i="6"/>
  <c r="G143" i="6"/>
  <c r="O143" i="6" s="1"/>
  <c r="P143" i="6" s="1"/>
  <c r="Q143" i="6" s="1"/>
  <c r="G142" i="6"/>
  <c r="O142" i="6" s="1"/>
  <c r="P142" i="6" s="1"/>
  <c r="Q142" i="6" s="1"/>
  <c r="G116" i="6"/>
  <c r="O116" i="6" s="1"/>
  <c r="P116" i="6" s="1"/>
  <c r="Q116" i="6" s="1"/>
  <c r="G115" i="6"/>
  <c r="T115" i="6" s="1"/>
  <c r="U115" i="6" s="1"/>
  <c r="G114" i="6"/>
  <c r="T114" i="6"/>
  <c r="U114" i="6"/>
  <c r="V114" i="6"/>
  <c r="G113" i="6"/>
  <c r="S113" i="6" s="1"/>
  <c r="T122" i="6"/>
  <c r="L100" i="6"/>
  <c r="O100" i="6"/>
  <c r="P100" i="6" s="1"/>
  <c r="Q100" i="6" s="1"/>
  <c r="J100" i="6"/>
  <c r="N95" i="6"/>
  <c r="M92" i="6"/>
  <c r="W89" i="6"/>
  <c r="X89" i="6"/>
  <c r="L118" i="6"/>
  <c r="P118" i="6" s="1"/>
  <c r="I139" i="6"/>
  <c r="J152" i="6"/>
  <c r="J151" i="6"/>
  <c r="J150" i="6"/>
  <c r="J149" i="6"/>
  <c r="J148" i="6"/>
  <c r="P148" i="6" s="1"/>
  <c r="Q148" i="6" s="1"/>
  <c r="J147" i="6"/>
  <c r="L151" i="6"/>
  <c r="L149" i="6"/>
  <c r="L148" i="6"/>
  <c r="L147" i="6"/>
  <c r="M112" i="6"/>
  <c r="P112" i="6" s="1"/>
  <c r="Q112" i="6" s="1"/>
  <c r="J112" i="6"/>
  <c r="N111" i="6"/>
  <c r="J111" i="6"/>
  <c r="N110" i="6"/>
  <c r="J110" i="6"/>
  <c r="P110" i="6" s="1"/>
  <c r="M109" i="6"/>
  <c r="P109" i="6" s="1"/>
  <c r="Q109" i="6" s="1"/>
  <c r="J109" i="6"/>
  <c r="M108" i="6"/>
  <c r="J108" i="6"/>
  <c r="L107" i="6"/>
  <c r="J107" i="6"/>
  <c r="P107" i="6" s="1"/>
  <c r="Q107" i="6" s="1"/>
  <c r="O106" i="6"/>
  <c r="P106" i="6" s="1"/>
  <c r="Q106" i="6" s="1"/>
  <c r="L106" i="6"/>
  <c r="J106" i="6"/>
  <c r="M105" i="6"/>
  <c r="J105" i="6"/>
  <c r="O104" i="6"/>
  <c r="J104" i="6"/>
  <c r="P104" i="6" s="1"/>
  <c r="Q104" i="6" s="1"/>
  <c r="N103" i="6"/>
  <c r="P103" i="6" s="1"/>
  <c r="Q103" i="6" s="1"/>
  <c r="J103" i="6"/>
  <c r="O102" i="6"/>
  <c r="J102" i="6"/>
  <c r="N101" i="6"/>
  <c r="J101" i="6"/>
  <c r="T112" i="6"/>
  <c r="U112" i="6" s="1"/>
  <c r="S112" i="6"/>
  <c r="T111" i="6"/>
  <c r="S111" i="6"/>
  <c r="T110" i="6"/>
  <c r="U110" i="6"/>
  <c r="V110" i="6" s="1"/>
  <c r="S110" i="6"/>
  <c r="T109" i="6"/>
  <c r="S109" i="6"/>
  <c r="T108" i="6"/>
  <c r="U108" i="6" s="1"/>
  <c r="S108" i="6"/>
  <c r="T107" i="6"/>
  <c r="S107" i="6"/>
  <c r="T106" i="6"/>
  <c r="U106" i="6" s="1"/>
  <c r="S106" i="6"/>
  <c r="T105" i="6"/>
  <c r="S105" i="6"/>
  <c r="T104" i="6"/>
  <c r="S104" i="6"/>
  <c r="T103" i="6"/>
  <c r="V103" i="6" s="1"/>
  <c r="S103" i="6"/>
  <c r="T102" i="6"/>
  <c r="U102" i="6" s="1"/>
  <c r="V102" i="6" s="1"/>
  <c r="S102" i="6"/>
  <c r="T101" i="6"/>
  <c r="S101" i="6"/>
  <c r="T100" i="6"/>
  <c r="U100" i="6" s="1"/>
  <c r="S100" i="6"/>
  <c r="L97" i="6"/>
  <c r="P97" i="6" s="1"/>
  <c r="Q97" i="6" s="1"/>
  <c r="O98" i="6"/>
  <c r="L98" i="6"/>
  <c r="O97" i="6"/>
  <c r="N96" i="6"/>
  <c r="L96" i="6"/>
  <c r="P96" i="6" s="1"/>
  <c r="L95" i="6"/>
  <c r="P95" i="6" s="1"/>
  <c r="Q95" i="6" s="1"/>
  <c r="O94" i="6"/>
  <c r="N94" i="6"/>
  <c r="L94" i="6"/>
  <c r="N93" i="6"/>
  <c r="L93" i="6"/>
  <c r="L92" i="6"/>
  <c r="P92" i="6" s="1"/>
  <c r="Q92" i="6" s="1"/>
  <c r="L91" i="6"/>
  <c r="L89" i="6"/>
  <c r="P89" i="6" s="1"/>
  <c r="Q89" i="6" s="1"/>
  <c r="N90" i="6"/>
  <c r="N189" i="6" s="1"/>
  <c r="L90" i="6"/>
  <c r="Z98" i="6"/>
  <c r="X98" i="6"/>
  <c r="W98" i="6"/>
  <c r="T98" i="6"/>
  <c r="S98" i="6"/>
  <c r="R98" i="6"/>
  <c r="Z97" i="6"/>
  <c r="X97" i="6"/>
  <c r="W97" i="6"/>
  <c r="T97" i="6"/>
  <c r="U97" i="6"/>
  <c r="V97" i="6" s="1"/>
  <c r="S97" i="6"/>
  <c r="R97" i="6"/>
  <c r="Z96" i="6"/>
  <c r="X96" i="6"/>
  <c r="W96" i="6"/>
  <c r="T96" i="6"/>
  <c r="S96" i="6"/>
  <c r="R96" i="6"/>
  <c r="Z95" i="6"/>
  <c r="X95" i="6"/>
  <c r="W95" i="6"/>
  <c r="T95" i="6"/>
  <c r="S95" i="6"/>
  <c r="R95" i="6"/>
  <c r="Z94" i="6"/>
  <c r="X94" i="6"/>
  <c r="W94" i="6"/>
  <c r="T94" i="6"/>
  <c r="S94" i="6"/>
  <c r="R94" i="6"/>
  <c r="Z93" i="6"/>
  <c r="X93" i="6"/>
  <c r="W93" i="6"/>
  <c r="T93" i="6"/>
  <c r="S93" i="6"/>
  <c r="R93" i="6"/>
  <c r="Z92" i="6"/>
  <c r="X92" i="6"/>
  <c r="W92" i="6"/>
  <c r="T92" i="6"/>
  <c r="S92" i="6"/>
  <c r="R92" i="6"/>
  <c r="Z91" i="6"/>
  <c r="X91" i="6"/>
  <c r="W91" i="6"/>
  <c r="T91" i="6"/>
  <c r="S91" i="6"/>
  <c r="R91" i="6"/>
  <c r="M91" i="6"/>
  <c r="P91" i="6" s="1"/>
  <c r="Q91" i="6" s="1"/>
  <c r="Z90" i="6"/>
  <c r="X90" i="6"/>
  <c r="W90" i="6"/>
  <c r="T90" i="6"/>
  <c r="S90" i="6"/>
  <c r="R90" i="6"/>
  <c r="Z89" i="6"/>
  <c r="T89" i="6"/>
  <c r="S89" i="6"/>
  <c r="R89" i="6"/>
  <c r="S118" i="6"/>
  <c r="R118" i="6"/>
  <c r="W118" i="6"/>
  <c r="T118" i="6"/>
  <c r="U118" i="6" s="1"/>
  <c r="V118" i="6" s="1"/>
  <c r="G117" i="6"/>
  <c r="O115" i="6"/>
  <c r="V115" i="6"/>
  <c r="T142" i="6"/>
  <c r="O145" i="6"/>
  <c r="P145" i="6"/>
  <c r="Q145" i="6"/>
  <c r="P115" i="6"/>
  <c r="Q115" i="6" s="1"/>
  <c r="P287" i="6"/>
  <c r="Q287" i="6"/>
  <c r="T113" i="6"/>
  <c r="U113" i="6"/>
  <c r="V113" i="6"/>
  <c r="O113" i="6"/>
  <c r="P93" i="6"/>
  <c r="Q93" i="6"/>
  <c r="U111" i="6"/>
  <c r="V111" i="6" s="1"/>
  <c r="U95" i="6"/>
  <c r="V95" i="6" s="1"/>
  <c r="P111" i="6"/>
  <c r="Q111" i="6"/>
  <c r="S117" i="6"/>
  <c r="L117" i="6"/>
  <c r="P117" i="6" s="1"/>
  <c r="N117" i="6"/>
  <c r="P102" i="6"/>
  <c r="Q102" i="6"/>
  <c r="U104" i="6"/>
  <c r="V104" i="6" s="1"/>
  <c r="P108" i="6"/>
  <c r="Q108" i="6" s="1"/>
  <c r="Q110" i="6"/>
  <c r="O114" i="6"/>
  <c r="P114" i="6" s="1"/>
  <c r="Q114" i="6" s="1"/>
  <c r="S114" i="6"/>
  <c r="U94" i="6"/>
  <c r="U98" i="6"/>
  <c r="V98" i="6" s="1"/>
  <c r="P98" i="6"/>
  <c r="Q98" i="6"/>
  <c r="P105" i="6"/>
  <c r="Q105" i="6" s="1"/>
  <c r="O144" i="6"/>
  <c r="V154" i="6"/>
  <c r="U156" i="6"/>
  <c r="V156" i="6" s="1"/>
  <c r="T144" i="6"/>
  <c r="T145" i="6"/>
  <c r="S143" i="6"/>
  <c r="S144" i="6"/>
  <c r="S145" i="6"/>
  <c r="S115" i="6"/>
  <c r="Q96" i="6"/>
  <c r="U103" i="6"/>
  <c r="U105" i="6"/>
  <c r="U101" i="6"/>
  <c r="U109" i="6"/>
  <c r="V109" i="6" s="1"/>
  <c r="P94" i="6"/>
  <c r="Q94" i="6" s="1"/>
  <c r="U90" i="6"/>
  <c r="V90" i="6" s="1"/>
  <c r="U91" i="6"/>
  <c r="V91" i="6" s="1"/>
  <c r="U92" i="6"/>
  <c r="V92" i="6" s="1"/>
  <c r="U93" i="6"/>
  <c r="Q118" i="6"/>
  <c r="T117" i="6"/>
  <c r="P113" i="6"/>
  <c r="Q113" i="6" s="1"/>
  <c r="V153" i="6"/>
  <c r="V93" i="6"/>
  <c r="V112" i="6"/>
  <c r="V100" i="6"/>
  <c r="V106" i="6"/>
  <c r="V101" i="6"/>
  <c r="P144" i="6"/>
  <c r="Q144" i="6"/>
  <c r="V94" i="6"/>
  <c r="U144" i="6"/>
  <c r="Q117" i="6"/>
  <c r="U117" i="6"/>
  <c r="V144" i="6"/>
  <c r="V117" i="6"/>
  <c r="O184" i="6"/>
  <c r="P184" i="6" s="1"/>
  <c r="Q184" i="6" s="1"/>
  <c r="O183" i="6"/>
  <c r="L184" i="6"/>
  <c r="L183" i="6"/>
  <c r="S184" i="6"/>
  <c r="S183" i="6"/>
  <c r="E178" i="6"/>
  <c r="E177" i="6"/>
  <c r="E176" i="6"/>
  <c r="S176" i="6"/>
  <c r="E175" i="6"/>
  <c r="I175" i="6"/>
  <c r="T184" i="6"/>
  <c r="T183" i="6"/>
  <c r="M184" i="6"/>
  <c r="J184" i="6"/>
  <c r="M183" i="6"/>
  <c r="J183" i="6"/>
  <c r="P183" i="6" s="1"/>
  <c r="Q183" i="6" s="1"/>
  <c r="R184" i="6"/>
  <c r="R183" i="6"/>
  <c r="W183" i="6"/>
  <c r="W184" i="6"/>
  <c r="R174" i="6"/>
  <c r="I177" i="6"/>
  <c r="J177" i="6"/>
  <c r="L177" i="6"/>
  <c r="I178" i="6"/>
  <c r="L176" i="6"/>
  <c r="P176" i="6" s="1"/>
  <c r="Q176" i="6" s="1"/>
  <c r="I176" i="6"/>
  <c r="J176" i="6"/>
  <c r="T176" i="6"/>
  <c r="S175" i="6"/>
  <c r="U183" i="6"/>
  <c r="S177" i="6"/>
  <c r="T177" i="6"/>
  <c r="U177" i="6"/>
  <c r="V183" i="6"/>
  <c r="T152" i="6"/>
  <c r="T151" i="6"/>
  <c r="T150" i="6"/>
  <c r="T149" i="6"/>
  <c r="T148" i="6"/>
  <c r="T147" i="6"/>
  <c r="U147" i="6" s="1"/>
  <c r="S152" i="6"/>
  <c r="S151" i="6"/>
  <c r="S150" i="6"/>
  <c r="S149" i="6"/>
  <c r="S148" i="6"/>
  <c r="S147" i="6"/>
  <c r="S136" i="6"/>
  <c r="U149" i="6"/>
  <c r="U150" i="6"/>
  <c r="V147" i="6"/>
  <c r="U151" i="6"/>
  <c r="V149" i="6"/>
  <c r="V151" i="6"/>
  <c r="V150" i="6"/>
  <c r="AA189" i="6"/>
  <c r="Y189" i="6"/>
  <c r="T175" i="6"/>
  <c r="W174" i="6"/>
  <c r="T174" i="6"/>
  <c r="U174" i="6"/>
  <c r="V174" i="6" s="1"/>
  <c r="S174" i="6"/>
  <c r="P174" i="6"/>
  <c r="Q174" i="6"/>
  <c r="W165" i="6"/>
  <c r="T165" i="6"/>
  <c r="U165" i="6" s="1"/>
  <c r="V165" i="6" s="1"/>
  <c r="S165" i="6"/>
  <c r="R165" i="6"/>
  <c r="P165" i="6"/>
  <c r="Q165" i="6"/>
  <c r="W164" i="6"/>
  <c r="T164" i="6"/>
  <c r="S164" i="6"/>
  <c r="R164" i="6"/>
  <c r="P164" i="6"/>
  <c r="Q164" i="6" s="1"/>
  <c r="W163" i="6"/>
  <c r="T163" i="6"/>
  <c r="U163" i="6" s="1"/>
  <c r="V163" i="6"/>
  <c r="S163" i="6"/>
  <c r="R163" i="6"/>
  <c r="P163" i="6"/>
  <c r="Q163" i="6"/>
  <c r="W162" i="6"/>
  <c r="T162" i="6"/>
  <c r="U162" i="6" s="1"/>
  <c r="S162" i="6"/>
  <c r="R162" i="6"/>
  <c r="P162" i="6"/>
  <c r="Q162" i="6"/>
  <c r="W161" i="6"/>
  <c r="T161" i="6"/>
  <c r="S161" i="6"/>
  <c r="R161" i="6"/>
  <c r="P161" i="6"/>
  <c r="Q161" i="6"/>
  <c r="W160" i="6"/>
  <c r="T160" i="6"/>
  <c r="U160" i="6" s="1"/>
  <c r="V160" i="6" s="1"/>
  <c r="S160" i="6"/>
  <c r="R160" i="6"/>
  <c r="P160" i="6"/>
  <c r="Q160" i="6"/>
  <c r="W159" i="6"/>
  <c r="T159" i="6"/>
  <c r="U159" i="6" s="1"/>
  <c r="V159" i="6" s="1"/>
  <c r="S159" i="6"/>
  <c r="R159" i="6"/>
  <c r="P159" i="6"/>
  <c r="Q159" i="6"/>
  <c r="P146" i="6"/>
  <c r="Q146" i="6"/>
  <c r="T141" i="6"/>
  <c r="U141" i="6"/>
  <c r="V141" i="6" s="1"/>
  <c r="S141" i="6"/>
  <c r="O141" i="6"/>
  <c r="I141" i="6"/>
  <c r="T140" i="6"/>
  <c r="S140" i="6"/>
  <c r="I140" i="6"/>
  <c r="T139" i="6"/>
  <c r="U139" i="6" s="1"/>
  <c r="S139" i="6"/>
  <c r="O139" i="6"/>
  <c r="T138" i="6"/>
  <c r="S138" i="6"/>
  <c r="O138" i="6"/>
  <c r="I138" i="6"/>
  <c r="P138" i="6" s="1"/>
  <c r="T137" i="6"/>
  <c r="S137" i="6"/>
  <c r="O137" i="6"/>
  <c r="J137" i="6"/>
  <c r="T136" i="6"/>
  <c r="O136" i="6"/>
  <c r="J136" i="6"/>
  <c r="P136" i="6" s="1"/>
  <c r="Q136" i="6" s="1"/>
  <c r="T135" i="6"/>
  <c r="U135" i="6" s="1"/>
  <c r="S135" i="6"/>
  <c r="O135" i="6"/>
  <c r="J135" i="6"/>
  <c r="T134" i="6"/>
  <c r="U134" i="6" s="1"/>
  <c r="S134" i="6"/>
  <c r="O134" i="6"/>
  <c r="P134" i="6" s="1"/>
  <c r="Q134" i="6" s="1"/>
  <c r="J134" i="6"/>
  <c r="T133" i="6"/>
  <c r="U133" i="6" s="1"/>
  <c r="V133" i="6" s="1"/>
  <c r="S133" i="6"/>
  <c r="O133" i="6"/>
  <c r="J133" i="6"/>
  <c r="P133" i="6" s="1"/>
  <c r="Q133" i="6" s="1"/>
  <c r="T132" i="6"/>
  <c r="S132" i="6"/>
  <c r="O132" i="6"/>
  <c r="J132" i="6"/>
  <c r="P132" i="6" s="1"/>
  <c r="Q132" i="6" s="1"/>
  <c r="T131" i="6"/>
  <c r="S131" i="6"/>
  <c r="O131" i="6"/>
  <c r="J131" i="6"/>
  <c r="T130" i="6"/>
  <c r="S130" i="6"/>
  <c r="O130" i="6"/>
  <c r="P130" i="6" s="1"/>
  <c r="J130" i="6"/>
  <c r="T129" i="6"/>
  <c r="S129" i="6"/>
  <c r="O129" i="6"/>
  <c r="J129" i="6"/>
  <c r="T128" i="6"/>
  <c r="S128" i="6"/>
  <c r="O128" i="6"/>
  <c r="J128" i="6"/>
  <c r="T127" i="6"/>
  <c r="S127" i="6"/>
  <c r="O127" i="6"/>
  <c r="J127" i="6"/>
  <c r="T126" i="6"/>
  <c r="S126" i="6"/>
  <c r="O126" i="6"/>
  <c r="J126" i="6"/>
  <c r="P126" i="6" s="1"/>
  <c r="Q126" i="6" s="1"/>
  <c r="T125" i="6"/>
  <c r="S125" i="6"/>
  <c r="O125" i="6"/>
  <c r="J125" i="6"/>
  <c r="T124" i="6"/>
  <c r="S124" i="6"/>
  <c r="O124" i="6"/>
  <c r="J124" i="6"/>
  <c r="P124" i="6" s="1"/>
  <c r="Q124" i="6" s="1"/>
  <c r="T123" i="6"/>
  <c r="S123" i="6"/>
  <c r="O123" i="6"/>
  <c r="L123" i="6"/>
  <c r="J123" i="6"/>
  <c r="P123" i="6" s="1"/>
  <c r="Q123" i="6" s="1"/>
  <c r="U122" i="6"/>
  <c r="S122" i="6"/>
  <c r="O122" i="6"/>
  <c r="L122" i="6"/>
  <c r="I122" i="6"/>
  <c r="U140" i="6"/>
  <c r="V140" i="6" s="1"/>
  <c r="P139" i="6"/>
  <c r="Q139" i="6" s="1"/>
  <c r="U136" i="6"/>
  <c r="V136" i="6" s="1"/>
  <c r="P128" i="6"/>
  <c r="Q128" i="6" s="1"/>
  <c r="P135" i="6"/>
  <c r="Q135" i="6" s="1"/>
  <c r="U126" i="6"/>
  <c r="U129" i="6"/>
  <c r="V122" i="6"/>
  <c r="P137" i="6"/>
  <c r="Q137" i="6" s="1"/>
  <c r="P125" i="6"/>
  <c r="Q125" i="6" s="1"/>
  <c r="P129" i="6"/>
  <c r="Q129" i="6"/>
  <c r="Q130" i="6"/>
  <c r="P131" i="6"/>
  <c r="Q131" i="6" s="1"/>
  <c r="Z189" i="6"/>
  <c r="P140" i="6"/>
  <c r="Q140" i="6" s="1"/>
  <c r="Q138" i="6"/>
  <c r="U124" i="6"/>
  <c r="V124" i="6" s="1"/>
  <c r="U132" i="6"/>
  <c r="V132" i="6" s="1"/>
  <c r="U130" i="6"/>
  <c r="V130" i="6" s="1"/>
  <c r="U138" i="6"/>
  <c r="U123" i="6"/>
  <c r="V123" i="6" s="1"/>
  <c r="U127" i="6"/>
  <c r="V127" i="6" s="1"/>
  <c r="U131" i="6"/>
  <c r="G64" i="6"/>
  <c r="AQ262" i="7"/>
  <c r="AQ261" i="7"/>
  <c r="AQ268" i="7" s="1"/>
  <c r="AQ285" i="7" s="1"/>
  <c r="AN262" i="7"/>
  <c r="AN261" i="7"/>
  <c r="AN259" i="7"/>
  <c r="U262" i="7"/>
  <c r="Z262" i="7"/>
  <c r="AW262" i="7"/>
  <c r="U261" i="7"/>
  <c r="U260" i="7"/>
  <c r="Z260" i="7"/>
  <c r="AW260" i="7" s="1"/>
  <c r="U259" i="7"/>
  <c r="AS259" i="7"/>
  <c r="AS268" i="7"/>
  <c r="AS285" i="7" s="1"/>
  <c r="AR260" i="7"/>
  <c r="AR268" i="7" s="1"/>
  <c r="AR285" i="7" s="1"/>
  <c r="AY260" i="7"/>
  <c r="AR261" i="7"/>
  <c r="AY261" i="7"/>
  <c r="AR262" i="7"/>
  <c r="V138" i="6"/>
  <c r="V139" i="6"/>
  <c r="V126" i="6"/>
  <c r="V129" i="6"/>
  <c r="V135" i="6"/>
  <c r="V134" i="6"/>
  <c r="S64" i="6"/>
  <c r="AY259" i="7"/>
  <c r="AA259" i="7"/>
  <c r="AA260" i="7"/>
  <c r="AX260" i="7"/>
  <c r="AA262" i="7"/>
  <c r="AX262" i="7" s="1"/>
  <c r="AN268" i="7"/>
  <c r="AN285" i="7" s="1"/>
  <c r="T64" i="7"/>
  <c r="H98" i="7"/>
  <c r="I98" i="7"/>
  <c r="I173" i="7" s="1"/>
  <c r="M98" i="7"/>
  <c r="M173" i="7" s="1"/>
  <c r="N98" i="7"/>
  <c r="O98" i="7"/>
  <c r="P98" i="7"/>
  <c r="Q98" i="7"/>
  <c r="R98" i="7"/>
  <c r="S98" i="7"/>
  <c r="S173" i="7" s="1"/>
  <c r="W98" i="7"/>
  <c r="X98" i="7"/>
  <c r="Y98" i="7"/>
  <c r="Z98" i="7"/>
  <c r="AB98" i="7"/>
  <c r="AC98" i="7"/>
  <c r="AD98" i="7"/>
  <c r="AE98" i="7"/>
  <c r="AE173" i="7" s="1"/>
  <c r="AF98" i="7"/>
  <c r="AG98" i="7"/>
  <c r="AH98" i="7"/>
  <c r="AI98" i="7"/>
  <c r="AJ98" i="7"/>
  <c r="AK98" i="7"/>
  <c r="AK173" i="7" s="1"/>
  <c r="AL98" i="7"/>
  <c r="AM98" i="7"/>
  <c r="AO98" i="7"/>
  <c r="AP98" i="7"/>
  <c r="AT98" i="7"/>
  <c r="AV98" i="7"/>
  <c r="AX98" i="7"/>
  <c r="AZ98" i="7"/>
  <c r="BA98" i="7"/>
  <c r="BB98" i="7"/>
  <c r="BC98" i="7"/>
  <c r="DC98" i="7"/>
  <c r="DC173" i="7" s="1"/>
  <c r="T101" i="7"/>
  <c r="T153" i="7" s="1"/>
  <c r="T148" i="7"/>
  <c r="DC153" i="7"/>
  <c r="T149" i="7"/>
  <c r="T150" i="7"/>
  <c r="F153" i="7"/>
  <c r="G153" i="7"/>
  <c r="H153" i="7"/>
  <c r="K153" i="7"/>
  <c r="L153" i="7"/>
  <c r="M153" i="7"/>
  <c r="N153" i="7"/>
  <c r="O153" i="7"/>
  <c r="O173" i="7" s="1"/>
  <c r="P153" i="7"/>
  <c r="Q153" i="7"/>
  <c r="R153" i="7"/>
  <c r="S153" i="7"/>
  <c r="U153" i="7"/>
  <c r="W153" i="7"/>
  <c r="X153" i="7"/>
  <c r="Y153" i="7"/>
  <c r="AB153" i="7"/>
  <c r="AC153" i="7"/>
  <c r="AD153" i="7"/>
  <c r="AE153" i="7"/>
  <c r="AF153" i="7"/>
  <c r="AG153" i="7"/>
  <c r="AH153" i="7"/>
  <c r="AH173" i="7" s="1"/>
  <c r="AI153" i="7"/>
  <c r="AI173" i="7" s="1"/>
  <c r="AJ153" i="7"/>
  <c r="AK153" i="7"/>
  <c r="AL153" i="7"/>
  <c r="AM153" i="7"/>
  <c r="AN153" i="7"/>
  <c r="AO153" i="7"/>
  <c r="AP153" i="7"/>
  <c r="AT153" i="7"/>
  <c r="AV153" i="7"/>
  <c r="AZ153" i="7"/>
  <c r="BA153" i="7"/>
  <c r="BB153" i="7"/>
  <c r="BB173" i="7" s="1"/>
  <c r="BC153" i="7"/>
  <c r="T279" i="7"/>
  <c r="T278" i="7"/>
  <c r="BC268" i="7"/>
  <c r="BC285" i="7"/>
  <c r="U303" i="7" s="1"/>
  <c r="Z303" i="7" s="1"/>
  <c r="AX303" i="7" s="1"/>
  <c r="BB268" i="7"/>
  <c r="BA268" i="7"/>
  <c r="BA285" i="7"/>
  <c r="AZ268" i="7"/>
  <c r="AV268" i="7"/>
  <c r="AT268" i="7"/>
  <c r="AT285" i="7" s="1"/>
  <c r="AP268" i="7"/>
  <c r="AO268" i="7"/>
  <c r="AM268" i="7"/>
  <c r="AM285" i="7"/>
  <c r="AL268" i="7"/>
  <c r="AL285" i="7" s="1"/>
  <c r="AK268" i="7"/>
  <c r="AJ268" i="7"/>
  <c r="AJ285" i="7" s="1"/>
  <c r="AI268" i="7"/>
  <c r="AI285" i="7" s="1"/>
  <c r="AH268" i="7"/>
  <c r="AH285" i="7" s="1"/>
  <c r="AG268" i="7"/>
  <c r="AF268" i="7"/>
  <c r="AF285" i="7"/>
  <c r="AE268" i="7"/>
  <c r="AE285" i="7" s="1"/>
  <c r="AD268" i="7"/>
  <c r="AD285" i="7" s="1"/>
  <c r="AC268" i="7"/>
  <c r="AB268" i="7"/>
  <c r="AB285" i="7"/>
  <c r="Y268" i="7"/>
  <c r="Y285" i="7" s="1"/>
  <c r="X268" i="7"/>
  <c r="X285" i="7" s="1"/>
  <c r="W268" i="7"/>
  <c r="W285" i="7" s="1"/>
  <c r="S268" i="7"/>
  <c r="S285" i="7" s="1"/>
  <c r="R268" i="7"/>
  <c r="R285" i="7"/>
  <c r="Q268" i="7"/>
  <c r="Q285" i="7"/>
  <c r="P268" i="7"/>
  <c r="P285" i="7" s="1"/>
  <c r="O268" i="7"/>
  <c r="O285" i="7" s="1"/>
  <c r="N268" i="7"/>
  <c r="N285" i="7" s="1"/>
  <c r="M268" i="7"/>
  <c r="M285" i="7" s="1"/>
  <c r="I268" i="7"/>
  <c r="I285" i="7" s="1"/>
  <c r="H268" i="7"/>
  <c r="H285" i="7" s="1"/>
  <c r="T264" i="7"/>
  <c r="L268" i="7"/>
  <c r="L285" i="7"/>
  <c r="K268" i="7"/>
  <c r="K285" i="7" s="1"/>
  <c r="J268" i="7"/>
  <c r="J285" i="7"/>
  <c r="G268" i="7"/>
  <c r="G285" i="7"/>
  <c r="D268" i="7"/>
  <c r="D285" i="7" s="1"/>
  <c r="T263" i="7"/>
  <c r="T262" i="7"/>
  <c r="T261" i="7"/>
  <c r="T260" i="7"/>
  <c r="T258" i="7"/>
  <c r="T268" i="7" s="1"/>
  <c r="AZ285" i="7"/>
  <c r="AV285" i="7"/>
  <c r="T254" i="7"/>
  <c r="T255" i="7" s="1"/>
  <c r="T246" i="7"/>
  <c r="DC227" i="7"/>
  <c r="BC209" i="7"/>
  <c r="BC227" i="7" s="1"/>
  <c r="BB209" i="7"/>
  <c r="BB227" i="7" s="1"/>
  <c r="BA209" i="7"/>
  <c r="AZ209" i="7"/>
  <c r="AV209" i="7"/>
  <c r="AV227" i="7"/>
  <c r="AT209" i="7"/>
  <c r="AT227" i="7"/>
  <c r="AQ209" i="7"/>
  <c r="AQ227" i="7"/>
  <c r="AP209" i="7"/>
  <c r="AP227" i="7"/>
  <c r="AO209" i="7"/>
  <c r="AO227" i="7"/>
  <c r="AM209" i="7"/>
  <c r="AM227" i="7" s="1"/>
  <c r="AL209" i="7"/>
  <c r="AL227" i="7" s="1"/>
  <c r="AK209" i="7"/>
  <c r="AK227" i="7" s="1"/>
  <c r="AJ209" i="7"/>
  <c r="AJ227" i="7" s="1"/>
  <c r="AI209" i="7"/>
  <c r="AI227" i="7" s="1"/>
  <c r="AH209" i="7"/>
  <c r="AH227" i="7" s="1"/>
  <c r="AG209" i="7"/>
  <c r="AG227" i="7" s="1"/>
  <c r="AF209" i="7"/>
  <c r="AF227" i="7"/>
  <c r="AE209" i="7"/>
  <c r="AE227" i="7" s="1"/>
  <c r="AC209" i="7"/>
  <c r="AC227" i="7" s="1"/>
  <c r="AB209" i="7"/>
  <c r="AB227" i="7" s="1"/>
  <c r="Y209" i="7"/>
  <c r="Y227" i="7" s="1"/>
  <c r="X209" i="7"/>
  <c r="X227" i="7" s="1"/>
  <c r="W209" i="7"/>
  <c r="W227" i="7" s="1"/>
  <c r="L209" i="7"/>
  <c r="L227" i="7" s="1"/>
  <c r="K209" i="7"/>
  <c r="K227" i="7" s="1"/>
  <c r="J209" i="7"/>
  <c r="J227" i="7"/>
  <c r="G209" i="7"/>
  <c r="G227" i="7" s="1"/>
  <c r="T208" i="7"/>
  <c r="T209" i="7" s="1"/>
  <c r="O68" i="8"/>
  <c r="O43" i="8"/>
  <c r="O17" i="8"/>
  <c r="BB285" i="7"/>
  <c r="U305" i="7" s="1"/>
  <c r="AA305" i="7"/>
  <c r="AW305" i="7" s="1"/>
  <c r="T282" i="7"/>
  <c r="U306" i="7"/>
  <c r="AA306" i="7"/>
  <c r="AW306" i="7" s="1"/>
  <c r="AP285" i="7"/>
  <c r="AC285" i="7"/>
  <c r="AG285" i="7"/>
  <c r="AK285" i="7"/>
  <c r="AO285" i="7"/>
  <c r="AZ227" i="7"/>
  <c r="BA227" i="7"/>
  <c r="AP173" i="7"/>
  <c r="AD173" i="7"/>
  <c r="P173" i="7"/>
  <c r="AO173" i="7"/>
  <c r="AC173" i="7"/>
  <c r="Y173" i="7"/>
  <c r="AZ173" i="7"/>
  <c r="AV173" i="7"/>
  <c r="AJ173" i="7"/>
  <c r="AB173" i="7"/>
  <c r="X173" i="7"/>
  <c r="R173" i="7"/>
  <c r="BC173" i="7"/>
  <c r="AM173" i="7"/>
  <c r="Q173" i="7"/>
  <c r="G120" i="6"/>
  <c r="C209" i="7"/>
  <c r="I209" i="7"/>
  <c r="I227" i="7"/>
  <c r="Q209" i="7"/>
  <c r="Q227" i="7" s="1"/>
  <c r="AY268" i="7"/>
  <c r="AY285" i="7" s="1"/>
  <c r="F209" i="7"/>
  <c r="F227" i="7" s="1"/>
  <c r="O209" i="7"/>
  <c r="O227" i="7" s="1"/>
  <c r="S209" i="7"/>
  <c r="S227" i="7"/>
  <c r="D98" i="7"/>
  <c r="L98" i="7"/>
  <c r="L173" i="7" s="1"/>
  <c r="H209" i="7"/>
  <c r="H227" i="7" s="1"/>
  <c r="F268" i="7"/>
  <c r="F285" i="7" s="1"/>
  <c r="J98" i="7"/>
  <c r="J153" i="7"/>
  <c r="J173" i="7" s="1"/>
  <c r="D209" i="7"/>
  <c r="D227" i="7"/>
  <c r="I153" i="7"/>
  <c r="E153" i="7"/>
  <c r="M209" i="7"/>
  <c r="M227" i="7" s="1"/>
  <c r="E209" i="7"/>
  <c r="E227" i="7" s="1"/>
  <c r="N209" i="7"/>
  <c r="N227" i="7"/>
  <c r="C268" i="7"/>
  <c r="C285" i="7" s="1"/>
  <c r="H2" i="7" s="1"/>
  <c r="R209" i="7"/>
  <c r="R227" i="7" s="1"/>
  <c r="E268" i="7"/>
  <c r="E285" i="7" s="1"/>
  <c r="F98" i="7"/>
  <c r="F173" i="7" s="1"/>
  <c r="E98" i="7"/>
  <c r="C153" i="7"/>
  <c r="K98" i="7"/>
  <c r="K173" i="7" s="1"/>
  <c r="G98" i="7"/>
  <c r="C98" i="7"/>
  <c r="C173" i="7" s="1"/>
  <c r="T259" i="7"/>
  <c r="P209" i="7"/>
  <c r="P227" i="7"/>
  <c r="C227" i="7"/>
  <c r="E3" i="7" s="1"/>
  <c r="G250" i="6"/>
  <c r="W250" i="6" s="1"/>
  <c r="G261" i="6"/>
  <c r="P261" i="6" s="1"/>
  <c r="Q261" i="6" s="1"/>
  <c r="AY209" i="7"/>
  <c r="U209" i="7"/>
  <c r="AR209" i="7"/>
  <c r="AR227" i="7" s="1"/>
  <c r="AS209" i="7"/>
  <c r="AS227" i="7" s="1"/>
  <c r="O79" i="8"/>
  <c r="O78" i="8"/>
  <c r="O77" i="8"/>
  <c r="O76" i="8"/>
  <c r="O75" i="8"/>
  <c r="O74" i="8"/>
  <c r="O71" i="8"/>
  <c r="O70" i="8"/>
  <c r="O69" i="8"/>
  <c r="O67" i="8"/>
  <c r="O66" i="8"/>
  <c r="O65" i="8"/>
  <c r="O64" i="8"/>
  <c r="O63" i="8"/>
  <c r="O62" i="8"/>
  <c r="O61" i="8"/>
  <c r="O60" i="8"/>
  <c r="O59" i="8"/>
  <c r="O58" i="8"/>
  <c r="AY227" i="7"/>
  <c r="T227" i="7"/>
  <c r="U227" i="7"/>
  <c r="G119" i="6"/>
  <c r="AB250" i="6"/>
  <c r="S250" i="6"/>
  <c r="G146" i="6"/>
  <c r="T146" i="6" s="1"/>
  <c r="G157" i="6"/>
  <c r="Z209" i="7"/>
  <c r="Z227" i="7" s="1"/>
  <c r="AB119" i="6"/>
  <c r="W119" i="6"/>
  <c r="P157" i="6"/>
  <c r="Q157" i="6" s="1"/>
  <c r="S157" i="6"/>
  <c r="AX209" i="7"/>
  <c r="AX227" i="7" s="1"/>
  <c r="AD227" i="7"/>
  <c r="O7" i="8"/>
  <c r="O8" i="8"/>
  <c r="O9" i="8"/>
  <c r="O10" i="8"/>
  <c r="O11" i="8"/>
  <c r="O12" i="8"/>
  <c r="O13" i="8"/>
  <c r="O14" i="8"/>
  <c r="O15" i="8"/>
  <c r="O16" i="8"/>
  <c r="O18" i="8"/>
  <c r="O19" i="8"/>
  <c r="O20" i="8"/>
  <c r="O23" i="8"/>
  <c r="O24" i="8"/>
  <c r="O25" i="8"/>
  <c r="O26" i="8"/>
  <c r="O27" i="8"/>
  <c r="O28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9" i="8"/>
  <c r="O50" i="8"/>
  <c r="O51" i="8"/>
  <c r="O52" i="8"/>
  <c r="O54" i="8"/>
  <c r="P11" i="6"/>
  <c r="Q11" i="6"/>
  <c r="R11" i="6"/>
  <c r="S11" i="6"/>
  <c r="T11" i="6"/>
  <c r="W11" i="6"/>
  <c r="X11" i="6"/>
  <c r="Z11" i="6"/>
  <c r="Z78" i="6" s="1"/>
  <c r="P12" i="6"/>
  <c r="Q12" i="6"/>
  <c r="R12" i="6"/>
  <c r="S12" i="6"/>
  <c r="T12" i="6"/>
  <c r="V12" i="6" s="1"/>
  <c r="W12" i="6"/>
  <c r="X12" i="6"/>
  <c r="Z12" i="6"/>
  <c r="P13" i="6"/>
  <c r="Q13" i="6"/>
  <c r="R13" i="6"/>
  <c r="R78" i="6" s="1"/>
  <c r="S13" i="6"/>
  <c r="T13" i="6"/>
  <c r="W13" i="6"/>
  <c r="X13" i="6"/>
  <c r="Z13" i="6"/>
  <c r="P14" i="6"/>
  <c r="Q14" i="6"/>
  <c r="R14" i="6"/>
  <c r="S14" i="6"/>
  <c r="T14" i="6"/>
  <c r="W14" i="6"/>
  <c r="X14" i="6"/>
  <c r="Z14" i="6"/>
  <c r="P15" i="6"/>
  <c r="Q15" i="6"/>
  <c r="R15" i="6"/>
  <c r="S15" i="6"/>
  <c r="T15" i="6"/>
  <c r="W15" i="6"/>
  <c r="X15" i="6"/>
  <c r="Z15" i="6"/>
  <c r="I17" i="6"/>
  <c r="O17" i="6"/>
  <c r="S17" i="6"/>
  <c r="T17" i="6"/>
  <c r="U17" i="6" s="1"/>
  <c r="V17" i="6"/>
  <c r="I18" i="6"/>
  <c r="O18" i="6"/>
  <c r="S18" i="6"/>
  <c r="T18" i="6"/>
  <c r="I19" i="6"/>
  <c r="O19" i="6"/>
  <c r="P19" i="6" s="1"/>
  <c r="Q19" i="6" s="1"/>
  <c r="S19" i="6"/>
  <c r="T19" i="6"/>
  <c r="I20" i="6"/>
  <c r="O20" i="6"/>
  <c r="S20" i="6"/>
  <c r="T20" i="6"/>
  <c r="I21" i="6"/>
  <c r="O21" i="6"/>
  <c r="P21" i="6" s="1"/>
  <c r="Q21" i="6" s="1"/>
  <c r="S21" i="6"/>
  <c r="T21" i="6"/>
  <c r="T78" i="6" s="1"/>
  <c r="I22" i="6"/>
  <c r="O22" i="6"/>
  <c r="P22" i="6" s="1"/>
  <c r="Q22" i="6" s="1"/>
  <c r="S22" i="6"/>
  <c r="T22" i="6"/>
  <c r="I23" i="6"/>
  <c r="O23" i="6"/>
  <c r="P23" i="6" s="1"/>
  <c r="Q23" i="6" s="1"/>
  <c r="S23" i="6"/>
  <c r="T23" i="6"/>
  <c r="I25" i="6"/>
  <c r="L25" i="6"/>
  <c r="P25" i="6" s="1"/>
  <c r="Q25" i="6" s="1"/>
  <c r="S25" i="6"/>
  <c r="T25" i="6"/>
  <c r="I26" i="6"/>
  <c r="L26" i="6"/>
  <c r="P26" i="6" s="1"/>
  <c r="O26" i="6"/>
  <c r="S26" i="6"/>
  <c r="T26" i="6"/>
  <c r="U26" i="6" s="1"/>
  <c r="V26" i="6" s="1"/>
  <c r="J27" i="6"/>
  <c r="L27" i="6"/>
  <c r="P27" i="6" s="1"/>
  <c r="Q27" i="6" s="1"/>
  <c r="O27" i="6"/>
  <c r="S27" i="6"/>
  <c r="T27" i="6"/>
  <c r="U27" i="6" s="1"/>
  <c r="J28" i="6"/>
  <c r="L28" i="6"/>
  <c r="P28" i="6" s="1"/>
  <c r="Q28" i="6" s="1"/>
  <c r="O28" i="6"/>
  <c r="S28" i="6"/>
  <c r="T28" i="6"/>
  <c r="J29" i="6"/>
  <c r="L29" i="6"/>
  <c r="M29" i="6"/>
  <c r="M78" i="6" s="1"/>
  <c r="S29" i="6"/>
  <c r="T29" i="6"/>
  <c r="I30" i="6"/>
  <c r="L30" i="6"/>
  <c r="P30" i="6" s="1"/>
  <c r="Q30" i="6" s="1"/>
  <c r="M30" i="6"/>
  <c r="S30" i="6"/>
  <c r="T30" i="6"/>
  <c r="U30" i="6" s="1"/>
  <c r="J31" i="6"/>
  <c r="P31" i="6" s="1"/>
  <c r="Q31" i="6" s="1"/>
  <c r="L31" i="6"/>
  <c r="M31" i="6"/>
  <c r="S31" i="6"/>
  <c r="T31" i="6"/>
  <c r="J32" i="6"/>
  <c r="P32" i="6" s="1"/>
  <c r="O32" i="6"/>
  <c r="S32" i="6"/>
  <c r="T32" i="6"/>
  <c r="U32" i="6"/>
  <c r="V32" i="6" s="1"/>
  <c r="J33" i="6"/>
  <c r="O33" i="6"/>
  <c r="P33" i="6" s="1"/>
  <c r="S33" i="6"/>
  <c r="T33" i="6"/>
  <c r="J34" i="6"/>
  <c r="O34" i="6"/>
  <c r="S34" i="6"/>
  <c r="T34" i="6"/>
  <c r="U34" i="6"/>
  <c r="V34" i="6" s="1"/>
  <c r="J35" i="6"/>
  <c r="L35" i="6"/>
  <c r="P35" i="6" s="1"/>
  <c r="O35" i="6"/>
  <c r="S35" i="6"/>
  <c r="T35" i="6"/>
  <c r="J36" i="6"/>
  <c r="P36" i="6" s="1"/>
  <c r="L36" i="6"/>
  <c r="O36" i="6"/>
  <c r="S36" i="6"/>
  <c r="T36" i="6"/>
  <c r="U36" i="6" s="1"/>
  <c r="J37" i="6"/>
  <c r="O37" i="6"/>
  <c r="P37" i="6" s="1"/>
  <c r="Q37" i="6" s="1"/>
  <c r="S37" i="6"/>
  <c r="T37" i="6"/>
  <c r="J38" i="6"/>
  <c r="O38" i="6"/>
  <c r="P38" i="6" s="1"/>
  <c r="Q38" i="6" s="1"/>
  <c r="S38" i="6"/>
  <c r="T38" i="6"/>
  <c r="J39" i="6"/>
  <c r="O39" i="6"/>
  <c r="S39" i="6"/>
  <c r="T39" i="6"/>
  <c r="V39" i="6" s="1"/>
  <c r="U39" i="6"/>
  <c r="I40" i="6"/>
  <c r="O40" i="6"/>
  <c r="S40" i="6"/>
  <c r="T40" i="6"/>
  <c r="I41" i="6"/>
  <c r="O41" i="6"/>
  <c r="S41" i="6"/>
  <c r="T41" i="6"/>
  <c r="I42" i="6"/>
  <c r="P42" i="6" s="1"/>
  <c r="Q42" i="6" s="1"/>
  <c r="O42" i="6"/>
  <c r="S42" i="6"/>
  <c r="T42" i="6"/>
  <c r="I43" i="6"/>
  <c r="O43" i="6"/>
  <c r="S43" i="6"/>
  <c r="T43" i="6"/>
  <c r="I44" i="6"/>
  <c r="O44" i="6"/>
  <c r="S44" i="6"/>
  <c r="T44" i="6"/>
  <c r="AA78" i="6"/>
  <c r="I46" i="6"/>
  <c r="L46" i="6"/>
  <c r="O46" i="6"/>
  <c r="P46" i="6" s="1"/>
  <c r="Q46" i="6" s="1"/>
  <c r="S46" i="6"/>
  <c r="T46" i="6"/>
  <c r="U46" i="6"/>
  <c r="V46" i="6" s="1"/>
  <c r="W46" i="6"/>
  <c r="J47" i="6"/>
  <c r="L47" i="6"/>
  <c r="O47" i="6"/>
  <c r="S47" i="6"/>
  <c r="T47" i="6"/>
  <c r="U47" i="6"/>
  <c r="W47" i="6"/>
  <c r="J48" i="6"/>
  <c r="O48" i="6"/>
  <c r="S48" i="6"/>
  <c r="T48" i="6"/>
  <c r="W48" i="6"/>
  <c r="J49" i="6"/>
  <c r="O49" i="6"/>
  <c r="S49" i="6"/>
  <c r="T49" i="6"/>
  <c r="W49" i="6"/>
  <c r="J50" i="6"/>
  <c r="O50" i="6"/>
  <c r="P50" i="6" s="1"/>
  <c r="Q50" i="6" s="1"/>
  <c r="S50" i="6"/>
  <c r="T50" i="6"/>
  <c r="U50" i="6" s="1"/>
  <c r="W50" i="6"/>
  <c r="J51" i="6"/>
  <c r="P51" i="6" s="1"/>
  <c r="Q51" i="6" s="1"/>
  <c r="O51" i="6"/>
  <c r="S51" i="6"/>
  <c r="T51" i="6"/>
  <c r="W51" i="6"/>
  <c r="J52" i="6"/>
  <c r="O52" i="6"/>
  <c r="S52" i="6"/>
  <c r="T52" i="6"/>
  <c r="U52" i="6" s="1"/>
  <c r="V52" i="6" s="1"/>
  <c r="W52" i="6"/>
  <c r="J53" i="6"/>
  <c r="P53" i="6" s="1"/>
  <c r="O53" i="6"/>
  <c r="S53" i="6"/>
  <c r="T53" i="6"/>
  <c r="W53" i="6"/>
  <c r="J54" i="6"/>
  <c r="O54" i="6"/>
  <c r="S54" i="6"/>
  <c r="T54" i="6"/>
  <c r="U54" i="6" s="1"/>
  <c r="V54" i="6" s="1"/>
  <c r="W54" i="6"/>
  <c r="J55" i="6"/>
  <c r="O55" i="6"/>
  <c r="S55" i="6"/>
  <c r="T55" i="6"/>
  <c r="W55" i="6"/>
  <c r="J56" i="6"/>
  <c r="O56" i="6"/>
  <c r="S56" i="6"/>
  <c r="T56" i="6"/>
  <c r="W56" i="6"/>
  <c r="J57" i="6"/>
  <c r="P57" i="6" s="1"/>
  <c r="Q57" i="6" s="1"/>
  <c r="O57" i="6"/>
  <c r="S57" i="6"/>
  <c r="T57" i="6"/>
  <c r="W57" i="6"/>
  <c r="J58" i="6"/>
  <c r="O58" i="6"/>
  <c r="P58" i="6" s="1"/>
  <c r="S58" i="6"/>
  <c r="T58" i="6"/>
  <c r="U58" i="6" s="1"/>
  <c r="W58" i="6"/>
  <c r="J59" i="6"/>
  <c r="O59" i="6"/>
  <c r="S59" i="6"/>
  <c r="T59" i="6"/>
  <c r="W59" i="6"/>
  <c r="I60" i="6"/>
  <c r="O60" i="6"/>
  <c r="S60" i="6"/>
  <c r="T60" i="6"/>
  <c r="U60" i="6" s="1"/>
  <c r="V60" i="6"/>
  <c r="W60" i="6"/>
  <c r="I61" i="6"/>
  <c r="P61" i="6" s="1"/>
  <c r="O61" i="6"/>
  <c r="S61" i="6"/>
  <c r="T61" i="6"/>
  <c r="U61" i="6"/>
  <c r="V61" i="6" s="1"/>
  <c r="W61" i="6"/>
  <c r="I62" i="6"/>
  <c r="P62" i="6" s="1"/>
  <c r="Q62" i="6" s="1"/>
  <c r="O62" i="6"/>
  <c r="S62" i="6"/>
  <c r="T62" i="6"/>
  <c r="W62" i="6"/>
  <c r="W78" i="6" s="1"/>
  <c r="I63" i="6"/>
  <c r="O63" i="6"/>
  <c r="P63" i="6" s="1"/>
  <c r="Q63" i="6" s="1"/>
  <c r="S63" i="6"/>
  <c r="T63" i="6"/>
  <c r="W63" i="6"/>
  <c r="P64" i="6"/>
  <c r="Q64" i="6"/>
  <c r="T64" i="6"/>
  <c r="U64" i="6" s="1"/>
  <c r="W64" i="6"/>
  <c r="P66" i="6"/>
  <c r="Q66" i="6"/>
  <c r="R66" i="6"/>
  <c r="S66" i="6"/>
  <c r="T66" i="6"/>
  <c r="W66" i="6"/>
  <c r="P67" i="6"/>
  <c r="Q67" i="6"/>
  <c r="R67" i="6"/>
  <c r="S67" i="6"/>
  <c r="T67" i="6"/>
  <c r="U67" i="6" s="1"/>
  <c r="W67" i="6"/>
  <c r="P68" i="6"/>
  <c r="Q68" i="6"/>
  <c r="R68" i="6"/>
  <c r="S68" i="6"/>
  <c r="T68" i="6"/>
  <c r="W68" i="6"/>
  <c r="P69" i="6"/>
  <c r="Q69" i="6"/>
  <c r="R69" i="6"/>
  <c r="S69" i="6"/>
  <c r="T69" i="6"/>
  <c r="W69" i="6"/>
  <c r="P70" i="6"/>
  <c r="Q70" i="6"/>
  <c r="R70" i="6"/>
  <c r="S70" i="6"/>
  <c r="T70" i="6"/>
  <c r="U70" i="6" s="1"/>
  <c r="W70" i="6"/>
  <c r="P71" i="6"/>
  <c r="Q71" i="6"/>
  <c r="R71" i="6"/>
  <c r="S71" i="6"/>
  <c r="T71" i="6"/>
  <c r="W71" i="6"/>
  <c r="P72" i="6"/>
  <c r="Q72" i="6"/>
  <c r="R72" i="6"/>
  <c r="S72" i="6"/>
  <c r="T72" i="6"/>
  <c r="W72" i="6"/>
  <c r="P73" i="6"/>
  <c r="Q73" i="6"/>
  <c r="S73" i="6"/>
  <c r="T73" i="6"/>
  <c r="W73" i="6"/>
  <c r="I74" i="6"/>
  <c r="J74" i="6"/>
  <c r="L74" i="6"/>
  <c r="S74" i="6"/>
  <c r="T74" i="6"/>
  <c r="U74" i="6" s="1"/>
  <c r="V74" i="6" s="1"/>
  <c r="N78" i="6"/>
  <c r="Y78" i="6"/>
  <c r="AB78" i="6"/>
  <c r="U15" i="6"/>
  <c r="V14" i="6"/>
  <c r="U11" i="6"/>
  <c r="U57" i="6"/>
  <c r="V57" i="6" s="1"/>
  <c r="V58" i="6"/>
  <c r="M189" i="6"/>
  <c r="P156" i="6"/>
  <c r="Q156" i="6" s="1"/>
  <c r="P155" i="6"/>
  <c r="Q155" i="6" s="1"/>
  <c r="P154" i="6"/>
  <c r="Q154" i="6" s="1"/>
  <c r="P153" i="6"/>
  <c r="Q153" i="6" s="1"/>
  <c r="Q58" i="6"/>
  <c r="V11" i="6"/>
  <c r="P34" i="6"/>
  <c r="Q34" i="6" s="1"/>
  <c r="Q32" i="6"/>
  <c r="Q61" i="6"/>
  <c r="P43" i="6"/>
  <c r="Q43" i="6" s="1"/>
  <c r="P40" i="6"/>
  <c r="Q40" i="6" s="1"/>
  <c r="P60" i="6"/>
  <c r="Q60" i="6" s="1"/>
  <c r="P55" i="6"/>
  <c r="Q55" i="6"/>
  <c r="Q53" i="6"/>
  <c r="U14" i="6"/>
  <c r="P54" i="6"/>
  <c r="Q54" i="6" s="1"/>
  <c r="U13" i="6"/>
  <c r="V13" i="6"/>
  <c r="V64" i="6"/>
  <c r="U38" i="6"/>
  <c r="V38" i="6" s="1"/>
  <c r="V50" i="6"/>
  <c r="U44" i="6"/>
  <c r="V44" i="6"/>
  <c r="U43" i="6"/>
  <c r="V43" i="6"/>
  <c r="U41" i="6"/>
  <c r="V41" i="6"/>
  <c r="U40" i="6"/>
  <c r="V40" i="6"/>
  <c r="V36" i="6"/>
  <c r="U53" i="6"/>
  <c r="V53" i="6" s="1"/>
  <c r="Q33" i="6"/>
  <c r="U18" i="6"/>
  <c r="V18" i="6" s="1"/>
  <c r="U12" i="6"/>
  <c r="P39" i="6"/>
  <c r="Q39" i="6" s="1"/>
  <c r="Q35" i="6"/>
  <c r="Q26" i="6"/>
  <c r="P20" i="6"/>
  <c r="Q20" i="6" s="1"/>
  <c r="P17" i="6"/>
  <c r="Q17" i="6" s="1"/>
  <c r="V15" i="6"/>
  <c r="P59" i="6"/>
  <c r="Q59" i="6" s="1"/>
  <c r="V47" i="6"/>
  <c r="V67" i="6"/>
  <c r="U62" i="6"/>
  <c r="V62" i="6"/>
  <c r="I78" i="6"/>
  <c r="V70" i="6"/>
  <c r="U35" i="6"/>
  <c r="V35" i="6" s="1"/>
  <c r="V27" i="6"/>
  <c r="U73" i="6"/>
  <c r="U69" i="6"/>
  <c r="U59" i="6"/>
  <c r="V59" i="6"/>
  <c r="U55" i="6"/>
  <c r="V55" i="6" s="1"/>
  <c r="U51" i="6"/>
  <c r="V51" i="6" s="1"/>
  <c r="P56" i="6"/>
  <c r="Q56" i="6"/>
  <c r="P52" i="6"/>
  <c r="Q52" i="6" s="1"/>
  <c r="P48" i="6"/>
  <c r="Q48" i="6" s="1"/>
  <c r="P29" i="6"/>
  <c r="Q29" i="6" s="1"/>
  <c r="U56" i="6"/>
  <c r="V56" i="6"/>
  <c r="U48" i="6"/>
  <c r="V48" i="6" s="1"/>
  <c r="Q36" i="6"/>
  <c r="U28" i="6"/>
  <c r="V28" i="6"/>
  <c r="P150" i="6"/>
  <c r="Q150" i="6"/>
  <c r="P151" i="6"/>
  <c r="Q151" i="6" s="1"/>
  <c r="P149" i="6"/>
  <c r="Q149" i="6" s="1"/>
  <c r="P147" i="6"/>
  <c r="P152" i="6"/>
  <c r="Q152" i="6"/>
  <c r="Q147" i="6"/>
  <c r="U146" i="6" l="1"/>
  <c r="V146" i="6" s="1"/>
  <c r="AX268" i="7"/>
  <c r="U29" i="6"/>
  <c r="V29" i="6" s="1"/>
  <c r="U23" i="6"/>
  <c r="V23" i="6"/>
  <c r="U20" i="6"/>
  <c r="V20" i="6" s="1"/>
  <c r="V49" i="6"/>
  <c r="U49" i="6"/>
  <c r="L78" i="6"/>
  <c r="U72" i="6"/>
  <c r="V72" i="6" s="1"/>
  <c r="V71" i="6"/>
  <c r="U71" i="6"/>
  <c r="V69" i="6"/>
  <c r="U68" i="6"/>
  <c r="V68" i="6"/>
  <c r="U66" i="6"/>
  <c r="V66" i="6" s="1"/>
  <c r="U42" i="6"/>
  <c r="V42" i="6"/>
  <c r="AG173" i="7"/>
  <c r="AW268" i="7"/>
  <c r="AW285" i="7" s="1"/>
  <c r="U125" i="6"/>
  <c r="V125" i="6" s="1"/>
  <c r="U128" i="6"/>
  <c r="V128" i="6"/>
  <c r="V131" i="6"/>
  <c r="U25" i="6"/>
  <c r="V25" i="6" s="1"/>
  <c r="U304" i="7"/>
  <c r="AA304" i="7" s="1"/>
  <c r="AW304" i="7" s="1"/>
  <c r="Z304" i="7"/>
  <c r="AX304" i="7" s="1"/>
  <c r="U148" i="6"/>
  <c r="V148" i="6" s="1"/>
  <c r="P101" i="6"/>
  <c r="Q101" i="6" s="1"/>
  <c r="S146" i="6"/>
  <c r="AB146" i="6"/>
  <c r="W146" i="6"/>
  <c r="W189" i="6" s="1"/>
  <c r="T261" i="6"/>
  <c r="S261" i="6"/>
  <c r="AB261" i="6"/>
  <c r="AA261" i="7"/>
  <c r="AX261" i="7" s="1"/>
  <c r="Z261" i="7"/>
  <c r="AW261" i="7" s="1"/>
  <c r="U145" i="6"/>
  <c r="V145" i="6" s="1"/>
  <c r="BA173" i="7"/>
  <c r="U33" i="6"/>
  <c r="V33" i="6" s="1"/>
  <c r="E2" i="7"/>
  <c r="U21" i="6"/>
  <c r="V21" i="6"/>
  <c r="T120" i="6"/>
  <c r="AB120" i="6"/>
  <c r="S120" i="6"/>
  <c r="T285" i="7"/>
  <c r="O189" i="6"/>
  <c r="U37" i="6"/>
  <c r="V37" i="6"/>
  <c r="S78" i="6"/>
  <c r="U22" i="6"/>
  <c r="V22" i="6" s="1"/>
  <c r="U19" i="6"/>
  <c r="U78" i="6" s="1"/>
  <c r="V19" i="6"/>
  <c r="P18" i="6"/>
  <c r="Q18" i="6" s="1"/>
  <c r="O78" i="6"/>
  <c r="AA303" i="7"/>
  <c r="AW303" i="7" s="1"/>
  <c r="U161" i="6"/>
  <c r="V161" i="6"/>
  <c r="V162" i="6"/>
  <c r="V176" i="6"/>
  <c r="U176" i="6"/>
  <c r="U184" i="6"/>
  <c r="V184" i="6" s="1"/>
  <c r="J178" i="6"/>
  <c r="P178" i="6" s="1"/>
  <c r="Q178" i="6" s="1"/>
  <c r="T178" i="6"/>
  <c r="L178" i="6"/>
  <c r="S178" i="6"/>
  <c r="V142" i="6"/>
  <c r="U142" i="6"/>
  <c r="R189" i="6"/>
  <c r="V230" i="6"/>
  <c r="J78" i="6"/>
  <c r="V73" i="6"/>
  <c r="D153" i="7"/>
  <c r="I189" i="6"/>
  <c r="P122" i="6"/>
  <c r="Q122" i="6" s="1"/>
  <c r="U89" i="6"/>
  <c r="S142" i="6"/>
  <c r="U107" i="6"/>
  <c r="V107" i="6"/>
  <c r="AY140" i="7"/>
  <c r="AN199" i="7"/>
  <c r="AN200" i="7"/>
  <c r="AN21" i="7"/>
  <c r="AN17" i="7"/>
  <c r="AS31" i="7"/>
  <c r="AY31" i="7" s="1"/>
  <c r="T31" i="7"/>
  <c r="P47" i="6"/>
  <c r="Q47" i="6" s="1"/>
  <c r="U164" i="6"/>
  <c r="V164" i="6"/>
  <c r="U175" i="6"/>
  <c r="V175" i="6" s="1"/>
  <c r="V177" i="6"/>
  <c r="P177" i="6"/>
  <c r="Q177" i="6" s="1"/>
  <c r="V105" i="6"/>
  <c r="X189" i="6"/>
  <c r="T279" i="6"/>
  <c r="L279" i="6"/>
  <c r="I279" i="6"/>
  <c r="K295" i="6"/>
  <c r="P230" i="6"/>
  <c r="Q230" i="6" s="1"/>
  <c r="AA416" i="7"/>
  <c r="U423" i="7"/>
  <c r="AW192" i="7"/>
  <c r="AW209" i="7" s="1"/>
  <c r="AW227" i="7" s="1"/>
  <c r="AA209" i="7"/>
  <c r="AA227" i="7" s="1"/>
  <c r="AS26" i="7"/>
  <c r="T26" i="7"/>
  <c r="CH173" i="7"/>
  <c r="AQ32" i="7"/>
  <c r="AQ85" i="7"/>
  <c r="AQ27" i="7"/>
  <c r="AQ26" i="7"/>
  <c r="AQ65" i="7" s="1"/>
  <c r="AQ140" i="7"/>
  <c r="AQ135" i="7"/>
  <c r="AQ90" i="7"/>
  <c r="AQ86" i="7"/>
  <c r="AQ136" i="7"/>
  <c r="P44" i="6"/>
  <c r="Q44" i="6" s="1"/>
  <c r="U63" i="6"/>
  <c r="V63" i="6"/>
  <c r="X78" i="6"/>
  <c r="AB189" i="6"/>
  <c r="T250" i="6"/>
  <c r="S119" i="6"/>
  <c r="T119" i="6"/>
  <c r="Z259" i="7"/>
  <c r="U268" i="7"/>
  <c r="P141" i="6"/>
  <c r="Q141" i="6" s="1"/>
  <c r="U152" i="6"/>
  <c r="V152" i="6"/>
  <c r="J175" i="6"/>
  <c r="L175" i="6"/>
  <c r="L189" i="6" s="1"/>
  <c r="V268" i="6"/>
  <c r="P207" i="6"/>
  <c r="Q207" i="6" s="1"/>
  <c r="P280" i="6"/>
  <c r="Q280" i="6" s="1"/>
  <c r="U224" i="6"/>
  <c r="V224" i="6" s="1"/>
  <c r="P281" i="6"/>
  <c r="Q281" i="6" s="1"/>
  <c r="S224" i="6"/>
  <c r="O224" i="6"/>
  <c r="P255" i="6"/>
  <c r="Q255" i="6" s="1"/>
  <c r="Z416" i="7"/>
  <c r="AW383" i="7"/>
  <c r="U391" i="7"/>
  <c r="AA391" i="7" s="1"/>
  <c r="AW391" i="7" s="1"/>
  <c r="AX153" i="7"/>
  <c r="AX16" i="7"/>
  <c r="AX65" i="7" s="1"/>
  <c r="Z65" i="7"/>
  <c r="U165" i="7"/>
  <c r="Z158" i="7"/>
  <c r="AA158" i="7"/>
  <c r="U247" i="6"/>
  <c r="V247" i="6" s="1"/>
  <c r="N173" i="7"/>
  <c r="U92" i="7"/>
  <c r="BI173" i="7"/>
  <c r="P49" i="6"/>
  <c r="Q49" i="6" s="1"/>
  <c r="P41" i="6"/>
  <c r="Q41" i="6" s="1"/>
  <c r="P74" i="6"/>
  <c r="Q74" i="6" s="1"/>
  <c r="U31" i="6"/>
  <c r="V31" i="6" s="1"/>
  <c r="V30" i="6"/>
  <c r="T157" i="6"/>
  <c r="AB157" i="6"/>
  <c r="AR98" i="7"/>
  <c r="AA268" i="7"/>
  <c r="AA285" i="7" s="1"/>
  <c r="AX259" i="7"/>
  <c r="P127" i="6"/>
  <c r="Q127" i="6" s="1"/>
  <c r="U137" i="6"/>
  <c r="V137" i="6"/>
  <c r="U96" i="6"/>
  <c r="V96" i="6"/>
  <c r="P90" i="6"/>
  <c r="S116" i="6"/>
  <c r="T116" i="6"/>
  <c r="P202" i="6"/>
  <c r="L295" i="6"/>
  <c r="U203" i="6"/>
  <c r="P214" i="6"/>
  <c r="Q214" i="6" s="1"/>
  <c r="J295" i="6"/>
  <c r="U219" i="6"/>
  <c r="V219" i="6" s="1"/>
  <c r="P232" i="6"/>
  <c r="Q232" i="6" s="1"/>
  <c r="I295" i="6"/>
  <c r="U251" i="6"/>
  <c r="V251" i="6" s="1"/>
  <c r="V256" i="6"/>
  <c r="E65" i="7"/>
  <c r="E173" i="7" s="1"/>
  <c r="AY103" i="7"/>
  <c r="AY153" i="7" s="1"/>
  <c r="AR153" i="7"/>
  <c r="AX114" i="7"/>
  <c r="Z153" i="7"/>
  <c r="AN195" i="7"/>
  <c r="AN192" i="7"/>
  <c r="AN191" i="7"/>
  <c r="AN196" i="7"/>
  <c r="H16" i="8"/>
  <c r="H9" i="8"/>
  <c r="AN431" i="7"/>
  <c r="V108" i="6"/>
  <c r="V237" i="6"/>
  <c r="DB173" i="7"/>
  <c r="CD173" i="7"/>
  <c r="BL173" i="7"/>
  <c r="T143" i="6"/>
  <c r="D65" i="7"/>
  <c r="D173" i="7" s="1"/>
  <c r="AT65" i="7"/>
  <c r="AT173" i="7" s="1"/>
  <c r="AS85" i="7"/>
  <c r="AS88" i="7"/>
  <c r="AY88" i="7" s="1"/>
  <c r="AR65" i="7"/>
  <c r="AQ158" i="7"/>
  <c r="AQ165" i="7" s="1"/>
  <c r="AQ141" i="7"/>
  <c r="AQ139" i="7"/>
  <c r="AN158" i="7"/>
  <c r="AN165" i="7" s="1"/>
  <c r="AN70" i="7"/>
  <c r="AN98" i="7" s="1"/>
  <c r="AN43" i="7"/>
  <c r="AN92" i="7"/>
  <c r="CQ173" i="7"/>
  <c r="V153" i="7"/>
  <c r="V173" i="7" s="1"/>
  <c r="AA105" i="7"/>
  <c r="H27" i="8"/>
  <c r="Z374" i="7"/>
  <c r="AX374" i="7" s="1"/>
  <c r="Z321" i="7"/>
  <c r="AX321" i="7" s="1"/>
  <c r="U315" i="7"/>
  <c r="U371" i="7"/>
  <c r="Z315" i="7"/>
  <c r="AX315" i="7" s="1"/>
  <c r="Z371" i="7"/>
  <c r="AX371" i="7" s="1"/>
  <c r="AX383" i="7" s="1"/>
  <c r="AR383" i="7"/>
  <c r="AR431" i="7" s="1"/>
  <c r="AY355" i="7"/>
  <c r="AY383" i="7" s="1"/>
  <c r="F468" i="7"/>
  <c r="F485" i="7" s="1"/>
  <c r="T463" i="7"/>
  <c r="T468" i="7" s="1"/>
  <c r="T485" i="7" s="1"/>
  <c r="CH431" i="7"/>
  <c r="BA431" i="7"/>
  <c r="AF431" i="7"/>
  <c r="Y9" i="8"/>
  <c r="Y59" i="8"/>
  <c r="V485" i="7"/>
  <c r="AB485" i="7"/>
  <c r="AN485" i="7"/>
  <c r="AT485" i="7"/>
  <c r="DC485" i="7"/>
  <c r="AA461" i="7"/>
  <c r="AX461" i="7" s="1"/>
  <c r="Z461" i="7"/>
  <c r="AW461" i="7" s="1"/>
  <c r="U468" i="7"/>
  <c r="U485" i="7" s="1"/>
  <c r="Z271" i="7"/>
  <c r="U282" i="7"/>
  <c r="AR411" i="7"/>
  <c r="AT431" i="7"/>
  <c r="AQ411" i="7"/>
  <c r="AQ431" i="7" s="1"/>
  <c r="AY459" i="7"/>
  <c r="AS468" i="7"/>
  <c r="AS485" i="7" s="1"/>
  <c r="Z462" i="7"/>
  <c r="AW462" i="7" s="1"/>
  <c r="AA462" i="7"/>
  <c r="AX462" i="7" s="1"/>
  <c r="CW285" i="7"/>
  <c r="E431" i="7"/>
  <c r="K431" i="7"/>
  <c r="Q431" i="7"/>
  <c r="AD485" i="7"/>
  <c r="BC485" i="7"/>
  <c r="CI485" i="7"/>
  <c r="CQ485" i="7"/>
  <c r="CY485" i="7"/>
  <c r="CX173" i="7"/>
  <c r="CD285" i="7"/>
  <c r="AY312" i="7"/>
  <c r="AY347" i="7" s="1"/>
  <c r="AY431" i="7" s="1"/>
  <c r="AS347" i="7"/>
  <c r="AS431" i="7" s="1"/>
  <c r="AA460" i="7"/>
  <c r="Z460" i="7"/>
  <c r="G431" i="7"/>
  <c r="H3" i="7" s="1"/>
  <c r="CT431" i="7"/>
  <c r="BC431" i="7"/>
  <c r="AO431" i="7"/>
  <c r="Y431" i="7"/>
  <c r="P431" i="7"/>
  <c r="Y61" i="8"/>
  <c r="Y63" i="8"/>
  <c r="AU485" i="7"/>
  <c r="BV285" i="7"/>
  <c r="BJ285" i="7"/>
  <c r="AA387" i="7" s="1"/>
  <c r="BW431" i="7"/>
  <c r="BK431" i="7"/>
  <c r="DA285" i="7"/>
  <c r="CU285" i="7"/>
  <c r="CM285" i="7"/>
  <c r="T347" i="7"/>
  <c r="T431" i="7" s="1"/>
  <c r="AR468" i="7"/>
  <c r="AR485" i="7" s="1"/>
  <c r="AY460" i="7"/>
  <c r="Y10" i="8"/>
  <c r="Y14" i="8"/>
  <c r="Y34" i="8"/>
  <c r="Y35" i="8"/>
  <c r="Y41" i="8"/>
  <c r="AU173" i="7"/>
  <c r="CS173" i="7"/>
  <c r="V78" i="6" l="1"/>
  <c r="AX416" i="7"/>
  <c r="AX423" i="7" s="1"/>
  <c r="Z423" i="7"/>
  <c r="AS65" i="7"/>
  <c r="AY26" i="7"/>
  <c r="AY65" i="7" s="1"/>
  <c r="U367" i="7"/>
  <c r="U368" i="7"/>
  <c r="AA368" i="7"/>
  <c r="AD368" i="7" s="1"/>
  <c r="AA367" i="7"/>
  <c r="AD367" i="7" s="1"/>
  <c r="AA316" i="7"/>
  <c r="AD316" i="7" s="1"/>
  <c r="U312" i="7"/>
  <c r="AA311" i="7"/>
  <c r="AD311" i="7" s="1"/>
  <c r="AD347" i="7" s="1"/>
  <c r="U372" i="7"/>
  <c r="U316" i="7"/>
  <c r="AA312" i="7"/>
  <c r="AD312" i="7" s="1"/>
  <c r="AA372" i="7"/>
  <c r="AD372" i="7" s="1"/>
  <c r="U311" i="7"/>
  <c r="AW105" i="7"/>
  <c r="AW153" i="7" s="1"/>
  <c r="AA153" i="7"/>
  <c r="V143" i="6"/>
  <c r="U143" i="6"/>
  <c r="Q202" i="6"/>
  <c r="V250" i="6"/>
  <c r="U250" i="6"/>
  <c r="P279" i="6"/>
  <c r="Q279" i="6" s="1"/>
  <c r="P78" i="6"/>
  <c r="V89" i="6"/>
  <c r="U261" i="6"/>
  <c r="V261" i="6" s="1"/>
  <c r="AY85" i="7"/>
  <c r="AY98" i="7" s="1"/>
  <c r="AS98" i="7"/>
  <c r="AN209" i="7"/>
  <c r="AN227" i="7" s="1"/>
  <c r="U116" i="6"/>
  <c r="U189" i="6" s="1"/>
  <c r="V116" i="6"/>
  <c r="V157" i="6"/>
  <c r="U157" i="6"/>
  <c r="AW158" i="7"/>
  <c r="AW165" i="7" s="1"/>
  <c r="AA165" i="7"/>
  <c r="U285" i="7"/>
  <c r="U279" i="6"/>
  <c r="V279" i="6" s="1"/>
  <c r="AN65" i="7"/>
  <c r="AN173" i="7" s="1"/>
  <c r="U178" i="6"/>
  <c r="V178" i="6" s="1"/>
  <c r="O295" i="6"/>
  <c r="P224" i="6"/>
  <c r="Q224" i="6" s="1"/>
  <c r="Q78" i="6"/>
  <c r="S189" i="6"/>
  <c r="Z165" i="7"/>
  <c r="Z173" i="7" s="1"/>
  <c r="AX158" i="7"/>
  <c r="AX165" i="7" s="1"/>
  <c r="AX173" i="7" s="1"/>
  <c r="Z268" i="7"/>
  <c r="Z285" i="7" s="1"/>
  <c r="AW259" i="7"/>
  <c r="AQ153" i="7"/>
  <c r="AA423" i="7"/>
  <c r="AW416" i="7"/>
  <c r="AW423" i="7" s="1"/>
  <c r="T189" i="6"/>
  <c r="AQ98" i="7"/>
  <c r="AQ173" i="7" s="1"/>
  <c r="AX285" i="7"/>
  <c r="AW460" i="7"/>
  <c r="AW468" i="7" s="1"/>
  <c r="AW485" i="7" s="1"/>
  <c r="Z468" i="7"/>
  <c r="Z485" i="7" s="1"/>
  <c r="Z302" i="7"/>
  <c r="Z390" i="7"/>
  <c r="AA351" i="7"/>
  <c r="U354" i="7"/>
  <c r="Z354" i="7"/>
  <c r="U302" i="7"/>
  <c r="U390" i="7"/>
  <c r="AX460" i="7"/>
  <c r="AX468" i="7" s="1"/>
  <c r="AX485" i="7" s="1"/>
  <c r="AA468" i="7"/>
  <c r="AA485" i="7" s="1"/>
  <c r="Z282" i="7"/>
  <c r="AX271" i="7"/>
  <c r="AX282" i="7" s="1"/>
  <c r="AY468" i="7"/>
  <c r="AY485" i="7" s="1"/>
  <c r="AR173" i="7"/>
  <c r="V203" i="6"/>
  <c r="Q90" i="6"/>
  <c r="Q189" i="6" s="1"/>
  <c r="P189" i="6"/>
  <c r="U98" i="7"/>
  <c r="U173" i="7" s="1"/>
  <c r="AA92" i="7"/>
  <c r="P175" i="6"/>
  <c r="Q175" i="6" s="1"/>
  <c r="U119" i="6"/>
  <c r="V119" i="6"/>
  <c r="T65" i="7"/>
  <c r="U120" i="6"/>
  <c r="V120" i="6" s="1"/>
  <c r="J189" i="6"/>
  <c r="AW351" i="7" l="1"/>
  <c r="Z411" i="7"/>
  <c r="AX390" i="7"/>
  <c r="AX411" i="7" s="1"/>
  <c r="AA390" i="7"/>
  <c r="U411" i="7"/>
  <c r="AX302" i="7"/>
  <c r="AX347" i="7" s="1"/>
  <c r="Z347" i="7"/>
  <c r="V189" i="6"/>
  <c r="Q295" i="6"/>
  <c r="AA302" i="7"/>
  <c r="U347" i="7"/>
  <c r="P295" i="6"/>
  <c r="AW92" i="7"/>
  <c r="AW98" i="7" s="1"/>
  <c r="AW173" i="7" s="1"/>
  <c r="AA98" i="7"/>
  <c r="AA173" i="7" s="1"/>
  <c r="AX354" i="7"/>
  <c r="Z383" i="7"/>
  <c r="AD383" i="7"/>
  <c r="AD431" i="7" s="1"/>
  <c r="AY173" i="7"/>
  <c r="T173" i="7"/>
  <c r="G229" i="6"/>
  <c r="AA354" i="7"/>
  <c r="AW354" i="7" s="1"/>
  <c r="U383" i="7"/>
  <c r="AS173" i="7"/>
  <c r="Z431" i="7" l="1"/>
  <c r="AA383" i="7"/>
  <c r="AW390" i="7"/>
  <c r="AW411" i="7" s="1"/>
  <c r="AA411" i="7"/>
  <c r="AX431" i="7"/>
  <c r="AW302" i="7"/>
  <c r="AW347" i="7" s="1"/>
  <c r="AA347" i="7"/>
  <c r="AB229" i="6"/>
  <c r="AB295" i="6" s="1"/>
  <c r="W229" i="6"/>
  <c r="W295" i="6" s="1"/>
  <c r="S229" i="6"/>
  <c r="S295" i="6" s="1"/>
  <c r="T229" i="6"/>
  <c r="U431" i="7"/>
  <c r="H20" i="11" l="1"/>
  <c r="U229" i="6"/>
  <c r="U295" i="6" s="1"/>
  <c r="V229" i="6"/>
  <c r="V295" i="6" s="1"/>
  <c r="T295" i="6"/>
  <c r="AA431" i="7"/>
  <c r="AW431" i="7"/>
  <c r="E8" i="13" l="1"/>
  <c r="E12" i="13" s="1"/>
  <c r="E10" i="13" l="1"/>
  <c r="E13" i="13" s="1"/>
  <c r="E14" i="13" s="1"/>
  <c r="H13" i="11" l="1"/>
  <c r="H17" i="11"/>
  <c r="H14" i="11"/>
  <c r="H18" i="11"/>
  <c r="H12" i="11"/>
  <c r="H15" i="11"/>
  <c r="H16" i="11"/>
  <c r="H11" i="11"/>
  <c r="E15" i="13"/>
  <c r="G5" i="13" s="1"/>
  <c r="H19" i="11" l="1"/>
  <c r="H21" i="11" s="1"/>
</calcChain>
</file>

<file path=xl/sharedStrings.xml><?xml version="1.0" encoding="utf-8"?>
<sst xmlns="http://schemas.openxmlformats.org/spreadsheetml/2006/main" count="4032" uniqueCount="1406">
  <si>
    <t xml:space="preserve">                                  บัญชีแสดงปริมาณและราคา</t>
  </si>
  <si>
    <t>เจ้าของโครงการ :   มหาวิทยาลัยเทคโนโรยีราชมงคลอีสาน</t>
  </si>
  <si>
    <t xml:space="preserve"> </t>
  </si>
  <si>
    <t xml:space="preserve"> รายการแสดงราคา : งานก่อสร้างอาคาร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</si>
  <si>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</si>
  <si>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</si>
  <si>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</si>
  <si>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</si>
  <si>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</si>
  <si>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</si>
  <si>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รวมค่าวัสดุและค่าแรงงาน</t>
  </si>
  <si>
    <t>หมายเหตุ</t>
  </si>
  <si>
    <t>ราคาต่อหน่วย</t>
  </si>
  <si>
    <t>จำนวนเงิน</t>
  </si>
  <si>
    <t>งานเตรียมพื้นที่ก่อสร้าง</t>
  </si>
  <si>
    <t>ม.</t>
  </si>
  <si>
    <t>ชุด</t>
  </si>
  <si>
    <t>ตร.ม.</t>
  </si>
  <si>
    <t>หมวดงานโครงสร้าง</t>
  </si>
  <si>
    <t>F1</t>
  </si>
  <si>
    <t>กก.</t>
  </si>
  <si>
    <t>F3</t>
  </si>
  <si>
    <t>F4</t>
  </si>
  <si>
    <t>F5</t>
  </si>
  <si>
    <t>F6</t>
  </si>
  <si>
    <t>F7</t>
  </si>
  <si>
    <t>Truss 1</t>
  </si>
  <si>
    <t>Truss 2</t>
  </si>
  <si>
    <t>ตัว</t>
  </si>
  <si>
    <t>รวมราคาหมวดงานโครงสร้าง</t>
  </si>
  <si>
    <t>งานผิวพื้น</t>
  </si>
  <si>
    <t xml:space="preserve"> - ปูนทรายปรับระดับ</t>
  </si>
  <si>
    <t>งานผนังและผิวผนัง</t>
  </si>
  <si>
    <t>งานผนัง</t>
  </si>
  <si>
    <t xml:space="preserve"> - เสาเอ็น+ทับหลัง</t>
  </si>
  <si>
    <t>งานผิวผนัง</t>
  </si>
  <si>
    <t>งานทาสีผนัง</t>
  </si>
  <si>
    <t>งานฝ้าเพดาน</t>
  </si>
  <si>
    <t xml:space="preserve"> - งานทาสี สำหรับฝ้าเพดาน</t>
  </si>
  <si>
    <t xml:space="preserve"> - งานหล่อเคาน์เตอร์</t>
  </si>
  <si>
    <t>ลบ.ม.</t>
  </si>
  <si>
    <t>งาน</t>
  </si>
  <si>
    <t xml:space="preserve"> - ชุดผนังห้องน้ำสำเร็จรูป </t>
  </si>
  <si>
    <t xml:space="preserve"> - TOP หินแกรนิตสีดำ</t>
  </si>
  <si>
    <t xml:space="preserve">ประตู - หน้าต่าง </t>
  </si>
  <si>
    <t xml:space="preserve"> - D1 </t>
  </si>
  <si>
    <t xml:space="preserve"> - D3</t>
  </si>
  <si>
    <t xml:space="preserve"> - D4</t>
  </si>
  <si>
    <t>หลังคา METAL SHEET</t>
  </si>
  <si>
    <t>เมตร</t>
  </si>
  <si>
    <t>หมวดงานระบบสุขาภิบาล</t>
  </si>
  <si>
    <t>Sum Total</t>
  </si>
  <si>
    <t>set</t>
  </si>
  <si>
    <t>หมวดงานโครงสร้างบันได</t>
  </si>
  <si>
    <t>kg.</t>
  </si>
  <si>
    <t xml:space="preserve"> (B) OD 27.2 x 2 mm. x 1.24 Kg/M.</t>
  </si>
  <si>
    <t xml:space="preserve"> (A) OD 60.5 x 3.2 mm. x 3.30 Kg/M.</t>
  </si>
  <si>
    <t>Steel Purlin C- 150 x 75 x 25 x 3.2 mm. 8.01 Kg/M.</t>
  </si>
  <si>
    <t xml:space="preserve"> (B) OD 139.8 x 6 mm. x 19.80 Kg/M.</t>
  </si>
  <si>
    <t xml:space="preserve"> (A) OD 216.3 x 6 mm. x 31.10 Kg/M.</t>
  </si>
  <si>
    <t xml:space="preserve">หมวดงานโครงสร้าง ชั้น หลังคา ระดับ +13.30 ม. </t>
  </si>
  <si>
    <t>Sq.m.</t>
  </si>
  <si>
    <t>m.</t>
  </si>
  <si>
    <t>2,C6</t>
  </si>
  <si>
    <t>2,C5</t>
  </si>
  <si>
    <t>2,C4</t>
  </si>
  <si>
    <t>2,C3</t>
  </si>
  <si>
    <t>2,B30</t>
  </si>
  <si>
    <t>2,B29</t>
  </si>
  <si>
    <t>2,B28</t>
  </si>
  <si>
    <t>2,B27</t>
  </si>
  <si>
    <t>2,B26</t>
  </si>
  <si>
    <t>2,B25A</t>
  </si>
  <si>
    <t>2,B23A</t>
  </si>
  <si>
    <t>2,B23</t>
  </si>
  <si>
    <t>2,B22</t>
  </si>
  <si>
    <t>2,B21A</t>
  </si>
  <si>
    <t>2,B21</t>
  </si>
  <si>
    <t>2,B20B</t>
  </si>
  <si>
    <t>2,B20A</t>
  </si>
  <si>
    <t>2,B20</t>
  </si>
  <si>
    <t>2,B19</t>
  </si>
  <si>
    <t>2,B2</t>
  </si>
  <si>
    <t>Wire Mesh Dia 4 mm. @ 0.20 m.</t>
  </si>
  <si>
    <t>1,C6</t>
  </si>
  <si>
    <t>1,C5</t>
  </si>
  <si>
    <t>1,C4A</t>
  </si>
  <si>
    <t>1,C4</t>
  </si>
  <si>
    <t>1,C3</t>
  </si>
  <si>
    <t>B.18</t>
  </si>
  <si>
    <t>B.15</t>
  </si>
  <si>
    <t>B.14</t>
  </si>
  <si>
    <t>B.13</t>
  </si>
  <si>
    <t>B.12</t>
  </si>
  <si>
    <t>B.9</t>
  </si>
  <si>
    <t>B.8</t>
  </si>
  <si>
    <t>B.7</t>
  </si>
  <si>
    <t>B.6A</t>
  </si>
  <si>
    <t>B.6</t>
  </si>
  <si>
    <t>B.5</t>
  </si>
  <si>
    <t>B.4</t>
  </si>
  <si>
    <t>B.3</t>
  </si>
  <si>
    <t>B.2</t>
  </si>
  <si>
    <t>B.1</t>
  </si>
  <si>
    <t>Nos.</t>
  </si>
  <si>
    <t>C6</t>
  </si>
  <si>
    <t>C5</t>
  </si>
  <si>
    <t>C4A</t>
  </si>
  <si>
    <t>C4</t>
  </si>
  <si>
    <t>C3A</t>
  </si>
  <si>
    <t>C3</t>
  </si>
  <si>
    <t>C1</t>
  </si>
  <si>
    <t>Footing (F.6)</t>
  </si>
  <si>
    <t>Footing (F.5)</t>
  </si>
  <si>
    <t>Footing (F.4)</t>
  </si>
  <si>
    <t>Footing (F.3)</t>
  </si>
  <si>
    <t>Footing (F.1)</t>
  </si>
  <si>
    <t>(Sq.m.)</t>
  </si>
  <si>
    <t>(Nos)</t>
  </si>
  <si>
    <t>(Cu.m.)</t>
  </si>
  <si>
    <t>(Kg.)</t>
  </si>
  <si>
    <t>(ft2.)</t>
  </si>
  <si>
    <t>(m.)</t>
  </si>
  <si>
    <t>high</t>
  </si>
  <si>
    <t>long</t>
  </si>
  <si>
    <t>wide</t>
  </si>
  <si>
    <t>240 KSC.</t>
  </si>
  <si>
    <t>25 mm.</t>
  </si>
  <si>
    <t>20 mm.</t>
  </si>
  <si>
    <t>16 mm.</t>
  </si>
  <si>
    <t>12 mm.</t>
  </si>
  <si>
    <t>9 mm.</t>
  </si>
  <si>
    <t>6 mm.</t>
  </si>
  <si>
    <t>0.40 x 0.40 m.</t>
  </si>
  <si>
    <t>Cube Strength</t>
  </si>
  <si>
    <t>1.3.5</t>
  </si>
  <si>
    <t>DB.25</t>
  </si>
  <si>
    <t>DB.20</t>
  </si>
  <si>
    <t>DB.16</t>
  </si>
  <si>
    <t>DB.12</t>
  </si>
  <si>
    <t>RB.9</t>
  </si>
  <si>
    <t>RB.6</t>
  </si>
  <si>
    <t>500 Kg./Sq.m.</t>
  </si>
  <si>
    <t>คอร.</t>
  </si>
  <si>
    <t>Filling</t>
  </si>
  <si>
    <t>Excavation</t>
  </si>
  <si>
    <t>Work</t>
  </si>
  <si>
    <t>Structure</t>
  </si>
  <si>
    <t>Lean</t>
  </si>
  <si>
    <t>Wire</t>
  </si>
  <si>
    <t>Weigth</t>
  </si>
  <si>
    <t>unit</t>
  </si>
  <si>
    <t>amount</t>
  </si>
  <si>
    <t>Wire Mesh</t>
  </si>
  <si>
    <t>HC Slap</t>
  </si>
  <si>
    <t>เสาเข็ม</t>
  </si>
  <si>
    <t>Earth</t>
  </si>
  <si>
    <t>Sand</t>
  </si>
  <si>
    <t>Nails</t>
  </si>
  <si>
    <t>Form</t>
  </si>
  <si>
    <t>Concrete</t>
  </si>
  <si>
    <t>Bending</t>
  </si>
  <si>
    <t>Total</t>
  </si>
  <si>
    <t>Deform Bars (SD.30)</t>
  </si>
  <si>
    <t>Round Bars (SR.24)</t>
  </si>
  <si>
    <t>Quantity</t>
  </si>
  <si>
    <t>DESCRIPTION</t>
  </si>
  <si>
    <t>Item</t>
  </si>
  <si>
    <t>THANAPAT 360 PROJECT</t>
  </si>
  <si>
    <t>Home 3 Story</t>
  </si>
  <si>
    <t>รวมปริมาณงานทั้งหมด</t>
  </si>
  <si>
    <t>รวม</t>
  </si>
  <si>
    <t xml:space="preserve"> ผนังภายนอก</t>
  </si>
  <si>
    <t>งานชั้นที่  2</t>
  </si>
  <si>
    <t>งานชั้นที่  1</t>
  </si>
  <si>
    <t>(ชุด)</t>
  </si>
  <si>
    <t>(ตร.ม.)</t>
  </si>
  <si>
    <t>(ม.)</t>
  </si>
  <si>
    <t>คสล.</t>
  </si>
  <si>
    <t>กันชื้น</t>
  </si>
  <si>
    <t>ภายนอก</t>
  </si>
  <si>
    <t>ภายใน</t>
  </si>
  <si>
    <t xml:space="preserve">ฉาบปูนเรียบ </t>
  </si>
  <si>
    <t xml:space="preserve">ฝ้ายิบซัมบอร์ด </t>
  </si>
  <si>
    <t>ฝ้ายิบซัมบอร์ด</t>
  </si>
  <si>
    <t>ปรับระดับ</t>
  </si>
  <si>
    <t>W15</t>
  </si>
  <si>
    <t>W14</t>
  </si>
  <si>
    <t>W13</t>
  </si>
  <si>
    <t>W12</t>
  </si>
  <si>
    <t>W11</t>
  </si>
  <si>
    <t>W10</t>
  </si>
  <si>
    <t>W9</t>
  </si>
  <si>
    <t>W8</t>
  </si>
  <si>
    <t>W7</t>
  </si>
  <si>
    <t>W6</t>
  </si>
  <si>
    <t>W5</t>
  </si>
  <si>
    <t>W4</t>
  </si>
  <si>
    <t>W3</t>
  </si>
  <si>
    <t>W2</t>
  </si>
  <si>
    <t>W1</t>
  </si>
  <si>
    <t>D4</t>
  </si>
  <si>
    <t>D3</t>
  </si>
  <si>
    <t>D2</t>
  </si>
  <si>
    <t>D1</t>
  </si>
  <si>
    <t>สีทาฝ้าเพดาน</t>
  </si>
  <si>
    <t>สีทาภายนอก</t>
  </si>
  <si>
    <t>สีทาภายใน</t>
  </si>
  <si>
    <t>C2</t>
  </si>
  <si>
    <t>0.30 ม.</t>
  </si>
  <si>
    <t>0.20 ม.</t>
  </si>
  <si>
    <t>0.10 ม.</t>
  </si>
  <si>
    <t>ฉาบยิปซั่ม</t>
  </si>
  <si>
    <t>ผนังตกแต่ง</t>
  </si>
  <si>
    <t>ฉาบปูนเรียบ</t>
  </si>
  <si>
    <t xml:space="preserve"> กรุกระเบื้อง</t>
  </si>
  <si>
    <t>กรุกระเบื้อง</t>
  </si>
  <si>
    <t>ผนังยิปซั่ม</t>
  </si>
  <si>
    <t>ก่ออิฐมวลเบา</t>
  </si>
  <si>
    <t>ผนัง คสล.</t>
  </si>
  <si>
    <t>ก่ออิฐมอญ</t>
  </si>
  <si>
    <t>ปูนทราย</t>
  </si>
  <si>
    <t>F13</t>
  </si>
  <si>
    <t>F12</t>
  </si>
  <si>
    <t>F11</t>
  </si>
  <si>
    <t>F10</t>
  </si>
  <si>
    <t>F9</t>
  </si>
  <si>
    <t>F8</t>
  </si>
  <si>
    <t>F2</t>
  </si>
  <si>
    <t>งานประตู+หน้าต่าง</t>
  </si>
  <si>
    <t>งานทาสี</t>
  </si>
  <si>
    <t>ทับหลัง</t>
  </si>
  <si>
    <t>เสาเอ็น</t>
  </si>
  <si>
    <t>ลำดับ</t>
  </si>
  <si>
    <t>งานสุขภัณฑ์ ชั้น 2</t>
  </si>
  <si>
    <t>งานสุขภัณฑ์ ชั้น 1</t>
  </si>
  <si>
    <t>หมวดงานสถาปัตยกรรม</t>
  </si>
  <si>
    <t>หมวดงานระบบปรับอากาศ</t>
  </si>
  <si>
    <t>หมวดงานครุภัณฑ์</t>
  </si>
  <si>
    <t>ห้องน้ำชาย 1 WC</t>
  </si>
  <si>
    <t xml:space="preserve">ห้องน้ำหญิง 1 WC </t>
  </si>
  <si>
    <t>HALL CORRIDOR</t>
  </si>
  <si>
    <t>ห้องน้ำชาย 2 WC</t>
  </si>
  <si>
    <t xml:space="preserve">ห้องน้ำหญิง 2 WC </t>
  </si>
  <si>
    <t>F14</t>
  </si>
  <si>
    <t>F15</t>
  </si>
  <si>
    <t>F16</t>
  </si>
  <si>
    <t>F17</t>
  </si>
  <si>
    <t>งานชั้นที่  3</t>
  </si>
  <si>
    <t>งานชั้น หลังคา</t>
  </si>
  <si>
    <t>หลังคา</t>
  </si>
  <si>
    <t xml:space="preserve"> - บานกระจกเงาหนา 6 มม. </t>
  </si>
  <si>
    <t xml:space="preserve"> - ฉากกั้นโถปัสสาวะ</t>
  </si>
  <si>
    <t xml:space="preserve"> - D2</t>
  </si>
  <si>
    <t>งานสุขภัณฑ์ ชั้น 3</t>
  </si>
  <si>
    <t>อาคารอุตสาหกรรมการบิน</t>
  </si>
  <si>
    <t>อาคารส่วนกลาง</t>
  </si>
  <si>
    <t>พื้นลานจอดรถ</t>
  </si>
  <si>
    <t xml:space="preserve"> ENTRANCE</t>
  </si>
  <si>
    <t>RECEPTION,OFFICE</t>
  </si>
  <si>
    <t>MEETING ROOM</t>
  </si>
  <si>
    <t>ทางลาด</t>
  </si>
  <si>
    <t xml:space="preserve">หมวดงานโครงสร้างคาน,เสาและพื้นชั้น 2 </t>
  </si>
  <si>
    <t xml:space="preserve">หมวดงานโครงสร้างเสา ชั้น ตอม่อ </t>
  </si>
  <si>
    <t xml:space="preserve">หมวดงานโครงสร้างคาน,เสาและพื้นชั้น 1  </t>
  </si>
  <si>
    <t>2,HCS.1</t>
  </si>
  <si>
    <t>R-01</t>
  </si>
  <si>
    <t>งานชั้นที่  หลังคา</t>
  </si>
  <si>
    <t>CONTROL ROOM LIFT 1/2 (พื้นกระเบื้องแกรนิตโต้ 60 x 60 ซม.)</t>
  </si>
  <si>
    <t>HALL CORRIDOR (พื้นกระเบื้องแกรนิตโต้ 60 x 60 ซม.)</t>
  </si>
  <si>
    <t>CONTROL ROOM LIFT 2/2 (พื้นกระเบื้องแกรนิตโต้ 60 x 60 ซม.)</t>
  </si>
  <si>
    <t>STAFF ROOM 1/2 (พื้นกระเบื้องแกรนิตโต้ 60 x 60 ซม.)</t>
  </si>
  <si>
    <t>STAFF ROOM  2/2 (พื้นกระเบื้องแกรนิตโต้ 60 x 60 ซม.)</t>
  </si>
  <si>
    <t>ห้องน้ำชาย 2/2 WC (พื้นกระเบื้องแกรนิตโต้ 60 x 60 ซม.)</t>
  </si>
  <si>
    <t>ห้องน้ำหญิง 2/2 WC  (พื้นกระเบื้องแกรนิตโต้ 60 x 60 ซม.)</t>
  </si>
  <si>
    <t>ห้องน้ำชาย 1/2 WC (พื้นกระเบื้องแกรนิตโต้ 60 x 60 ซม.)</t>
  </si>
  <si>
    <t>ห้องน้ำหญิง 1/2 WC (พื้นกระเบื้องแกรนิตโต้ 60 x 60 ซม.)</t>
  </si>
  <si>
    <t>ROOM (พื้นขัดมัน)</t>
  </si>
  <si>
    <t>MODULE 09 (Haman Factors  Room) (พื้นกระเบื้องแกรนิตโต้ 60 x 60 ซม.)</t>
  </si>
  <si>
    <t>MODULE 10 (Aviation Legislation  Room) (พื้นกระเบื้องแกรนิตโต้ 60 x 60 ซม.)</t>
  </si>
  <si>
    <t xml:space="preserve"> TEACHERS OFFICE ROOM  (พื้นกระเบื้องแกรนิตโต้ 60 x 60 ซม.)</t>
  </si>
  <si>
    <t>CONTROL ROOM LIFT 1/3 (พื้นกระเบื้องแกรนิตโต้ 60 x 60 ซม.)</t>
  </si>
  <si>
    <t>ห้องน้ำชาย 1/3 WC (พื้นกระเบื้องแกรนิตโต้ 60 x 60 ซม.)</t>
  </si>
  <si>
    <t>ห้องน้ำหญิง 1/3 WC  (พื้นกระเบื้องแกรนิตโต้ 60 x 60 ซม.)</t>
  </si>
  <si>
    <t>CONTROL ROOM LIFT 2/3 (พื้นกระเบื้องแกรนิตโต้ 60 x 60 ซม.)</t>
  </si>
  <si>
    <t>ห้องน้ำชาย 2/3 WC (พื้นกระเบื้องแกรนิตโต้ 60 x 60 ซม.)</t>
  </si>
  <si>
    <t>ห้องน้ำหญิง 2/3 WC  (พื้นกระเบื้องแกรนิตโต้ 60 x 60 ซม.)</t>
  </si>
  <si>
    <t>STAIR ROOM 2/3 (พื้นกระเบื้องแกรนิตโต้ 60 x 60 ซม.)</t>
  </si>
  <si>
    <t>STAIR ROOM 1/3 (พื้นกระเบื้องแกรนิตโต้ 60 x 60 ซม.)</t>
  </si>
  <si>
    <t>STAIR ROOM 3/2 (พื้นกระเบื้องแกรนิตโต้ 60 x 60 ซม.)</t>
  </si>
  <si>
    <t>STAIR ROOM 2/2 (พื้นกระเบื้องแกรนิตโต้ 60 x 60 ซม.)</t>
  </si>
  <si>
    <t>STAIR ROOM 1/2 (พื้นกระเบื้องแกรนิตโต้ 60 x 60 ซม.)</t>
  </si>
  <si>
    <t>CONTROL ROOM LIFT 1/1 (พื้นกระเบื้องแกรนิตโต้ 60 x 60 ซม.)</t>
  </si>
  <si>
    <t>ห้องน้ำชาย 1/1 WC (พื้นกระเบื้องแกรนิตโต้ 60 x 60 ซม.)</t>
  </si>
  <si>
    <t>ห้องน้ำหญิง 1/1 WC  (พื้นกระเบื้องแกรนิตโต้ 60 x 60 ซม.)</t>
  </si>
  <si>
    <t>ห้องน้ำชาย 2/1 WC (พื้นกระเบื้องแกรนิตโต้ 60 x 60 ซม.)</t>
  </si>
  <si>
    <t>ห้องน้ำหญิง 2/1 WC  (พื้นกระเบื้องแกรนิตโต้ 60 x 60 ซม.)</t>
  </si>
  <si>
    <t>STAIR ROOM 4/1 (พื้นกระเบื้องแกรนิตโต้ 60 x 60 ซม.)</t>
  </si>
  <si>
    <t>STAIR ROOM 3/1 (พื้นกระเบื้องแกรนิตโต้ 60 x 60 ซม.)</t>
  </si>
  <si>
    <t>STAIR ROOM 2/1 (พื้นกระเบื้องแกรนิตโต้ 60 x 60 ซม.)</t>
  </si>
  <si>
    <t>STAIR ROOM 1/1 (พื้นกระเบื้องแกรนิตโต้ 60 x 60 ซม.)</t>
  </si>
  <si>
    <t>AIRCRART/HANGAR (FLOOR HARDENER)</t>
  </si>
  <si>
    <t>MDB/PABX ROOM (พื้นขัดมัน)</t>
  </si>
  <si>
    <t>STORE 1/1 (พื้นขัดมัน)</t>
  </si>
  <si>
    <t>CONTROL ROOM LIFT 2/1 (พื้นกระเบื้องแกรนิตโต้ 60 x 60 ซม.)</t>
  </si>
  <si>
    <t>STAFF ROOM 1/1 (พื้นกระเบื้องแกรนิตโต้ 60 x 60 ซม.)</t>
  </si>
  <si>
    <t>STAFF ROOM  2/1 (พื้นกระเบื้องแกรนิตโต้ 60 x 60 ซม.)</t>
  </si>
  <si>
    <t>อาคารระบบราง</t>
  </si>
  <si>
    <t>1,HCS.1</t>
  </si>
  <si>
    <t xml:space="preserve">หมวดงานโครงสร้าง ชั้น หลังคา </t>
  </si>
  <si>
    <t>ST-01</t>
  </si>
  <si>
    <t>ST-02</t>
  </si>
  <si>
    <t>ST-03</t>
  </si>
  <si>
    <t>ST-04</t>
  </si>
  <si>
    <t>3,RB1</t>
  </si>
  <si>
    <t>3,RB2</t>
  </si>
  <si>
    <t>3,RB3</t>
  </si>
  <si>
    <t>3,RB3A</t>
  </si>
  <si>
    <t>3,RB4</t>
  </si>
  <si>
    <t>3,RB5</t>
  </si>
  <si>
    <t>3,HCS.3</t>
  </si>
  <si>
    <t>2,HCS.2</t>
  </si>
  <si>
    <t>LIFT-0.1</t>
  </si>
  <si>
    <t>LIFT-0.2</t>
  </si>
  <si>
    <t>หมวดงานโครงสร้างช่องลิฟท์</t>
  </si>
  <si>
    <t>1,BST.01</t>
  </si>
  <si>
    <t>1,BST.02</t>
  </si>
  <si>
    <t>1,BST.03</t>
  </si>
  <si>
    <t>1,BST.04</t>
  </si>
  <si>
    <t>หมวดงานถังเก็บน้ำใต้ดิน</t>
  </si>
  <si>
    <t xml:space="preserve">1,W </t>
  </si>
  <si>
    <t>1,DP1</t>
  </si>
  <si>
    <t>งานฐานรากเสาเข็ม</t>
  </si>
  <si>
    <t>Deform Bars (SD.40)</t>
  </si>
  <si>
    <t>Footing (F.1A)</t>
  </si>
  <si>
    <t>Footing (F.2)</t>
  </si>
  <si>
    <t>Footing (F.4A)</t>
  </si>
  <si>
    <t>Footing (F.12A)</t>
  </si>
  <si>
    <t>Footing (F.12B)</t>
  </si>
  <si>
    <t>GB.1</t>
  </si>
  <si>
    <t>GB.2</t>
  </si>
  <si>
    <t>GB.3</t>
  </si>
  <si>
    <t>GB.4</t>
  </si>
  <si>
    <t>GB.5</t>
  </si>
  <si>
    <t>GB.6</t>
  </si>
  <si>
    <t>GB.7</t>
  </si>
  <si>
    <t>1,C1</t>
  </si>
  <si>
    <t>1,C2</t>
  </si>
  <si>
    <t>1,CX</t>
  </si>
  <si>
    <t>2,BST.01</t>
  </si>
  <si>
    <t>2,BST.02</t>
  </si>
  <si>
    <t>2,BST.03</t>
  </si>
  <si>
    <t>2,BST.04</t>
  </si>
  <si>
    <t>3,C1</t>
  </si>
  <si>
    <t>3,C2</t>
  </si>
  <si>
    <t>3,C4</t>
  </si>
  <si>
    <t>3,C5</t>
  </si>
  <si>
    <t>EXTRA 01 (Tools Room) (พื้นกระเบื้องแกรนิตโต้ 60 x 60 ซม.)</t>
  </si>
  <si>
    <t>EXTRA 06 (Student Project Room) (พื้นกระเบื้องแกรนิตโต้ 60 x 60 ซม.)</t>
  </si>
  <si>
    <t>TRANFORMER ROOM (FLOOR HARDENER)</t>
  </si>
  <si>
    <t>AHU.ROOM (FLOOR HARDENER)</t>
  </si>
  <si>
    <t>GENRETOR ROOM (FLOOR HARDENER)</t>
  </si>
  <si>
    <t>MODULE06 (Materials &amp; Hardware Room) (EPOXY SELF LEVELING)</t>
  </si>
  <si>
    <t>EXTRA 04 (Mecanical Room) (EPOXY SELF LEVELING)</t>
  </si>
  <si>
    <t>EXTRA 03 (Electrinic Store Room) (EPOXY SELF LEVELING)</t>
  </si>
  <si>
    <t>EXTRA 02 (Electrical Store Room) (EPOXY SELF LEVELING)</t>
  </si>
  <si>
    <t>MODULE 07 (Maintenance Practices Room) (EPOXY SELF LEVELING)</t>
  </si>
  <si>
    <t>MODULE 11A (Aerodynamic,Structure And Systems Room)Jet Engine (EPOXY SELF LEVELING)</t>
  </si>
  <si>
    <t>MODULE 11B (Aerodynamic,Structure And Systems Room)Piston Engine (EPOXY SELF LEVELING)</t>
  </si>
  <si>
    <t>MODULE 12 (Helicopter Aerodynamic,Structure And Systems  Room) (EPOXY SELF LEVELING)</t>
  </si>
  <si>
    <t>MODULE 13 (Aircraft Aerodynamic,Structure And Systems  Room) (EPOXY SELF LEVELING)</t>
  </si>
  <si>
    <t>MODULE 14 (Propulsion Room) (EPOXY SELF LEVELING)</t>
  </si>
  <si>
    <t>MODULE 15 (Gas Turbine Engine Room) (EPOXY SELF LEVELING)</t>
  </si>
  <si>
    <t>MODULE 16 (Piston Room) (EPOXY SELF LEVELING)</t>
  </si>
  <si>
    <t>MODULE 17 (Propeller Room) (EPOXY SELF LEVELING)</t>
  </si>
  <si>
    <t xml:space="preserve"> LIBRARY (EPOXY SELF LEVELING)</t>
  </si>
  <si>
    <t>MODULE 01 (Mathematics Room) (EPOXY SELF LEVELING)</t>
  </si>
  <si>
    <t>MODULE 02 (Physics Room) (EPOXY SELF LEVELING)</t>
  </si>
  <si>
    <t>MODULE 03 (Electrical Fundamentals Room) (EPOXY SELF LEVELING)</t>
  </si>
  <si>
    <t>MODULE 04 (Electronic Fundamentals Room) (EPOXY SELF LEVELING)</t>
  </si>
  <si>
    <t>MODULE 05 (Digital Techniques/Electronic Instrument Systems  Room) (EPOXY SELF LEVELING)</t>
  </si>
  <si>
    <t>MODULE 08 (Basic Aerodynamics  Room) (EPOXY SELF LEVELING)</t>
  </si>
  <si>
    <t>EXTRA 07 (Instructor Lecture Room) ห้องรวม  (EPOXY SELF LEVELING)</t>
  </si>
  <si>
    <t>EXTRA 08 (Instructor Lecture Room) ห้องแยก (EPOXY SELF LEVELING)</t>
  </si>
  <si>
    <t>STORE 1/3  (POLISHED CONCRETE)</t>
  </si>
  <si>
    <t>ROOM  (POLISHED CONCRETE)</t>
  </si>
  <si>
    <t>STORE 1/2 (POLISHED CONCRETE)</t>
  </si>
  <si>
    <t>AIR CONDITION ROOM (POLISHED CONCRETE)</t>
  </si>
  <si>
    <t>STORE 2/1 (POLISHED CONCRETE)</t>
  </si>
  <si>
    <t>GARBAGE ROOM (POLISHED CONCRETE)</t>
  </si>
  <si>
    <t>PUMP/FIRE PUMP ROOM (LIQUID HARDENER)</t>
  </si>
  <si>
    <t>RB.19</t>
  </si>
  <si>
    <t>19 mm.</t>
  </si>
  <si>
    <t>Wire Mesh RB 6 mm. @ 0.15 m.</t>
  </si>
  <si>
    <t>1,HANGAR</t>
  </si>
  <si>
    <t xml:space="preserve">1,TRAIN SHED </t>
  </si>
  <si>
    <t xml:space="preserve">หมวดงานโครงสร้างคาน,เสาชั้น 1  </t>
  </si>
  <si>
    <t xml:space="preserve"> - W1</t>
  </si>
  <si>
    <t>คำนวณราคากลาง เมื่อวันที่</t>
  </si>
  <si>
    <t>แบบสรุปราคากลางงานก่อสร้างอาคาร</t>
  </si>
  <si>
    <t>ชื่อโครงการ</t>
  </si>
  <si>
    <t>สถานที่ก่อสร้าง</t>
  </si>
  <si>
    <t>แบบเลขที่</t>
  </si>
  <si>
    <t>เจ้าของโครงการ</t>
  </si>
  <si>
    <t>แบบ ปร.4 และ ปร.5 ที่แนบ</t>
  </si>
  <si>
    <t>มีจำนวน      2     ชุด</t>
  </si>
  <si>
    <t>-</t>
  </si>
  <si>
    <t>ค่าก่อสร้าง</t>
  </si>
  <si>
    <t>สรุป</t>
  </si>
  <si>
    <t>งบประมาณก่อสร้าง</t>
  </si>
  <si>
    <t>แบบ ปร.5 (ก)</t>
  </si>
  <si>
    <t>แบบสรุปค่าก่อสร้าง</t>
  </si>
  <si>
    <t>แบบ ปร.4  ที่แนบ</t>
  </si>
  <si>
    <t>มีจำนวน     1    ชุด</t>
  </si>
  <si>
    <t>หน่วย : บาท</t>
  </si>
  <si>
    <t>ค่างานต้นทุน</t>
  </si>
  <si>
    <t>Factor F</t>
  </si>
  <si>
    <t>เงินล่วงหน้า จ่าย        0       %</t>
  </si>
  <si>
    <t>ภาษีมูลค่าเพิ่ม           7      %</t>
  </si>
  <si>
    <t>รวมค่าก่อสร้าง</t>
  </si>
  <si>
    <t>แบบ ปร.5 (ข)</t>
  </si>
  <si>
    <t>แบบสรุปค่าครุภัณฑ์จัดซื้อ</t>
  </si>
  <si>
    <t>กลุ่มงาน / งาน</t>
  </si>
  <si>
    <t>มีจำนวน    1   ชุด</t>
  </si>
  <si>
    <t>ค่างาน</t>
  </si>
  <si>
    <t>ภาษีมูลค่าเพิ่ม</t>
  </si>
  <si>
    <t>สรุปปริมาณงานทั้งหมด</t>
  </si>
  <si>
    <t xml:space="preserve"> เฉลียง</t>
  </si>
  <si>
    <t>ลานอเนกประสงค์</t>
  </si>
  <si>
    <t>ห้องวางโมเดลจำลอง (x2)</t>
  </si>
  <si>
    <t>ห้อง 1 (ไม่มีชื่อ)</t>
  </si>
  <si>
    <t>ห้อง 2 (ไม่มีชื่อ)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</si>
  <si>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</si>
  <si>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</si>
  <si>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</si>
  <si>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</si>
  <si>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</si>
  <si>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</si>
  <si>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</si>
  <si>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</si>
  <si>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</si>
  <si>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</si>
  <si>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ห้องระบบ 1</t>
  </si>
  <si>
    <t>ห้องระบบ 2</t>
  </si>
  <si>
    <t>ห้องระบบ 3</t>
  </si>
  <si>
    <t>ห้องระบบ 4</t>
  </si>
  <si>
    <t>ห้องน้ำชาย 1</t>
  </si>
  <si>
    <t>ห้องน้ำหญิง 1</t>
  </si>
  <si>
    <t>ห้องน้ำผู้พิการ</t>
  </si>
  <si>
    <t>ห้องน้ำชาย 2</t>
  </si>
  <si>
    <t>ห้องน้ำหญิง 2</t>
  </si>
  <si>
    <t>ทรายล้าง</t>
  </si>
  <si>
    <t>HARDENER</t>
  </si>
  <si>
    <t xml:space="preserve">FLOOR </t>
  </si>
  <si>
    <t>ก/บ</t>
  </si>
  <si>
    <t>แกรนิตโต้</t>
  </si>
  <si>
    <t>ขัดมันเรียบ</t>
  </si>
  <si>
    <t>หินขัด</t>
  </si>
  <si>
    <t>30 x 60</t>
  </si>
  <si>
    <t>D15</t>
  </si>
  <si>
    <t>D16</t>
  </si>
  <si>
    <t>D17</t>
  </si>
  <si>
    <t>D18</t>
  </si>
  <si>
    <t xml:space="preserve"> ทางเดิน</t>
  </si>
  <si>
    <t>หลังคา SKY LIGHT</t>
  </si>
  <si>
    <t>metal sheet</t>
  </si>
  <si>
    <t>ครอบ</t>
  </si>
  <si>
    <t>ราง</t>
  </si>
  <si>
    <t>ฉนวน</t>
  </si>
  <si>
    <t>sky light</t>
  </si>
  <si>
    <t>ห้องเรียน 1</t>
  </si>
  <si>
    <t>ห้องเรียน 2</t>
  </si>
  <si>
    <t>ห้องเรียน 3</t>
  </si>
  <si>
    <t>ห้องเรียน 4</t>
  </si>
  <si>
    <t>ห้องเรียน 5</t>
  </si>
  <si>
    <t>ห้องเรียน 6</t>
  </si>
  <si>
    <t>ห้องเรียน 7</t>
  </si>
  <si>
    <t>ห้องเรียน 8</t>
  </si>
  <si>
    <t>ห้องเรียน 9</t>
  </si>
  <si>
    <t>ห้องเรียน 10</t>
  </si>
  <si>
    <t>ห้องเรียน 11</t>
  </si>
  <si>
    <t>ห้องเรียน 12</t>
  </si>
  <si>
    <t>ห้องเรียน 13</t>
  </si>
  <si>
    <t>ห้องสมุด</t>
  </si>
  <si>
    <t>Slab</t>
  </si>
  <si>
    <t>ห้องระบบ 5</t>
  </si>
  <si>
    <t xml:space="preserve"> โถงบันได ST-03</t>
  </si>
  <si>
    <t>ขัดหยาบ</t>
  </si>
  <si>
    <t>ห้องเก็บของ</t>
  </si>
  <si>
    <t>ห้องว่าง 1</t>
  </si>
  <si>
    <t>ห้องว่าง 2</t>
  </si>
  <si>
    <t>ห้องเรียน 1 (ใหญ่)</t>
  </si>
  <si>
    <t>ห้องเรียน 14</t>
  </si>
  <si>
    <t>ห้องเรียน 15</t>
  </si>
  <si>
    <t>ห้องเรียน 16</t>
  </si>
  <si>
    <t>ห้องเรียน 17</t>
  </si>
  <si>
    <t>ห้องเรียน 18</t>
  </si>
  <si>
    <t>ห้องเรียน 19</t>
  </si>
  <si>
    <t>ห้องเรียน 20</t>
  </si>
  <si>
    <t>ห้องเรียน 21</t>
  </si>
  <si>
    <t>ห้องเรียน 22</t>
  </si>
  <si>
    <t>ห้องเรียน 23</t>
  </si>
  <si>
    <t>ห้องเรียน 24</t>
  </si>
  <si>
    <t>ห้องเรียน 25</t>
  </si>
  <si>
    <t>ห้องเรียน 26</t>
  </si>
  <si>
    <t>ห้องเรียน 27</t>
  </si>
  <si>
    <t>ห้องเรียน 28</t>
  </si>
  <si>
    <t>ครึ่งแผ่น</t>
  </si>
  <si>
    <t>เต็มแผ่น</t>
  </si>
  <si>
    <t>A</t>
  </si>
  <si>
    <t>ฉาบปูนเรียบอิฐมอญ</t>
  </si>
  <si>
    <t>อิฐมวลเบา</t>
  </si>
  <si>
    <t>CT1</t>
  </si>
  <si>
    <t>PT2</t>
  </si>
  <si>
    <t>PT1</t>
  </si>
  <si>
    <t>B</t>
  </si>
  <si>
    <t>ห้องแม่บ้าน  (ไม่มีชื่อ)</t>
  </si>
  <si>
    <t xml:space="preserve"> - D5</t>
  </si>
  <si>
    <t xml:space="preserve"> - D6</t>
  </si>
  <si>
    <t xml:space="preserve"> - D7</t>
  </si>
  <si>
    <t xml:space="preserve"> - D8</t>
  </si>
  <si>
    <t xml:space="preserve"> - D9</t>
  </si>
  <si>
    <t xml:space="preserve"> - D10</t>
  </si>
  <si>
    <t xml:space="preserve"> - D11</t>
  </si>
  <si>
    <t xml:space="preserve"> - D12</t>
  </si>
  <si>
    <t xml:space="preserve"> - D13</t>
  </si>
  <si>
    <t xml:space="preserve"> - W2</t>
  </si>
  <si>
    <t xml:space="preserve"> - W3</t>
  </si>
  <si>
    <t xml:space="preserve"> - W4</t>
  </si>
  <si>
    <t xml:space="preserve"> - W5</t>
  </si>
  <si>
    <t xml:space="preserve"> - W6</t>
  </si>
  <si>
    <t xml:space="preserve"> - W7</t>
  </si>
  <si>
    <t xml:space="preserve"> - W8</t>
  </si>
  <si>
    <t xml:space="preserve"> - W9</t>
  </si>
  <si>
    <t xml:space="preserve"> - W10</t>
  </si>
  <si>
    <t>ทางลาด R</t>
  </si>
  <si>
    <t xml:space="preserve">     • STOP VALVE 1/2" </t>
  </si>
  <si>
    <t xml:space="preserve"> - สายชำระพร้อมสต๊อปวาล์ว</t>
  </si>
  <si>
    <t xml:space="preserve"> - อ่างล้างหน้าแบบฝังเคาน์เตอร์ </t>
  </si>
  <si>
    <t xml:space="preserve">     • ก๊อกน้ำเดี่ยวอ่างล้างหน้า </t>
  </si>
  <si>
    <t xml:space="preserve">     • ท่อน้ำทิ้งอ่างล้างหน้า </t>
  </si>
  <si>
    <t xml:space="preserve">     • สะดืออ่างล้างหน้าแบบกด </t>
  </si>
  <si>
    <t xml:space="preserve">     • สายน้ำดีอ่างล้างหน้าสแตนเลสถักยาว 16" </t>
  </si>
  <si>
    <t xml:space="preserve"> - ชุดฝักบัวก้านแข็งพร้อมฝักบัวสายอ่อน </t>
  </si>
  <si>
    <t xml:space="preserve"> - ที่วางสบู่ </t>
  </si>
  <si>
    <t xml:space="preserve"> - ราวแขวนผ้า </t>
  </si>
  <si>
    <t xml:space="preserve"> - ก๊อกล้างพื้น </t>
  </si>
  <si>
    <t xml:space="preserve"> - ตะแกรงระบายน้ำที่พื้น </t>
  </si>
  <si>
    <t>บันได</t>
  </si>
  <si>
    <t>พื้นทางเดิน</t>
  </si>
  <si>
    <t xml:space="preserve"> - D14</t>
  </si>
  <si>
    <t xml:space="preserve"> - D15</t>
  </si>
  <si>
    <t xml:space="preserve"> - D16</t>
  </si>
  <si>
    <t xml:space="preserve"> - D17</t>
  </si>
  <si>
    <t xml:space="preserve"> - D18</t>
  </si>
  <si>
    <t xml:space="preserve"> - W11</t>
  </si>
  <si>
    <t xml:space="preserve"> - W12</t>
  </si>
  <si>
    <t xml:space="preserve"> - W13</t>
  </si>
  <si>
    <t xml:space="preserve"> - W14</t>
  </si>
  <si>
    <t xml:space="preserve"> - W15</t>
  </si>
  <si>
    <t xml:space="preserve"> - C3 ฝ้าท้องพื้น คสล.ฉาบเรียบ </t>
  </si>
  <si>
    <t xml:space="preserve"> โถงบันได ST-01</t>
  </si>
  <si>
    <t>อาคาร A</t>
  </si>
  <si>
    <t>ห้อง Workshop 1</t>
  </si>
  <si>
    <t>ห้อง Workshop 2</t>
  </si>
  <si>
    <t>ห้อง Workshop 3</t>
  </si>
  <si>
    <t>ห้อง Workshop 4</t>
  </si>
  <si>
    <t>ห้อง Workshop 5</t>
  </si>
  <si>
    <t>ห้อง Workshop 6</t>
  </si>
  <si>
    <t xml:space="preserve">ห้องน้ำชาย </t>
  </si>
  <si>
    <t xml:space="preserve">ห้องน้ำหญิง </t>
  </si>
  <si>
    <t>เหล็ก</t>
  </si>
  <si>
    <t>ห้องน้ำคนพิการ</t>
  </si>
  <si>
    <t xml:space="preserve"> - ราวจับตัวแอล</t>
  </si>
  <si>
    <t xml:space="preserve"> - ราวจับตัวที</t>
  </si>
  <si>
    <t xml:space="preserve"> - โถสุขภัณฑ์ฟลัชวาล์ว</t>
  </si>
  <si>
    <t xml:space="preserve"> - ที่ใส่กระดาษชำระ</t>
  </si>
  <si>
    <t xml:space="preserve"> - โถปัสสาวะชายพร้อมฟลัชวาล์ว</t>
  </si>
  <si>
    <t>ข้าง</t>
  </si>
  <si>
    <t>ครอบข้าง</t>
  </si>
  <si>
    <t xml:space="preserve">มหาวิทยาลัยเทคโนโลยีราชมงคลอีสาน </t>
  </si>
  <si>
    <t xml:space="preserve">มหาวิทยาลัยเทคโนโลยีราชมงคลอีสาน ตำบลหนองระเวียง อำเภอเมืองนครราชสีมา จังหวัดนครราชสีมา </t>
  </si>
  <si>
    <t xml:space="preserve"> สถานที่ : มหาวิทยาลัยเทคโนโลยีราชมงคลอีสาน ตำบลหนองระเวียง อำเภอเมืองนครราชสีมา จังหวัดนครราชสีมา </t>
  </si>
  <si>
    <t>จั่ว</t>
  </si>
  <si>
    <t>ครอบจั่ว</t>
  </si>
  <si>
    <t>siding</t>
  </si>
  <si>
    <t>มุม</t>
  </si>
  <si>
    <t>ครอบมุม</t>
  </si>
  <si>
    <t>เกล็ด</t>
  </si>
  <si>
    <t>ชายล่าง</t>
  </si>
  <si>
    <t>ครอบชายล่าง</t>
  </si>
  <si>
    <t>หน้าต่างเกล็ดระบายอากาศ</t>
  </si>
  <si>
    <t>อาคาร (B)</t>
  </si>
  <si>
    <t xml:space="preserve"> อาคาร (A)</t>
  </si>
  <si>
    <t>อาคาร B</t>
  </si>
  <si>
    <t>หมวดงานระบบสุขาภิบาลและดับเพลิง</t>
  </si>
  <si>
    <t>ระบบน้ำประปา</t>
  </si>
  <si>
    <t xml:space="preserve"> -  Dia. 1/2" </t>
  </si>
  <si>
    <t xml:space="preserve"> -  Dia. 3/4" </t>
  </si>
  <si>
    <t xml:space="preserve"> -  Dia. 1-1/2" </t>
  </si>
  <si>
    <t xml:space="preserve"> -  Dia. 2" </t>
  </si>
  <si>
    <t xml:space="preserve"> -  Dia. 2 1/2" </t>
  </si>
  <si>
    <t xml:space="preserve"> -  Dia. 3" </t>
  </si>
  <si>
    <t>เหมา</t>
  </si>
  <si>
    <t xml:space="preserve">  - ทดสอบ ทำความสะอาด ทาสี ทำสัญลักษณ์ท่อ</t>
  </si>
  <si>
    <t xml:space="preserve">GATE VALVE (CLASS 125) </t>
  </si>
  <si>
    <t xml:space="preserve">ANGLE STOP VALVE   </t>
  </si>
  <si>
    <t>TEST &amp; COMISSIONING</t>
  </si>
  <si>
    <t>ระบบท่อน้ำเสีย</t>
  </si>
  <si>
    <t>ท่อน้ำทิ้งและท่อโสโครก (S, W, KW.) PVC 8.5</t>
  </si>
  <si>
    <t xml:space="preserve">  DIA.    1 1/2"</t>
  </si>
  <si>
    <t xml:space="preserve">  DIA.    2"</t>
  </si>
  <si>
    <t xml:space="preserve">  DIA.    4"</t>
  </si>
  <si>
    <t xml:space="preserve">  DIA.    6"</t>
  </si>
  <si>
    <t>ท่อระบายอากาศ (V.PIPE) PVC 8.5</t>
  </si>
  <si>
    <t xml:space="preserve">ช่องระบายน้ำท่อที่พื้น (FD.)   </t>
  </si>
  <si>
    <t>ช่องแยงท่อที่พื้น (FCO.)</t>
  </si>
  <si>
    <t>ข้อต่ออ่อนไม่รับแรงดัน (FLEXIBLE HOSE)</t>
  </si>
  <si>
    <t xml:space="preserve">   DIA.  4"</t>
  </si>
  <si>
    <t xml:space="preserve">   DIA.  6"</t>
  </si>
  <si>
    <t>งานทดสอบ ทำความสะอาด และทาสี</t>
  </si>
  <si>
    <t>ระบบท่อระบายน้ำฝน</t>
  </si>
  <si>
    <t>ท่อระบายน้ำฝนเหนือดิน (RL.PIPE) PVC 8.5</t>
  </si>
  <si>
    <t xml:space="preserve">  - งานทดสอบ ทำความสะอาด และทาสี</t>
  </si>
  <si>
    <t>ระบบดับเพลิง</t>
  </si>
  <si>
    <t>INDOOR FIRE HOSE CABINET AND ACCESSORIES</t>
  </si>
  <si>
    <t>CO2 PORTABLE FIRE EXTINGUISHER @ 15 LBS</t>
  </si>
  <si>
    <t>DRY CHEMICAL PORTABLE FIRE EXTINGUISHER @ 15 LBS</t>
  </si>
  <si>
    <t>FIRE EXTINGUISHER CABINET</t>
  </si>
  <si>
    <t>ท่อเหล็กดำ  SCH. 40  ชนิดมีตะเข็บ</t>
  </si>
  <si>
    <t xml:space="preserve"> - Dia. 1" </t>
  </si>
  <si>
    <t xml:space="preserve">  - Dia. 2 1/2" </t>
  </si>
  <si>
    <t xml:space="preserve">  - Dia. 4" </t>
  </si>
  <si>
    <t xml:space="preserve"> PCS </t>
  </si>
  <si>
    <t>อาคาร D</t>
  </si>
  <si>
    <t>CHECK VALVE</t>
  </si>
  <si>
    <t>STRAINER</t>
  </si>
  <si>
    <t>อาคาร E</t>
  </si>
  <si>
    <t xml:space="preserve"> ข้อต่อ อุปกรณ์ท่อ</t>
  </si>
  <si>
    <t xml:space="preserve"> เหล็กยึดท่อ</t>
  </si>
  <si>
    <t xml:space="preserve"> ทดสอบ ทำความสะอาด ทาสีทำสัญลักษณ์ท่อ</t>
  </si>
  <si>
    <t>GATE VALVE</t>
  </si>
  <si>
    <t>FIEXIBLE CONNECTION (STRAINLESS STEEL)</t>
  </si>
  <si>
    <t>FAUCET OR HOSE BIBB,  ANGLE  STOP  VALVE (FAU, HB, ASV)</t>
  </si>
  <si>
    <t xml:space="preserve">  DIA.         1/2"</t>
  </si>
  <si>
    <t>งานระบายน้ำ</t>
  </si>
  <si>
    <t>ค่าทดสอบ ทำความสะอาด ทาสี ทำสัญลักษณ์</t>
  </si>
  <si>
    <t>งานวางท่อ คสล. (รวมทรายถมกลับหลังท่อ)</t>
  </si>
  <si>
    <t>หมวดงานระบบไฟฟ้าและสื่อสาร</t>
  </si>
  <si>
    <t>หมวดงานระบบปรับอากาศและระบายอากาศ</t>
  </si>
  <si>
    <t>อาคาร C</t>
  </si>
  <si>
    <t>อาคา (A)</t>
  </si>
  <si>
    <t>อาคาร(B)</t>
  </si>
  <si>
    <t>อาคาร(C)</t>
  </si>
  <si>
    <t>คอมโพสิต</t>
  </si>
  <si>
    <t>ผนังภายนอก</t>
  </si>
  <si>
    <t>หมวดงานสาธารณูปโภค</t>
  </si>
  <si>
    <t>งานระบบไฟฟ้า</t>
  </si>
  <si>
    <t>ระบบไฟฟ้าแรงสูงและหม้อแปลงไฟฟ้า</t>
  </si>
  <si>
    <t>12 M. CONCRETE POLE</t>
  </si>
  <si>
    <t>GROUNDING SYSTEM</t>
  </si>
  <si>
    <t>รวมราคาหมวดงานสาธารณูปโภค</t>
  </si>
  <si>
    <t>งานฐานราก</t>
  </si>
  <si>
    <t>ต้น</t>
  </si>
  <si>
    <t>งานตัดหัวเสาเข็ม</t>
  </si>
  <si>
    <t>คอนกรีตโครงสร้าง (fc' 280 ksc)</t>
  </si>
  <si>
    <t>ไม้แบบ</t>
  </si>
  <si>
    <t>ตะปู</t>
  </si>
  <si>
    <t>คอนกรีตหยาบ</t>
  </si>
  <si>
    <t>ทรายหยาบบดอัดแน่น</t>
  </si>
  <si>
    <t>งานเหล็กเสริมโครงสร้าง</t>
  </si>
  <si>
    <t>-RB9</t>
  </si>
  <si>
    <t>-DB12</t>
  </si>
  <si>
    <t>-DB16</t>
  </si>
  <si>
    <t>-DB20</t>
  </si>
  <si>
    <t>-DB25</t>
  </si>
  <si>
    <t>ลวดผูกเหล็ก</t>
  </si>
  <si>
    <t>คอนกรีตโครงสร้าง (fc' 320 ksc)</t>
  </si>
  <si>
    <t>POST-TENSIONED SYSTEM</t>
  </si>
  <si>
    <t>-เหล็กตัว C 150 x 50 x 20 x 3.2 mm.</t>
  </si>
  <si>
    <t>สีกันสนิม</t>
  </si>
  <si>
    <t>5.1.1</t>
  </si>
  <si>
    <t>5.1.2</t>
  </si>
  <si>
    <t>รวมราคาหมวดงานระบบปรับอากาศและระบายอากาศ</t>
  </si>
  <si>
    <t>อาคาร (D)</t>
  </si>
  <si>
    <t>อาคาร(E)</t>
  </si>
  <si>
    <t>เฉลียง</t>
  </si>
  <si>
    <t xml:space="preserve"> - ACCESSORIE &amp; FITTING</t>
  </si>
  <si>
    <t>ห้องน้ำชาย 3 WC</t>
  </si>
  <si>
    <t xml:space="preserve">ห้องน้ำหญิง 3 WC </t>
  </si>
  <si>
    <t xml:space="preserve"> - สำรวจระดับพื้นที่ วางผังอาคาร </t>
  </si>
  <si>
    <t>ลบ.ม</t>
  </si>
  <si>
    <t xml:space="preserve">หมวดงานครุภัณฑ์ </t>
  </si>
  <si>
    <t xml:space="preserve"> อาคาร</t>
  </si>
  <si>
    <t>1.2.1</t>
  </si>
  <si>
    <t>3.1.1</t>
  </si>
  <si>
    <t>3.1.2</t>
  </si>
  <si>
    <t>3.1.3</t>
  </si>
  <si>
    <t>3.1.4</t>
  </si>
  <si>
    <t>3.1.5</t>
  </si>
  <si>
    <t>3.1.6</t>
  </si>
  <si>
    <t xml:space="preserve"> - งานดินปรับระดับ</t>
  </si>
  <si>
    <t>1.3.1</t>
  </si>
  <si>
    <t>หมวดงานภูมิสถาปัตยกรรม</t>
  </si>
  <si>
    <t xml:space="preserve"> - ทาสี สำหรับทาภายนอก </t>
  </si>
  <si>
    <t>4.1.1.2</t>
  </si>
  <si>
    <t>4.1.1.3</t>
  </si>
  <si>
    <t>4.1.1.4</t>
  </si>
  <si>
    <t>D19</t>
  </si>
  <si>
    <t>D20</t>
  </si>
  <si>
    <t>W16</t>
  </si>
  <si>
    <t>W17</t>
  </si>
  <si>
    <t>D6.1</t>
  </si>
  <si>
    <t>D15.1</t>
  </si>
  <si>
    <t xml:space="preserve"> - D6.1</t>
  </si>
  <si>
    <t xml:space="preserve"> - D15.1</t>
  </si>
  <si>
    <t xml:space="preserve"> - D19</t>
  </si>
  <si>
    <t xml:space="preserve"> - D20</t>
  </si>
  <si>
    <t xml:space="preserve"> - D21</t>
  </si>
  <si>
    <t xml:space="preserve"> - D22</t>
  </si>
  <si>
    <t xml:space="preserve"> - W16</t>
  </si>
  <si>
    <t xml:space="preserve"> - W17</t>
  </si>
  <si>
    <t>W1.1</t>
  </si>
  <si>
    <t>W5.1</t>
  </si>
  <si>
    <t>W6.1</t>
  </si>
  <si>
    <t>W7.1</t>
  </si>
  <si>
    <t>W10.1</t>
  </si>
  <si>
    <t>W10.2</t>
  </si>
  <si>
    <t xml:space="preserve"> - W5.1</t>
  </si>
  <si>
    <t xml:space="preserve"> - W6.1</t>
  </si>
  <si>
    <t xml:space="preserve"> - W7.1</t>
  </si>
  <si>
    <t xml:space="preserve"> - W10.1</t>
  </si>
  <si>
    <t xml:space="preserve"> - W10.2</t>
  </si>
  <si>
    <t>fl1</t>
  </si>
  <si>
    <t>fl2</t>
  </si>
  <si>
    <t>fl3</t>
  </si>
  <si>
    <t xml:space="preserve"> - W1.1</t>
  </si>
  <si>
    <t>งานระบบสุขาภิบาลและระบายน้ำทั้งโครงการ</t>
  </si>
  <si>
    <t>ตรม.</t>
  </si>
  <si>
    <t xml:space="preserve"> - F1 พื้น คสล. กระเบื้องแกรนิตโต้ 60 x 60 ซม. (ขนาดรุ่นระบุภายหลัง)</t>
  </si>
  <si>
    <t xml:space="preserve"> - ทาสี สำหรับทาภายใน  </t>
  </si>
  <si>
    <t xml:space="preserve"> - Di Cut สแตนเลส ยกขอบ หนา 5 ซม. " อาคารปฏิบัติการนวัตกรรมเกษตร มหาวิทยาลัยเทคโนโลยีราชมงคลอีสาน "</t>
  </si>
  <si>
    <t xml:space="preserve">รวมราคาหมวดงานระบบสุขาภิบาลและดับเพลิง </t>
  </si>
  <si>
    <t>หมวดงานครุภัณฑ์โสตน์ทัศนูปกรณ์</t>
  </si>
  <si>
    <t>1.3.2</t>
  </si>
  <si>
    <t>2.1.1</t>
  </si>
  <si>
    <t>2.1.2</t>
  </si>
  <si>
    <t>-RB6</t>
  </si>
  <si>
    <t>หมวดงานติดตั้งระบบไฟฟ้าภายในอาคาร</t>
  </si>
  <si>
    <t>หมวดงานระบบไฟฟ้ากำลัง</t>
  </si>
  <si>
    <t>Agriculture Building</t>
  </si>
  <si>
    <t>pcs.</t>
  </si>
  <si>
    <t xml:space="preserve"> - เสาไฟฟ้าคอนกรีตอัดแรง 12 m.</t>
  </si>
  <si>
    <t xml:space="preserve"> - คานหม้อแปลง 4.6 m.</t>
  </si>
  <si>
    <t xml:space="preserve"> - คอนสปันคอนกรีตอัดแรง 0.10 x 0.10 x 1.50 m.</t>
  </si>
  <si>
    <t xml:space="preserve"> - คอนสปันคอนกรีตอัดแรง 0.10 x 0.10 x 2.50 m.</t>
  </si>
  <si>
    <t xml:space="preserve"> - สายไฟฟ้าแรงสูง 50 sq.mm.</t>
  </si>
  <si>
    <t xml:space="preserve"> - เหล็กประกับไม้คอน 30 x 700 x 4 mm.</t>
  </si>
  <si>
    <t xml:space="preserve"> - สลักเกลียว M16 x 200 mm. พร้อมนัทเหลี่ยม</t>
  </si>
  <si>
    <t xml:space="preserve"> - แหวนเหลี่ยม 50 x 50 x 5 mm.</t>
  </si>
  <si>
    <t xml:space="preserve"> - ลูกถ้วยก้านตรง 24 kV พร้อมแหวนและนัท</t>
  </si>
  <si>
    <t xml:space="preserve"> - Drop - Out Fuse 24 kV 50 A พร้อมอุปกรณ์ติดตั้งไม้คอน</t>
  </si>
  <si>
    <t xml:space="preserve"> - LT Switch 0.6 kV 200 A พร้อมอุปกรณ์ติดตั้งไม้คอน</t>
  </si>
  <si>
    <t xml:space="preserve"> - Fuse Link Type K 10 A.</t>
  </si>
  <si>
    <t>เส้น</t>
  </si>
  <si>
    <t xml:space="preserve"> - Lightning Arrester 3 kV., 10 kA พร้อมอุปกรณ์ติดตั้งไม้คอน</t>
  </si>
  <si>
    <t xml:space="preserve"> - อุปกรณ์ประกอบ</t>
  </si>
  <si>
    <t xml:space="preserve"> - Selector Switch 7 Ch</t>
  </si>
  <si>
    <t xml:space="preserve"> - Pilot Lamp R Y B</t>
  </si>
  <si>
    <t xml:space="preserve"> - Wire Way  for Cable</t>
  </si>
  <si>
    <t xml:space="preserve"> - อุปกรณ์ประกอบ + การจับยึด</t>
  </si>
  <si>
    <t xml:space="preserve"> -  Accesery</t>
  </si>
  <si>
    <t xml:space="preserve"> - เต้ารับไฟฟ้าแบบคู่ ขากลม - แบน 16 A 250 V มีกราวด์,ม่านนิรภัย</t>
  </si>
  <si>
    <t xml:space="preserve"> - Box for Receptor</t>
  </si>
  <si>
    <t xml:space="preserve"> - ท่อร้อยสายชนิด EMT Size 1/2"</t>
  </si>
  <si>
    <t xml:space="preserve"> - ท่อร้อยสายชนิด EMTSize 3/4"</t>
  </si>
  <si>
    <t>รวมราคาหมวดงานระบบไฟฟ้าภายในอาคาร</t>
  </si>
  <si>
    <t xml:space="preserve">  -  Accesery</t>
  </si>
  <si>
    <t xml:space="preserve">ชุด </t>
  </si>
  <si>
    <t>หมวดงานระบบล่อฟ้า</t>
  </si>
  <si>
    <t xml:space="preserve"> - เสาล่อฟ้า 5/8" x 60 cm.</t>
  </si>
  <si>
    <t xml:space="preserve"> - สายเคเบิลระบบล่อฟ้า เปลือย 70 sq.mm.</t>
  </si>
  <si>
    <t>รวมราคาหมวดงานระบบล่อฟ้า</t>
  </si>
  <si>
    <t>หมวดงานวิศวกรรมโครงสร้าง</t>
  </si>
  <si>
    <t>ดอกเบี้ยเงินกู้             7      %</t>
  </si>
  <si>
    <t xml:space="preserve"> - Amp  Meter 0- 500 A</t>
  </si>
  <si>
    <t xml:space="preserve"> - CT 500/5 A</t>
  </si>
  <si>
    <t xml:space="preserve"> - เครื่องปรับอากาศขนาด 24,000 Btu (พร้อมติดตั้ง)</t>
  </si>
  <si>
    <t>หมวดงานวิศวกรรม  งานโครงสร้าง</t>
  </si>
  <si>
    <t>ค่าเฉลี่ย ยังไม่รวม factor f</t>
  </si>
  <si>
    <t xml:space="preserve"> - F4 พื้น คสล. ขัดมันเรียบทำระบบกันซึม</t>
  </si>
  <si>
    <t xml:space="preserve"> - F7 พื้นทำผิวหินล้าง</t>
  </si>
  <si>
    <t xml:space="preserve"> - บัวเชิงผนังกระเบื้องยาง</t>
  </si>
  <si>
    <t xml:space="preserve"> - บัวเชิงผนังหินล้าง</t>
  </si>
  <si>
    <t xml:space="preserve"> - C1 ฝ้าเพดานยิปซั่มบอร์ด หนา 9 มม. โคร่าเคร่าตามมาตรฐานผู้ผลิต ฉาบเรียบ</t>
  </si>
  <si>
    <t xml:space="preserve"> - C2 ฝ้าเพดานยิปซั่มบอร์ดกันชื้น หนา 9 มม. โคร่าเคร่าทีบาร์</t>
  </si>
  <si>
    <t xml:space="preserve"> - C4 ฝ้าเพดานแมทเทิลชีทลอนเล็ก หนา 0.30 มม.</t>
  </si>
  <si>
    <t>งานโครงสร้าง คสล.</t>
  </si>
  <si>
    <t>งานสถาปัตยกรรม</t>
  </si>
  <si>
    <t xml:space="preserve">งานสุขภัณฑ์ </t>
  </si>
  <si>
    <t>2.1 งานโครงสร้าง คสล.</t>
  </si>
  <si>
    <t>2.2 งานโครงสร้างหลังคาเหล็กรูปพรรณ</t>
  </si>
  <si>
    <t>งานโครงสร้าง คสล</t>
  </si>
  <si>
    <t>งานโครงสร้างหลังคาเหล็กรูปพรรณ</t>
  </si>
  <si>
    <t>Steel plate &amp; Bolt</t>
  </si>
  <si>
    <t xml:space="preserve">หลังคา </t>
  </si>
  <si>
    <t xml:space="preserve"> - งานฉาบปูนเรียบ  </t>
  </si>
  <si>
    <t xml:space="preserve">รวมราคาหมวดงานสถาปัตยกรรม </t>
  </si>
  <si>
    <t>รวมหมวดงานระบบไฟฟ้า</t>
  </si>
  <si>
    <t>ปรับพื้นที่</t>
  </si>
  <si>
    <t>บดอัดดิน</t>
  </si>
  <si>
    <t>พลาสติกปูพื้น</t>
  </si>
  <si>
    <t>ยางมะตอย</t>
  </si>
  <si>
    <t>ท่อน</t>
  </si>
  <si>
    <t>บ่อพักคสล.</t>
  </si>
  <si>
    <t>บ่อ</t>
  </si>
  <si>
    <t>ท่อระบายน้ำ</t>
  </si>
  <si>
    <t>งานระบบปรับอากาศ</t>
  </si>
  <si>
    <t>ด้านที่จอดรถยนต์</t>
  </si>
  <si>
    <t xml:space="preserve"> - ปรับระดับเนินดิน</t>
  </si>
  <si>
    <t>รวมราคาหมวดงานภูมิสถาปัตยกรรม</t>
  </si>
  <si>
    <t xml:space="preserve">FDC.  </t>
  </si>
  <si>
    <t xml:space="preserve"> - 4" x 2 1/2" x 2 1/2" </t>
  </si>
  <si>
    <t>CHECK VALVE  (UL/FM)</t>
  </si>
  <si>
    <t xml:space="preserve"> - Dia.  4" </t>
  </si>
  <si>
    <t>AUTOMATIC AIR VENT  W/BALL VALVE</t>
  </si>
  <si>
    <t>เครื่องดับเพลิงอัตโนมัติติดฝ้าเพดาน ชนิดสารเหลวระเหย Automatic Halotron Non CFC (Class A.B.C) ขนาด 10 ปอนด์</t>
  </si>
  <si>
    <t>ห้องปฏิบัติการเฉพาะทาง 1</t>
  </si>
  <si>
    <t>ถัง</t>
  </si>
  <si>
    <t>ห้องปฏิบัติการเฉพาะทาง 2</t>
  </si>
  <si>
    <t xml:space="preserve"> - Sub Breaker 100 AT</t>
  </si>
  <si>
    <t xml:space="preserve"> - Volt Meter 0 - 500 V</t>
  </si>
  <si>
    <t xml:space="preserve"> - Wire 240 sq.mm. </t>
  </si>
  <si>
    <t xml:space="preserve"> - Main Breaker 80 AT/ 100 AF (Load center 42 chanel)</t>
  </si>
  <si>
    <t xml:space="preserve"> - Main Breaker 125 AT/ 225 AF (Load center 42 chanel)</t>
  </si>
  <si>
    <t xml:space="preserve"> - Miniature 1-P 16A</t>
  </si>
  <si>
    <t xml:space="preserve"> - Miniature 1-P 20A</t>
  </si>
  <si>
    <t xml:space="preserve"> - Miniature 1-P 25A</t>
  </si>
  <si>
    <t xml:space="preserve"> - Miniature 3-P 20A</t>
  </si>
  <si>
    <t xml:space="preserve"> - โคมไฟติดผนังทรงกระบอก 2 x 20 W</t>
  </si>
  <si>
    <t xml:space="preserve"> - โคมไฟ Panel ขนาด 30 x 120 cm. ชนิดติดลอย</t>
  </si>
  <si>
    <t xml:space="preserve"> - โคมไฟ Panel ขนาด 30 x 120 cm. ชนิดฝังฝ้า</t>
  </si>
  <si>
    <t xml:space="preserve"> - สวิตช์ 2 ทาง 16 A 250 V</t>
  </si>
  <si>
    <t xml:space="preserve"> - เต้ารับไฟฟ้าแบบคู่ 3 เฟส ชนิดมีกราวด์</t>
  </si>
  <si>
    <t xml:space="preserve"> - เต้ารับไฟฟ้าแบบเดี่ยว ชนิดมีกราวด์</t>
  </si>
  <si>
    <t xml:space="preserve"> - Emergency Light</t>
  </si>
  <si>
    <t xml:space="preserve"> - Exit Sign ติดลอย 1 ด้าน</t>
  </si>
  <si>
    <t xml:space="preserve"> - Exit Sign ติดลอย 2 ด้าน</t>
  </si>
  <si>
    <t xml:space="preserve"> - สายไฟฟ้า THW ขนาด 2.5 sq.mm.</t>
  </si>
  <si>
    <t xml:space="preserve"> - สายไฟฟ้า THW ขนาด 4 sq.mm.</t>
  </si>
  <si>
    <t xml:space="preserve"> - สายไฟฟ้า THW ขนาด 6 sq.mm.</t>
  </si>
  <si>
    <t>พัดลมระบายอากาศ</t>
  </si>
  <si>
    <t>หน้ากากลม</t>
  </si>
  <si>
    <t>ท่อลมระบายอากาศ</t>
  </si>
  <si>
    <t>5.1.5</t>
  </si>
  <si>
    <t>หมวดงานระบบไฟฟ้าสื่อสาร</t>
  </si>
  <si>
    <t xml:space="preserve"> - Computer Outlet </t>
  </si>
  <si>
    <t xml:space="preserve"> - Telephone Outlet </t>
  </si>
  <si>
    <t xml:space="preserve"> - TV Outlet </t>
  </si>
  <si>
    <t xml:space="preserve"> - IP Camera Dome</t>
  </si>
  <si>
    <t xml:space="preserve"> - สายไฟ CAT6 UTP Cable </t>
  </si>
  <si>
    <t xml:space="preserve"> - สายไฟ 4C-0.65mm.TIEV</t>
  </si>
  <si>
    <t xml:space="preserve"> - สายไฟ 6CORE FIBER OPTIC SINGLEMODE</t>
  </si>
  <si>
    <t xml:space="preserve"> - สายไฟ RG6</t>
  </si>
  <si>
    <t xml:space="preserve"> - สายไฟ RG11</t>
  </si>
  <si>
    <t>รวมราคาหมวดงานระบบไฟฟ้าสื่อสาร</t>
  </si>
  <si>
    <t>ระบบกำจัดปลวกชนิดราด</t>
  </si>
  <si>
    <t>งานบันได</t>
  </si>
  <si>
    <t>งานตกแต่งอาคารอื่นๆ</t>
  </si>
  <si>
    <t xml:space="preserve"> - เซี้ยม</t>
  </si>
  <si>
    <t xml:space="preserve"> - Top หลังชักโครก กว้าง 0.20 ม. สูง 0.90 ม.</t>
  </si>
  <si>
    <t xml:space="preserve"> - อ่างล้างหน้าชนิดแขวน</t>
  </si>
  <si>
    <t xml:space="preserve"> - ชานพักบันไดบุกระเบื้อง</t>
  </si>
  <si>
    <t xml:space="preserve"> - ขั้นบันไดบุกระเบื้อง</t>
  </si>
  <si>
    <t xml:space="preserve"> - จมูกบันไดอลูมิเนียม 2"</t>
  </si>
  <si>
    <t xml:space="preserve"> - ราวบันไดสแตนเลส ตามมาตรฐานของผู้ผลิต</t>
  </si>
  <si>
    <t xml:space="preserve"> - ฉาบท้องเรียบบันได</t>
  </si>
  <si>
    <t xml:space="preserve"> - ทาสีท้องบันได</t>
  </si>
  <si>
    <t xml:space="preserve"> - ป้ายห้องน้ำชาย-หญิง-คนพิการ</t>
  </si>
  <si>
    <t xml:space="preserve"> - สายไฟฟ้า THW ขนาด 10 sq.mm.</t>
  </si>
  <si>
    <t xml:space="preserve"> - สายไฟฟ้า THW ขนาด 16 sq.mm.</t>
  </si>
  <si>
    <t xml:space="preserve"> - สายไฟฟ้า THW ขนาด 25 sq.mm.</t>
  </si>
  <si>
    <t xml:space="preserve"> - สายไฟฟ้า THW ขนาด 35 sq.mm.</t>
  </si>
  <si>
    <t xml:space="preserve"> - สายไฟฟ้า THW ขนาด 50 sq.mm.</t>
  </si>
  <si>
    <t xml:space="preserve"> - สายไฟฟ้า THW ขนาด 70 sq.mm.</t>
  </si>
  <si>
    <t xml:space="preserve"> - ท่อร้อยสายชนิด EMTSize 1"</t>
  </si>
  <si>
    <t xml:space="preserve"> - ท่อร้อยสายชนิด EMTSize 1 1/2"</t>
  </si>
  <si>
    <t xml:space="preserve"> - ท่อร้อยสายชนิด EMTSize 2"</t>
  </si>
  <si>
    <t>4.1.1</t>
  </si>
  <si>
    <t>ชุดปั๊มน้ำเพิ่มแรงดัน (Package Booster pump set , Two pumps )</t>
  </si>
  <si>
    <t xml:space="preserve"> - Booster pump controller, Two pumps Operation Working day control by Timer</t>
  </si>
  <si>
    <t xml:space="preserve"> - Alternate/ Parallel Controller ( สลับ+เสริม การทำงาน ), 'Automatic control by Pressure switch</t>
  </si>
  <si>
    <t xml:space="preserve"> - Low level Cut-off by Electrod Senser, 'Phase protection relay</t>
  </si>
  <si>
    <t xml:space="preserve"> - Control box Out-door type</t>
  </si>
  <si>
    <t xml:space="preserve">ระบบไฟฟ้า และระบบควบคุม </t>
  </si>
  <si>
    <t>4.1.2</t>
  </si>
  <si>
    <t>4.1.4</t>
  </si>
  <si>
    <t>4.1.3</t>
  </si>
  <si>
    <t>ท่อประปาน้ำดี (PP-R PN10)</t>
  </si>
  <si>
    <t xml:space="preserve">  DIA.    2-1/2"</t>
  </si>
  <si>
    <t xml:space="preserve">   DIA.  2-1/2"</t>
  </si>
  <si>
    <t xml:space="preserve">  - Dia. 1 1/2"</t>
  </si>
  <si>
    <t xml:space="preserve">  - Dia. 2"</t>
  </si>
  <si>
    <t xml:space="preserve">  - Dia. 3/4"</t>
  </si>
  <si>
    <t xml:space="preserve">  - Dia. 2 1/2"</t>
  </si>
  <si>
    <t>ประตูน้ำเหล็กหล่อลิ้นปีกผีเสื้อ (Butterfly Valve )</t>
  </si>
  <si>
    <t xml:space="preserve">  - Dia. 3"</t>
  </si>
  <si>
    <t>ตัวกรอง (Y-Strainer)</t>
  </si>
  <si>
    <t>ข้อต่ออ่อนชนิดรับแรงดัน  (Flexible Connection)</t>
  </si>
  <si>
    <t xml:space="preserve">มาตรวัดน้ำ ชนิดใบพัด ระบบแม่เหล็ก-สองชั้น </t>
  </si>
  <si>
    <t>เครื่อง</t>
  </si>
  <si>
    <t>วาล์วกันกลับ (Check Valve)</t>
  </si>
  <si>
    <t>Pressure gauge W/Snubber &amp; Valve</t>
  </si>
  <si>
    <t xml:space="preserve">ฟุตวาล์ว (Foot Valve) วาล์วหัวกะโหลก </t>
  </si>
  <si>
    <t>4.2.1</t>
  </si>
  <si>
    <t>ถังบำบัดน้ำเสียสำเร็จรูป ชนิดเติมอากาศ พร้อมอุปกรณ์</t>
  </si>
  <si>
    <t>4.2.2</t>
  </si>
  <si>
    <t>ถังบำบัดน้ำเสียสำเร็จรูป ชนิดไม่เติมอากาศ  พร้อมอุปกรณ์</t>
  </si>
  <si>
    <t>ระบบระบายน้ำรอบอาคาร (Building Drain System )</t>
  </si>
  <si>
    <t>4.3.1</t>
  </si>
  <si>
    <t>4.3.2</t>
  </si>
  <si>
    <t>งานดินขุด</t>
  </si>
  <si>
    <t>คอนกรีตหยาบรองพื้น 1:3:5 ( ประเภท 1 )</t>
  </si>
  <si>
    <t>ทรายหยาบรองพื้น</t>
  </si>
  <si>
    <t>งานอื่นๆ</t>
  </si>
  <si>
    <t xml:space="preserve">งานทดสอบระบบ Test &amp; Commissioning </t>
  </si>
  <si>
    <t>ท่อระบายนํ้าPVC. ปลายบาน ชั้น 8.5</t>
  </si>
  <si>
    <t xml:space="preserve"> -  ขนาด Ø 8 นิ้ว.</t>
  </si>
  <si>
    <t>บ่อพักน้ำสีย คสล.สำเร็จรูป  พร้อมฝา คสล.</t>
  </si>
  <si>
    <t>บ่อตรวจสภาพน้ำทิ้ง คสล. พร้อมฝา คสล.</t>
  </si>
  <si>
    <t>บ่อดักขยะ คสล. พร้อมฝา คสล.</t>
  </si>
  <si>
    <t>รางระบายน้ำและฝาปิดสำเร็จรูป คสล.</t>
  </si>
  <si>
    <t>ห้องปฏิบัติการเฉพาะทาง 3</t>
  </si>
  <si>
    <t>ห้องปฏิบัติการเฉพาะทาง 4</t>
  </si>
  <si>
    <t xml:space="preserve">  - ที่แขวนและยึดอุปกรณ์</t>
  </si>
  <si>
    <t>งานระบบสุขาภิบาลและดับเพลิง</t>
  </si>
  <si>
    <t xml:space="preserve"> - รองรับปริมาณน้ำเสียไม่น้อยกว่า 12 ลบ.ม./วัน</t>
  </si>
  <si>
    <t xml:space="preserve"> - รองรับปริมาณน้ำเสียไม่น้อยกว่า 1.5 ลบ.ม./วัน</t>
  </si>
  <si>
    <t xml:space="preserve"> ระบบคอมพิวเตอร์</t>
  </si>
  <si>
    <t xml:space="preserve"> - Wireless access controller</t>
  </si>
  <si>
    <t xml:space="preserve"> - Access Switch24P 10/100/1000 PoE </t>
  </si>
  <si>
    <t xml:space="preserve"> - Wireless Access Point</t>
  </si>
  <si>
    <t xml:space="preserve"> - RACK 15U ( 60 x 60 )  พร้อมอุปกรณ์</t>
  </si>
  <si>
    <t xml:space="preserve"> - RACK 9U ( 60 x 60 )  พร้อมอุปกรณ์</t>
  </si>
  <si>
    <t xml:space="preserve"> - Patch  Panel 24P UTP CAT6</t>
  </si>
  <si>
    <t xml:space="preserve"> - Patch Cord UTP CAT6</t>
  </si>
  <si>
    <t xml:space="preserve"> - เครื่องสำรองไฟฟ้า 1000VA/630W </t>
  </si>
  <si>
    <t>ระบบ MATV</t>
  </si>
  <si>
    <t xml:space="preserve"> - TV Antenna</t>
  </si>
  <si>
    <t xml:space="preserve"> - MATV  HEAD END</t>
  </si>
  <si>
    <t xml:space="preserve"> - Splitter 2</t>
  </si>
  <si>
    <t xml:space="preserve"> - Splitter 4</t>
  </si>
  <si>
    <t xml:space="preserve"> - Tapoff 4 </t>
  </si>
  <si>
    <t>ระบบ CCTV</t>
  </si>
  <si>
    <t xml:space="preserve"> - เครื่องบันทึกภาพ 16 CH POE</t>
  </si>
  <si>
    <t xml:space="preserve"> - HDD 8 TB</t>
  </si>
  <si>
    <t xml:space="preserve"> - จอ MONITOR 32 ''</t>
  </si>
  <si>
    <t xml:space="preserve"> - เครื่องปรับอากาศขนาด 18,000 Btu (พร้อมติดตั้ง)</t>
  </si>
  <si>
    <t>ค่าวัสดุและค่าแรงอิงตามบัญชีราคาวัสดุ 2568</t>
  </si>
  <si>
    <t>ค่าวัสดุทั้งหมด *10%</t>
  </si>
  <si>
    <t xml:space="preserve"> - F3 พื้น คสล. กระเบื้องแกรนิตโต้ 60 x 60 ซม. (ขนาดรุ่นระบุภายหลัง)</t>
  </si>
  <si>
    <t xml:space="preserve"> - พัดลมระบายอากาศแบบฝังฝ้าต่อท่อลม ขนาด 70 CFM.</t>
  </si>
  <si>
    <t xml:space="preserve"> - พัดลมระบายอากาศแบบฝังฝ้าต่อท่อลม ขนาด 120 CFM.</t>
  </si>
  <si>
    <t xml:space="preserve"> - พัดลมระบายอากาศแบบเจาะผนัง ขนาด 70 CFM.</t>
  </si>
  <si>
    <t xml:space="preserve"> - พัดลมระบายอากาศแบบเจาะผนัง ขนาด 200 CFM.</t>
  </si>
  <si>
    <t xml:space="preserve"> - พัดลมโคจรติดผนัง ขนาด 16 นิ้ว</t>
  </si>
  <si>
    <t xml:space="preserve"> - สวิตซ์พัดลมระบายอากาศ</t>
  </si>
  <si>
    <t xml:space="preserve"> - EAG.6"x6"</t>
  </si>
  <si>
    <t xml:space="preserve"> - ท่อ PVC.#5 ขนาด 4 นิ้ว</t>
  </si>
  <si>
    <t>งานครุภัณฑ์ลิฟท์</t>
  </si>
  <si>
    <t>ลิฟท์โดยสาร ขนาด 1,000 Kg</t>
  </si>
  <si>
    <t xml:space="preserve"> - Pressure diaphragm Tank Capacity 500 Litres.</t>
  </si>
  <si>
    <t xml:space="preserve"> - BP 03,04 CAP 2 x 20   CU.M./Hr., TDH  20 M. 5 HP</t>
  </si>
  <si>
    <t>สายไฟและท่อ</t>
  </si>
  <si>
    <t>งานจัดสวนปลูกหญ้า</t>
  </si>
  <si>
    <t xml:space="preserve"> - จัดสวน ปลูกหญ้า</t>
  </si>
  <si>
    <t>บดอัดดินเดิม</t>
  </si>
  <si>
    <t>งานถมดิน สูง 0.20 m.</t>
  </si>
  <si>
    <t>งานทรายหยาบ สูง 0.10 m.</t>
  </si>
  <si>
    <t>คอนกรีตโครงสร้าง</t>
  </si>
  <si>
    <t xml:space="preserve">เหล็กเสริม </t>
  </si>
  <si>
    <t xml:space="preserve"> - DB 12 mm.</t>
  </si>
  <si>
    <t xml:space="preserve"> - DB 16 mm.</t>
  </si>
  <si>
    <t>งานตัดjoint</t>
  </si>
  <si>
    <t xml:space="preserve">คันหินคสล.สำเร็จรูป </t>
  </si>
  <si>
    <t>ขอบกันล้อรถ</t>
  </si>
  <si>
    <t>งานตีเส้นจราจร</t>
  </si>
  <si>
    <t xml:space="preserve"> - ลูกศร</t>
  </si>
  <si>
    <t xml:space="preserve"> - เส้นจราจร</t>
  </si>
  <si>
    <t>หมวดค่าใช้จ่ายพิเศษ</t>
  </si>
  <si>
    <t>เครื่องจักรลำเลียงวัสดุ (Tower Crane)</t>
  </si>
  <si>
    <t>ค่าติดตั้ง Tower Crane</t>
  </si>
  <si>
    <t>ค่าไฟฟ้าชั่วคราว</t>
  </si>
  <si>
    <t>ค่าเช่าเครื่องจักร</t>
  </si>
  <si>
    <t>เดือน</t>
  </si>
  <si>
    <t>รั้วชั่วคราวกั้นบริเวณก่อสร้าง</t>
  </si>
  <si>
    <t>ผ้าใบกันฝุ่นรอบอาคาร</t>
  </si>
  <si>
    <t>รวมหมวดค่าใช้จ่ายพิเศษ</t>
  </si>
  <si>
    <t>รวมหมวดงานครุภัณฑ์</t>
  </si>
  <si>
    <t xml:space="preserve">หมวดครุภัณฑ์ประจำห้องปฏิบัติการเฉพาะทาง </t>
  </si>
  <si>
    <t>ห้องปฏิบัติการเฉพาะทาง 1 (เทคโนโลยีอาหาร)</t>
  </si>
  <si>
    <t>ห้องปฏิบัติการเฉพาะทาง 2 ชั้น 1 นวัตกรรมทางอาหาร</t>
  </si>
  <si>
    <t>ห้องปฏิบัติการเฉพาะทาง 3 เคมีและชีวเคมีทางอาหาร ชั้น 3</t>
  </si>
  <si>
    <t>ห้องปฏิบัติการเฉพาะทาง 4 ห้องจุลชีวทางอาหาร ชั้น 3</t>
  </si>
  <si>
    <t xml:space="preserve">รวมครุภัณฑ์ห้องปฏิบัติการเฉพาะทาง  </t>
  </si>
  <si>
    <t>หมวดงานครุภัณฑ์เฟอร์นิเจอร์สำนักงานและห้องเรียน</t>
  </si>
  <si>
    <t xml:space="preserve">ห้องเรียน ACTIVE LEARNING CLASSROOM ชั้น 1 จำนวน 2 ห้อง </t>
  </si>
  <si>
    <t>โถงชั้น 1 CO-WORKING ชั้น 1</t>
  </si>
  <si>
    <t>ครุภัณฑ์สำนักงาน ชั้น 1</t>
  </si>
  <si>
    <t xml:space="preserve">(F-49) โซฟาสำหรับสองที่นั่ง </t>
  </si>
  <si>
    <t xml:space="preserve">(F-51) โซฟาสำหรับสามที่นั่ง </t>
  </si>
  <si>
    <t xml:space="preserve">(F-52) โซฟาหนึ่งที่นั่ง </t>
  </si>
  <si>
    <t xml:space="preserve">(F-53) โต๊ะกลางสำหรับโซฟา ขนาด 0.90x0.60 เมตร </t>
  </si>
  <si>
    <t xml:space="preserve">ตัว </t>
  </si>
  <si>
    <t>ห้องแบบบรรยาย 1-4 ขนาด 64 ที่นั่ง จำนวน 4 ห้อง ชั้น 2</t>
  </si>
  <si>
    <t>ห้องแบบบรรยาย 5 ขนาด 120 ที่นั่ง จำนวน 1 ห้อง ชั้น 2</t>
  </si>
  <si>
    <t>ห้องประชุมคณะ ชั้น 2</t>
  </si>
  <si>
    <t>ห้องกิจกรรมนักศึกษาชั้น 3</t>
  </si>
  <si>
    <t xml:space="preserve">(F-61) โต๊ะทำงานมีล้อเลื่อน 2 ที่นั่งพับได้ ขนาด 1.50x0.60 เมตร </t>
  </si>
  <si>
    <t>ห้องสำนักงานสาขาวิทยาศาสตร์และเทคโนโลยีการอาหาร ชั้น 3</t>
  </si>
  <si>
    <t xml:space="preserve">หมวดงานครุภัณฑ์เฟอร์นิเจอร์สำนักงานและห้องเรียน  </t>
  </si>
  <si>
    <t>ห้องปฏิบัติการเฉพาะทาง จำนวน 4 ห้อง</t>
  </si>
  <si>
    <t>เครื่องขยายสัญญาณเสียงแบบครบวงจรขนาดไม่น้อยกว่า 120 วัตต์</t>
  </si>
  <si>
    <t>ลำโพงสองทางขนาดไม่น้อยกว่า 6 นิ้ว</t>
  </si>
  <si>
    <t>ไมโครโฟนมือถือแบบไร้สาย แบบ dual handheld</t>
  </si>
  <si>
    <t>ไมโครโฟนมือถือแบบมีสาย พร้อมขาตั้งโต๊ะ</t>
  </si>
  <si>
    <t>ตู้</t>
  </si>
  <si>
    <t>ระบบ</t>
  </si>
  <si>
    <t>อุปกรณ์สลับสัญญาณ HDMI ขนาดไม่น้อยกว่า เข้า 8 ออก 8</t>
  </si>
  <si>
    <t xml:space="preserve">อุปกรณ์รับ ส่งสัญญาณ HDMI ระยะไกล  </t>
  </si>
  <si>
    <t>อุปกรณ์ขยายสัญญาณ USB ระยะไกล</t>
  </si>
  <si>
    <t>กล้อง Pan / Till /Zoom สำหรับการเรียบการสอนทางไกล</t>
  </si>
  <si>
    <t>อุปกรณ์ปรับแต่งสัญญาณเสียง พร้อมระบบควบคุมแบบรวมศูนย์</t>
  </si>
  <si>
    <t>อุปกรณ์แปลงสัญญาณ RS232 สำหรับระบบควบคุมแบบรวมศูนย์</t>
  </si>
  <si>
    <t>ลำโพงสองทางขนาดไม่น้อยกว่า 4 นิ้ว</t>
  </si>
  <si>
    <t>เครื่องคอมพิวเตอร์ All In One สำหรับงานประมวลผล</t>
  </si>
  <si>
    <t>อุปกรณ์ควบคุมการจ่ายกระแสไฟฟ้าขนาดไม่น้อยกว่า 8 ช่อง</t>
  </si>
  <si>
    <t>ตู้สื่อสารสำหรับจัดเก็บอุปกรณ์ขนาดไม่น้อยกว่า 15U พร้อมอุปกรณ์ประกอบ</t>
  </si>
  <si>
    <t>อุปกรณ์ควบคุมการแสดงข้อมูลข่าวสารดิจิตอล</t>
  </si>
  <si>
    <t>ห้องประชุมสำนักงานคณบดี ชั้น 1</t>
  </si>
  <si>
    <t>เครื่องคอมพิวเตอร์โน้ตบุ๊ก สำหรับงานประมวลผล</t>
  </si>
  <si>
    <t>ห้องเรียนแบบบรรยาย 1-4 ขนาด 64 ที่นั่ง จำนวน 4 ห้อง ชั้น 2</t>
  </si>
  <si>
    <t>อุปกรณ์สลับสัญญาณ HDMI ขนาดไม่น้อยกว่า เข้า 4 ออก 1</t>
  </si>
  <si>
    <t>อุปกรณ์กระจายสัญญาณ HDMI ขนาดไม่น้อยกว่า เข้า 1 ออก 4</t>
  </si>
  <si>
    <t>อุปกรณ์ผสมสัญญาณเสียงขนาดไม่น้อยกว่า 6 ขาเข้า</t>
  </si>
  <si>
    <t>ห้องประชุมคณะฯ ชั้น 2</t>
  </si>
  <si>
    <t>อุปกรณ์สลับสัญญาณ HDMI ขนาดไม่น้อยกว่า เข้า 4 ออก 1 แบบ Seamless</t>
  </si>
  <si>
    <t>อุปกรณ์นำเสนอผลงานแบบไร้สาย</t>
  </si>
  <si>
    <t>อุปกรณ์เชื่อมต่อสัญญาณภาพและเสียง สำหรับการประชุมทางไกลผ่านซอฟต์แวร์</t>
  </si>
  <si>
    <t>เครื่องบันทึกและถ่ายทอดสด ความจุไม่น้อยกว่า 30 GB</t>
  </si>
  <si>
    <t xml:space="preserve">อุปกรณ์ควบคุมและจ่ายกระแสไฟฟ้าไมโครโฟนชุดประชุมแบบดิจิทัล </t>
  </si>
  <si>
    <t>ไมโครโฟนชุดประชุมแบบดิจิทัลสำหรับประธาน</t>
  </si>
  <si>
    <t>ไมโครโฟนชุดประชุมแบบดิจิทัลสำหรับผู้เข้าร่วม</t>
  </si>
  <si>
    <t>ลำโพงหลักสำหรับการนำเสนอสื่อมัลติมีเดีย</t>
  </si>
  <si>
    <t>เครื่อขยายสัญญาณเสียงขนาดไม่น้อยกว่า 4 ช่อง กำลังขับไม่น้อยกว่า 60 วัตต์</t>
  </si>
  <si>
    <t>เครื่องสํารองไฟฟ้า ขนาด 3 kVA</t>
  </si>
  <si>
    <t>ตู้สื่อสารสำหรับจัดเก็บอุปกรณ์ขนาดไม่น้อยกว่า 27U พร้อมอุปกรณ์ประกอบ</t>
  </si>
  <si>
    <t>ครุภัณฑ์ระบบโครงสร้างพื้นฐานเทคโนโลยีสารสนเทศ</t>
  </si>
  <si>
    <t>อุปกรณ์ควบคุมการใช้งานเครือข่ายพร้อมแหล่งจ่ายกระแสไฟฟ้าแบบ 24G</t>
  </si>
  <si>
    <t>อุปกรณ์ควบคุมการใช้งานเครือข่ายพร้อมแหล่งจ่ายกระแสไฟฟ้าแบบ 48G</t>
  </si>
  <si>
    <t>อุปกรณ์กระจายสัญญาณเครือข่ายไร้สายสำหรับติดตั้งภายห้องประชุม 4x4 MIMO พร้อมสิทธิ์การใช้งาน</t>
  </si>
  <si>
    <t>อุปกรณ์สำรองกระแสไฟฟ้าขนาดไม่น้อยกว่า 3KVA สำหรับห้องประชุม</t>
  </si>
  <si>
    <t>รวมงานครุภัณฑ์ระบบโสตทัศนูปกรณ์</t>
  </si>
  <si>
    <t xml:space="preserve">รวมครุภัณฑ์ระบบครุภัณฑ์ระบบโครงสร้างพื้นฐานเทคโนโลยีสารสนเทศ  </t>
  </si>
  <si>
    <t>อุปกรณ์ส่งผ่านข้อมูลการตรวจวัดเข้าสู่ระบบเครือข่าย (Gateway)</t>
  </si>
  <si>
    <t>อุปกรณ์ต่อเชื่อมเครื่องตรวจวัดไร้สายชนิด LoRaWAN เข้าสู่ระบบเครือข่าย</t>
  </si>
  <si>
    <t>ชุดอุปกรณ์คัดกรองบุคคลและควบคุมการเข้าออกพื้นที่พร้อมล็อคประตูชนิดแม่เหล็ก</t>
  </si>
  <si>
    <t>WF - 300 x 150 x 6.5 x 90mm. (36.7 kg/m.)</t>
  </si>
  <si>
    <t>-WF - 400 x 200 x 8 x 13 mm. (66 kg/m.)</t>
  </si>
  <si>
    <t>-เหล็กตัว C 100 x 50 x 20 x 2.3 mm.</t>
  </si>
  <si>
    <t>-เหล็ก C- Channel 200 x 80 x 7.5 x 11 mm. (24.6 kg/m)</t>
  </si>
  <si>
    <t>งานหลังคาบน</t>
  </si>
  <si>
    <t xml:space="preserve"> - หลังคา Metal Sheet หนา 0.4 mm. บุโฟม PU หนา 50 mm. </t>
  </si>
  <si>
    <t xml:space="preserve"> - รางน้ำ UPVC สำเร็จรูป ขนาด 0.35 x 0.35 m.</t>
  </si>
  <si>
    <t xml:space="preserve"> - Metal sheet Flashing  </t>
  </si>
  <si>
    <t>งานหลังคาล่าง</t>
  </si>
  <si>
    <t xml:space="preserve"> - รางน้ำ UPVC สำเร็จรูป ขนาด 0.17 x 0.11 m.</t>
  </si>
  <si>
    <t>ท่อระบายน้ำฝนในดิน (RL.PIPE) PVC 8.5</t>
  </si>
  <si>
    <t>ชุดระบายน้ำหลังคา (ROOF DRAIN)</t>
  </si>
  <si>
    <t xml:space="preserve"> - LED NEO FLEX พร้อมรางอลูมิเนียมและอุปกรณ์</t>
  </si>
  <si>
    <t xml:space="preserve">รวมงานครุภัณฑ์ปรับอากาศและระบายอากาศ </t>
  </si>
  <si>
    <t>Water Stop 8"</t>
  </si>
  <si>
    <t>สายไฟฟ้า และท่อ</t>
  </si>
  <si>
    <t xml:space="preserve"> - เครื่องวัด + อุปกรณ์ประกอบ</t>
  </si>
  <si>
    <t>ดวงโคม</t>
  </si>
  <si>
    <t>สวิทช์ไฟฟ้าและเต้ารับ</t>
  </si>
  <si>
    <t xml:space="preserve"> - ท่อร้อยสายชนิด IMC Size 2 1/2"</t>
  </si>
  <si>
    <t xml:space="preserve"> - สายไฟฟ้า THW ขนาด 95 sq.mm.</t>
  </si>
  <si>
    <t xml:space="preserve"> - Main Breaker 40 AT/ 100 AF (Pump)</t>
  </si>
  <si>
    <t xml:space="preserve"> - Main Breaker 50 AT/ 100 AF (Lift)</t>
  </si>
  <si>
    <t xml:space="preserve"> - Main Breaker 100 AT/ 225 AF (Load center 30 chanel)</t>
  </si>
  <si>
    <t xml:space="preserve"> - Main Lug (Load center 42 chanel)</t>
  </si>
  <si>
    <t xml:space="preserve"> - Main Lug  (Load center 30 chanel)</t>
  </si>
  <si>
    <t>ม..</t>
  </si>
  <si>
    <t xml:space="preserve"> - งานครีบตกแต่งอาคาร โครงเหล็กหุ้ม Metal Sheet ลายไม้</t>
  </si>
  <si>
    <t xml:space="preserve"> - งานระแนงตกแต่งอาคาร Metal Sheet พับขึ้นรูป ขนาด 2"x6"</t>
  </si>
  <si>
    <t xml:space="preserve"> - Sub Breaker 40 AT</t>
  </si>
  <si>
    <t xml:space="preserve"> - Sub Breaker  50 AT</t>
  </si>
  <si>
    <t xml:space="preserve"> - Sub Breaker  80 AT</t>
  </si>
  <si>
    <t xml:space="preserve"> - Sub Breaker  125 AT</t>
  </si>
  <si>
    <t xml:space="preserve"> - Sub Breaker 160 AT</t>
  </si>
  <si>
    <t>วัสดุป้องกันไฟลาม</t>
  </si>
  <si>
    <t>รวมราคางานครุภัณฑ์ลิฟท์</t>
  </si>
  <si>
    <t>3.1.7</t>
  </si>
  <si>
    <t>3.1.8</t>
  </si>
  <si>
    <t>3.1.9</t>
  </si>
  <si>
    <t xml:space="preserve">ครุภัณฑ์ปรับอากาศและระบายอากาศ </t>
  </si>
  <si>
    <t xml:space="preserve"> - ทรายหยาบ</t>
  </si>
  <si>
    <t xml:space="preserve"> - WIRE WAY 100 x 200 mm.</t>
  </si>
  <si>
    <t xml:space="preserve"> - WIRE WAY size 100 x 150 mm. </t>
  </si>
  <si>
    <t>งานบ่อพักน้ำสำหรับท่อ คสล.พร้อมฝา คสล.สำเร็จรูป</t>
  </si>
  <si>
    <t>งานทดสอบเสาเข็ม Dynamic Load Test</t>
  </si>
  <si>
    <t>งานทดสอบความสมบูรณ์เสาเข็ม Seismic Test</t>
  </si>
  <si>
    <t xml:space="preserve"> - F8 พื้นคอนกรีตขัดมัน</t>
  </si>
  <si>
    <t xml:space="preserve"> - F2 พื้น คสล. กระเบื้องเซรามิก 30 x 30 ซม. (ขนาดรุ่นระบุภายหลัง)</t>
  </si>
  <si>
    <t xml:space="preserve"> - กรุกระเบื้องแกรนิตโต้ 0.60 x 0.60 m.</t>
  </si>
  <si>
    <t xml:space="preserve"> - โถสุขภัณฑ์ฟลัชแท็งค์</t>
  </si>
  <si>
    <t xml:space="preserve"> - โถปัสสาวะชายพร้อมปุ่มกด</t>
  </si>
  <si>
    <t xml:space="preserve"> - Ramp ทางลาดหินล้าง เซาะร่อง</t>
  </si>
  <si>
    <t xml:space="preserve"> - ระแนงไม้เทียมตกแต่งอาคาร</t>
  </si>
  <si>
    <t>ไฟฟ้าภายนอก</t>
  </si>
  <si>
    <t xml:space="preserve"> LED SOLAR STREETLIGHT 6500K รวมเสาและฐาน</t>
  </si>
  <si>
    <t xml:space="preserve"> LED SOLAR FLOODLIGHT 6500K </t>
  </si>
  <si>
    <t xml:space="preserve"> - ม้านั่ง คลส.กรุกระเบื้องแกรนิตโต้</t>
  </si>
  <si>
    <t xml:space="preserve"> - ป้ายหน้าอาคาร พร้อมตัวอักษร</t>
  </si>
  <si>
    <t>(F17) โต๊ะสแตนเลส ขนาด 1.20x0.60x0.80 ม.</t>
  </si>
  <si>
    <t>(F15) โต๊ะปฏิบัติการติดผนัง  ขนาด  4.90  x  0.75 x  0.80  ม. (ย x ล x ส)</t>
  </si>
  <si>
    <t>(F14) โต๊ะปฏิบัติการติดผนัง พร้อมโต๊ะเครื่องชั่ง  ขนาด  2.50  x  0.75 x  0.80  ม. (ย x ล x ส)</t>
  </si>
  <si>
    <t>(F35) เก้าอี้เลคเชอร์</t>
  </si>
  <si>
    <t>(F34) เก้าอี้ห้องปฎิบัติการ</t>
  </si>
  <si>
    <t>(F16) โต๊ะปฎิบัติการสแตนเลสอ่างน้ำ ขนาด 1.50x0.75x0.80 ม.</t>
  </si>
  <si>
    <t>(F23) ตู้สแตนเลสเก็บอุปกรณ์ ขนาด 1.00x0.60x1.80 ม</t>
  </si>
  <si>
    <t>(F21) ตู้ล็อกเกอร์ 12 ช่อง ขนาด 0.90x0.40x1.80 ม</t>
  </si>
  <si>
    <t>(F30)ชั้นตากสแตนเลส ขนาด 1.00x0.50x1.80 ม.</t>
  </si>
  <si>
    <t>(F18) โต๊ะสแตนเลส ขนาด 1.50x0.80x0.80 ม.</t>
  </si>
  <si>
    <t>(F16)โต๊ะปฎิบัติการสแตนเลสอ่างน้ำ ขนาด 1.50x0.75x0.80 ม.</t>
  </si>
  <si>
    <t>(F30) ชั้นตากสแตนเลส ขนาด 1.00x0.50x1.80 ม.</t>
  </si>
  <si>
    <t>(F23) ตู้สแตนเลสเก็บอุปกรณ์ ขนาด 1.00x0.60x1.80 ม.</t>
  </si>
  <si>
    <t>(F13) โต๊ะปฏิบัติการติดผนัง พร้อมโต๊ะเครื่องชั่ง  ขนาด  4.00  x  0.75 x  0.80  ม. (ย x ล x ส)</t>
  </si>
  <si>
    <t>ห้องเย็น</t>
  </si>
  <si>
    <t>(F01) โต๊ะปฏิบัติการกลาง  ขนาด  2.00  x  0.75 x  0.85  ม. (ย x ล x ส)</t>
  </si>
  <si>
    <t>(F02) โต๊ะปฏิบัติการกลาง  ขนาด  4.40  x  1.20 x  0.85  ม. (ย x ล x ส)</t>
  </si>
  <si>
    <t>(F07) โต๊ะปฏิบัติการติดผนัง  ขนาด  5.50  x  0.75 x  0.80  ม. (ย x ล x ส)</t>
  </si>
  <si>
    <t>(F03) โต๊ะปฏิบัติการติดผนัง  ขนาด  9.75  x  0.75 x  0.80  ม. (ย x ล x ส) พร้อมตู้แขวน</t>
  </si>
  <si>
    <t>(F04) โต๊ะปฏิบัติการติดผนัง  ขนาด  7.20  x  0.75 x  0.80  ม. (ย x ล x ส)</t>
  </si>
  <si>
    <t xml:space="preserve">(F05) โต๊ะปฏิบัติการติดผนัง พร้อมโต๊ะเครื่องชั่ง ขนาด  2.40  x  0.75 x  0.80  ม. (ย x ล x ส) </t>
  </si>
  <si>
    <t>(F06) โต๊ะปฏิบัติการติดผนัง  ขนาด  2.40  x  0.75 x  0.80  ม. (ย x ล x ส)</t>
  </si>
  <si>
    <t>(F19) โต๊ะอเนกประสงค์ ขนาด 1.20x0.75x0.80 ม.</t>
  </si>
  <si>
    <t>(F20) โต๊ะเครื่องชั่ง ขนาด 0.80x0.60x0.80 ม.</t>
  </si>
  <si>
    <t>(F22) ตู้เก็บอุปกรณ์ ขนาด 1.20x0.60x1.80 ม.</t>
  </si>
  <si>
    <t>(F25) ตู้เก็บสารเคมีระบบดูดไอระเหย ขนาด 1.00x0.55x1.80 ม.</t>
  </si>
  <si>
    <t>(F27) ตู้ดูดควัน ขนาด 1.20x0.85x2.35 ม.</t>
  </si>
  <si>
    <t xml:space="preserve">(F32) ฝักบัวฉุกเฉินสแตนเลส </t>
  </si>
  <si>
    <t>(F31) รถเข็นสแตนเลส ขนาด 0.75x0.45x1.80 ม.</t>
  </si>
  <si>
    <t>(F33) เก้าอี้ห้องปฎิบัติการ</t>
  </si>
  <si>
    <t>(F29) ชั้นตากสแตนเลส ขนาด 0.80x0.50x1.80 ม.</t>
  </si>
  <si>
    <t>(F09) โต๊ะปฏิบัติการติดผนัง  ขนาด  4.70  x  0.75 x  0.80  ม. (ย x ล x ส)</t>
  </si>
  <si>
    <t>(F08) โต๊ะปฏิบัติการติดผนัง  ขนาด  2.40  x  0.75 x  0.80  ม. (ย x ล x ส)</t>
  </si>
  <si>
    <t xml:space="preserve">(F10) โต๊ะปฏิบัติการติดผนัง พร้อมโต๊ะเครื่องชั่ง  ขนาด  4.70  x  0.60 x  0.80  ม. (ย x ล x ส) </t>
  </si>
  <si>
    <t xml:space="preserve">(F11,F28) โต๊ะปฏิบัติการติดผนัง พร้อมชุดดูดอากาศ  ขนาด  3.00  x  0.60 x  0.80  ม. (ย x ล x ส) </t>
  </si>
  <si>
    <t>(F12) โต๊ะปฏิบัติการติดผนัง  ขนาด  1.20  x  0.60 x  0.80  ม. (ย x ล x ส)</t>
  </si>
  <si>
    <t>(F24) ตู้เก็บกล้องจุลทรรศน์ ขนาด 0.60x0.60x1.60 ม.</t>
  </si>
  <si>
    <t>(F26) ตู้ปลอดเชื้อ (Biological Safety Cabinets class II) 4 ฟุต</t>
  </si>
  <si>
    <t xml:space="preserve">(F-63) โต๊ะทำงาน ขนาด 1800x100x750 (กxลxส) </t>
  </si>
  <si>
    <t>(F-64) เก้าอี้ทำงาน</t>
  </si>
  <si>
    <t xml:space="preserve">(F-67) โต๊ะกลม ขนาด dia 800x450 (diaxส) </t>
  </si>
  <si>
    <t>(F-68) เก้าอี้สตูเตี้ย</t>
  </si>
  <si>
    <t xml:space="preserve">(F-44) โต๊ะทำงานผู้บริหาร ขนาด 0.90x1.80x0.75 เมตร (สำหรับหัวหน้าฝ่าย) </t>
  </si>
  <si>
    <t xml:space="preserve">(F-43) เก้าอี้ผู้บริหาร พนักพิงสูง (สำหรับหัวหน้าฝ่าย) </t>
  </si>
  <si>
    <t>(F-42.1) เก้าอี้หน้าโต๊ะ</t>
  </si>
  <si>
    <t xml:space="preserve">(F-44.1) โต๊ะทำงานผู้บริหาร ขนาด 0.60x1.80x0.75 เมตร (สำหรับรองแผนก) </t>
  </si>
  <si>
    <t xml:space="preserve">(F-43.1) เก้าอี้ผู้บริหาร พนักพิงสูง (สำหรับรองแผนก) </t>
  </si>
  <si>
    <t>(F-48) ตู้เก็บเอกสาร</t>
  </si>
  <si>
    <t xml:space="preserve">(F-47) โต๊ะทำงาน ขนาด 0.60x1.50 เมตร </t>
  </si>
  <si>
    <t>(F-46) ตู้เก็บเอกสารสำหรับโต๊ะทำงาน</t>
  </si>
  <si>
    <t>(F-42) เก้าอี้สำนักงาน+ห้องประชุม</t>
  </si>
  <si>
    <t xml:space="preserve">เสาแบบ 2 ทาง </t>
  </si>
  <si>
    <t xml:space="preserve">ฐานที่พื้น </t>
  </si>
  <si>
    <t xml:space="preserve">(F-47) โต๊ะประชุมขนาด 3.20x 1.20 เมตร </t>
  </si>
  <si>
    <t>(F-57.1) เก้าอี้สำหรับประธาน</t>
  </si>
  <si>
    <t>(F-57) เก้าอี้สำหรับผู้เข้าร่วมประชุม</t>
  </si>
  <si>
    <t>(F-59) โต๊ะประชุม 150X60X75 ซม. พร้อม ปลั๊กไฟฟ้า</t>
  </si>
  <si>
    <t>(F-58) โต๊ะประชุม 80X60X75 ซม. พร้อม ปลั๊กไฟฟ้า</t>
  </si>
  <si>
    <t>(F-58.1) โต๊ะตัวต่อเข้ามุม 65X65X75 ซม.</t>
  </si>
  <si>
    <t>(F-42) เก้าอี้สำนักงาน</t>
  </si>
  <si>
    <t>(F-71) ตู้ลิ้นชักเก็บเอกสาร 0.90x0.40x0.81</t>
  </si>
  <si>
    <t>(F-72) โต๊ะกลางวางเอกสาร 1.80x0.90x0.75 ซม.</t>
  </si>
  <si>
    <t>ไมโครโฟนมือถือแบบไร้สาย แบบ UHF</t>
  </si>
  <si>
    <t>ห้อง</t>
  </si>
  <si>
    <t>จอแสดงผลภาพขนาดไม่น้อยกว่า 55 นิ้ว พร้อมขาตั้งล้อเลื่อน</t>
  </si>
  <si>
    <t xml:space="preserve">ห้องเรียน ACTIVE LEARNING CLASSROOM ชั้น 1 จำนวน 1 ห้อง </t>
  </si>
  <si>
    <t>ห้องเรียน Active Classroom ขนาด 60 ที่นั่ง จำนวน 1 ห้อง</t>
  </si>
  <si>
    <t>ชุดอุปกรณ์กล้อง ลำโพง ไมโครโฟน สำหรับการประชุมทางไกลผ่านซอฟต์แวร์</t>
  </si>
  <si>
    <t>ไมโครโฟนเสริมสำหรับชุดอุปกรณ์ประชุมทางไกลผ่านซอฟต์แวร์</t>
  </si>
  <si>
    <t>อุปกรณ์รับ ส่งสัญญาณ HDMI ระยะไกล แบบติดผนัง</t>
  </si>
  <si>
    <t>ลำโพงติดเพดาน ขนาด 4 นิ้ว</t>
  </si>
  <si>
    <t>ระบบจอแสดงผลแบบ LED Wall ความละเอียด P2 หรือดีกว่า ขนาดไม่น้อยกว่า กว้าง 4.4 สูง 2.4 เมตร พร้อมอุปกรณ์ควบคุมและ อุปกรณ์ประกอบการติดตั้ง</t>
  </si>
  <si>
    <t xml:space="preserve">ระบบควบคุมพลังงานอาคารอัจฉริยะด้านภาพและเสียง </t>
  </si>
  <si>
    <t>ระบบควบคุมวงจรไฟฟ้าส่องสว่างอัตโนมัติประจำห้องสำนักงาน</t>
  </si>
  <si>
    <t>ระบบสายสัญญาณใยแก้วนำแสง ระหว่างอาคารหลักและอาคารนวัตกรรมการเกษตร</t>
  </si>
  <si>
    <t>อุปกรณ์บริหารจัดการการใช้พลังงานและสภาพแวดล้อมอาคารเขียวอัจฉริยะ</t>
  </si>
  <si>
    <t>อุปกรณ์ตรวจวัดการใช้พลังงานไฟฟ้าประจำตู้ควบคุมระบบไฟฟ้า</t>
  </si>
  <si>
    <t xml:space="preserve">(F-39) โต๊ะกลางทรงกลม ขนาด dia800x700 (diaxส) </t>
  </si>
  <si>
    <t>(F-40) เก้าอี้สำหรับโต๊ะกลาง</t>
  </si>
  <si>
    <t>(F-41) โต๊ะพร้อมที่นั่งเอนกประสงค์</t>
  </si>
  <si>
    <t>INDOOR CO-WORKING SPACE ชั้น 1</t>
  </si>
  <si>
    <t>Cable box หม้อแปลงไฟฟ้า</t>
  </si>
  <si>
    <t xml:space="preserve"> - ปรับพื้นผิวบางก่อนปูกระเบื้องยาง</t>
  </si>
  <si>
    <t>บ่อพักรางระบายน้ำ คสล.สำเร็จรูป  พร้อมฝา คสล.</t>
  </si>
  <si>
    <t xml:space="preserve"> - Cable Tray HDG 200 mm.</t>
  </si>
  <si>
    <t xml:space="preserve"> - BATTERY 7.0 kWh พร้อมอุปกรณ์ติดตั้ง</t>
  </si>
  <si>
    <t>เหล็กwire mesh 0.20x0.20ม.x4มม.</t>
  </si>
  <si>
    <t>ตาราง Factor F  งานอาคาร</t>
  </si>
  <si>
    <t>การคำนวณหาค่า Factor-F เฉลี่ย</t>
  </si>
  <si>
    <t>เงินล่วงหน้าจ่าย</t>
  </si>
  <si>
    <t xml:space="preserve">หลักเกณฑ์การคำนวนราคากลางงานก่อสร้างตามหนังสือกรมบัญชีกลาง </t>
  </si>
  <si>
    <t>เงินประกันผลงานหัก</t>
  </si>
  <si>
    <t>หนังสือกรมบัญชีกลางที่ กค 0433.2/ว.499   ลว. 28 สิงหาคม  2566</t>
  </si>
  <si>
    <t>ดอกเบี้ยเงินกู้</t>
  </si>
  <si>
    <t>ราคาค่าวัสดุและค่าแรงที่ประมาณราคาได้</t>
  </si>
  <si>
    <t>บาท</t>
  </si>
  <si>
    <t>ค่าภาษีมูลค่าเพิ่ม</t>
  </si>
  <si>
    <t>Factor F =</t>
  </si>
  <si>
    <t>B : ค่างานต้นทุนต่ำ</t>
  </si>
  <si>
    <t>(บาท)</t>
  </si>
  <si>
    <t>A : ค่างานต้นทุนที่ประมาณราคาได้(วัสดุ+แรงงาน)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</si>
  <si>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</si>
  <si>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</si>
  <si>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</si>
  <si>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</si>
  <si>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</si>
  <si>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</si>
  <si>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</si>
  <si>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</si>
  <si>
    <t xml:space="preserve"> - ตะแกรงระบายน้ำฝน RD 4"</t>
  </si>
  <si>
    <t xml:space="preserve"> - F6 พื้นปูกระเบื้องยาง 30x30 ซม. หนา 2 mm.</t>
  </si>
  <si>
    <t xml:space="preserve"> - งานก่ออิฐมวลเบา ขนาด 0.20 x 0.60 x 0.07 m.</t>
  </si>
  <si>
    <t xml:space="preserve"> - ราวจับพยุงตัว</t>
  </si>
  <si>
    <t xml:space="preserve"> - ชุดประตูห้องน้ำสำเร็จรูป</t>
  </si>
  <si>
    <t xml:space="preserve"> - บานกระจกเงาหนา 6 มม. กว้าง 0.80 x สูง 1.10ม.</t>
  </si>
  <si>
    <t xml:space="preserve"> - บานกระจกเงาหนา 6 มม. กว้าง 0.70 x สูง 1.10ม.</t>
  </si>
  <si>
    <t xml:space="preserve"> - บานกระจกเงาหนา 6 มม. กว้าง 1.00 xสูง 1.10ม.</t>
  </si>
  <si>
    <t xml:space="preserve"> - บานกระจกเงาหนา 6 มม. กว้าง 2.00 x สูง 1.10ม.</t>
  </si>
  <si>
    <t xml:space="preserve"> - บานกระจกเงาหนา 6 มม. กว้าง 3.50 x สูง 1.10ม.</t>
  </si>
  <si>
    <t xml:space="preserve"> - ปรับพื้นที่ ปรับเกี่ยววัชพืช ตัดตันไม้ พร้อมขนย้าย</t>
  </si>
  <si>
    <t>ค่าอุปกรณ์ข้อต่อข้องอต่างๆ และรองรับท่อ</t>
  </si>
  <si>
    <t xml:space="preserve"> - ท่อขนาด dia. 0.60 m.</t>
  </si>
  <si>
    <t xml:space="preserve"> - สำหรับท่อขนาด  dia. 0.60 m.</t>
  </si>
  <si>
    <t xml:space="preserve">  - อุปกรณ์ข้อต่อท่อ ที่แขวนและอุปกรณ์ยึดท่อ</t>
  </si>
  <si>
    <t>1 x 160 KVA OIL TYPE TRANSFORMER</t>
  </si>
  <si>
    <t>ค่าอุปกรณ์ติดตั้งหม้อแปลง พร้อมอุปกรณ์ติดตั้ง</t>
  </si>
  <si>
    <t>งานถมดินกลับ</t>
  </si>
  <si>
    <t>งานขุดดิน</t>
  </si>
  <si>
    <t>งานกำแพงกันดินรอบอาคาร</t>
  </si>
  <si>
    <t xml:space="preserve"> - F5 พื้นเทคอนกรีตพิมพ์ลาย</t>
  </si>
  <si>
    <t xml:space="preserve"> - บัวเชิงผนังพีวีซี หนา 8 mm. สูง 0.10 m.</t>
  </si>
  <si>
    <t xml:space="preserve"> - Ramp ทางลาดหินล้าง เซาะร่อง  1 ซม.@20ซม.</t>
  </si>
  <si>
    <t xml:space="preserve"> - ราวกันตกสแตนเลส</t>
  </si>
  <si>
    <t xml:space="preserve"> - ป้ายสำนักงาน</t>
  </si>
  <si>
    <t xml:space="preserve"> - โครงเหล็กผนังตกแต่งอาคาร วัสดุตามแบบ</t>
  </si>
  <si>
    <t>บันได ST-2 (ทางห้องประชุมขึ้นชั้น 2)</t>
  </si>
  <si>
    <t>บันได ST-3 (ทางเข้าด้านหน้าอาคาร)</t>
  </si>
  <si>
    <t>บันได ST-4 (ทางเข้าด้านหลังอาคาร)</t>
  </si>
  <si>
    <t xml:space="preserve"> - ราวกันสแตนเลส ตามมาตรฐานของผู้ผลิต</t>
  </si>
  <si>
    <t xml:space="preserve"> - ราวกันตกสแตนเลส ตามมาตรฐานของผู้ผลิต</t>
  </si>
  <si>
    <t>งานเจาะนำ (PRE BORE)</t>
  </si>
  <si>
    <t xml:space="preserve"> - คอมโพสิตบังหลังคา และหุ้มเสา รวมโครงเหล็กรับแผ่น</t>
  </si>
  <si>
    <t>ถังเก็บน้ำไฟเบอร์กลาสเสริมแรงสำเร็จรูป ทรงแคปซูล ติดตั้งใต้ดิน ขนาด 10,000 ลิตร พร้อมงานฐานรากรับถัง</t>
  </si>
  <si>
    <t xml:space="preserve"> - โคมไฟ Downlight Panel ชนิดฝังฝ้า</t>
  </si>
  <si>
    <t xml:space="preserve"> - โคมไฟ Downlight Panel ชนิดติดลอย</t>
  </si>
  <si>
    <t>1(F-36) เก้าอี้เลคเชอร์แบบมีล้อสำหรับเคลื่อนที่</t>
  </si>
  <si>
    <t xml:space="preserve">1(F-38)โต๊ะสำหรับสอนขนาด 1500x600x750 </t>
  </si>
  <si>
    <t>1(F-37)เก้าอี้สำนักงาน</t>
  </si>
  <si>
    <t xml:space="preserve">(F-65) โต๊ะบาร์ ขนาด 1400x600x1000 (กxลxส) </t>
  </si>
  <si>
    <t>(F-66) เก้าอี้บาร์</t>
  </si>
  <si>
    <t xml:space="preserve">(F-38)โต๊ะสำหรับสอนขนาด 1500x600x750 </t>
  </si>
  <si>
    <t>(F-37) เก้าอี้สำนักงาน</t>
  </si>
  <si>
    <t>(F-37) เก้าอี้ พนักพิงล้อเลื่อน</t>
  </si>
  <si>
    <t>จอควบคุมแบบสัมผัส ขนาดไม่น้อยกว่า 8 นิ้ว</t>
  </si>
  <si>
    <t>จอแอลอีดีสมาร์ททีวีขนาดไม่น้อยกว่า 55 นิ้ว พร้อมขาแขวนผนัง</t>
  </si>
  <si>
    <t>ไมโครโฟนมือถือแบบไร้สาย</t>
  </si>
  <si>
    <t>จอแอลอีดีสมาร์ททีวีขนาดไม่น้อยกว่า 55 นิ้ว พร้อมขาตั้งแบบล้อเลื่อน</t>
  </si>
  <si>
    <t xml:space="preserve">ไมโครโฟนมือถือแบบไร้สาย </t>
  </si>
  <si>
    <t>บันได ST-7 (ทางเข้าห้อง MDB)</t>
  </si>
  <si>
    <t>ST-5 RAMP ด้านหน้าอาคาร</t>
  </si>
  <si>
    <t>ST-6 RAMP ด้านหลังอาคาร</t>
  </si>
  <si>
    <t>บันได ST-1 (ทางขึ้นหลักชั้น 1ถึงดาดฟ้า)</t>
  </si>
  <si>
    <t xml:space="preserve"> - อ่างสแตนเลส 2 หลุมพร้อมที่พักจาน รวมเคาน์เตอร์ ก๊อกน้ำและอุปกรณ์</t>
  </si>
  <si>
    <t>จอแสดงผลภาพขนาดไม่น้อยกว่า 85 นิ้ว ชนิดติดตั้งผนัง พร้อมขาแขวน</t>
  </si>
  <si>
    <t>จอแสดงผลภาพขนาดไม่น้อยกว่า 55 นิ้ว ชนิดติดตั้งผนัง พร้อมขาแขวน</t>
  </si>
  <si>
    <t>อุปกรณ์ประกอบการติดตั้ง เดินสายและทดสอบระบบ</t>
  </si>
  <si>
    <t xml:space="preserve"> - พัดลมระบายอากาศแบบเจาะผนัง ขนาด 120 CFM.</t>
  </si>
  <si>
    <t xml:space="preserve">COLD WATER TRANSFER PUMP SET </t>
  </si>
  <si>
    <t xml:space="preserve"> - มอเตอร์ 2 ตัว 2 x 2 แรงม้า (ตัวละ 2 แรงม้า) ระบบไฟฟ้า 220 โวลต์</t>
  </si>
  <si>
    <t xml:space="preserve"> - ส่งสูงสุด 39.6 เมตร ท่อเข้า ออก ปั๊ม ขนาด 2 x 2 นิ้ว</t>
  </si>
  <si>
    <t xml:space="preserve"> - ท่อออกของ Header ขนาด 2.5 นิ้ว </t>
  </si>
  <si>
    <t xml:space="preserve">ราคารวม </t>
  </si>
  <si>
    <t>1.1.1</t>
  </si>
  <si>
    <t>ราคารวมทั้งหมด</t>
  </si>
  <si>
    <t>1.1.2</t>
  </si>
  <si>
    <t>1.1.3</t>
  </si>
  <si>
    <t>1.1.4</t>
  </si>
  <si>
    <t>1.2.2</t>
  </si>
  <si>
    <t>1.2.3</t>
  </si>
  <si>
    <t>1.2.4</t>
  </si>
  <si>
    <t>1.2.5</t>
  </si>
  <si>
    <t>1.2.7</t>
  </si>
  <si>
    <t>1.2.8</t>
  </si>
  <si>
    <t>1.2.9</t>
  </si>
  <si>
    <t>1.3.3</t>
  </si>
  <si>
    <t>1.3.4</t>
  </si>
  <si>
    <t>1.3.6</t>
  </si>
  <si>
    <t>1.3.7</t>
  </si>
  <si>
    <t>1.3.8</t>
  </si>
  <si>
    <t>1.3.9</t>
  </si>
  <si>
    <t xml:space="preserve"> - Flowrate 10 m3/hr</t>
  </si>
  <si>
    <t xml:space="preserve"> - เครื่องปรับอากาศขนาด 28000 Btu (พร้อมติดตั้ง)</t>
  </si>
  <si>
    <t xml:space="preserve"> - เครื่องปรับอากาศขนาด 38000 Btu (พร้อมติดตั้ง)</t>
  </si>
  <si>
    <t>เครื่องปรับอากาศชนิดติดผนัง (Wall Mounted Type)</t>
  </si>
  <si>
    <t>เครื่องปรับอากาศชนิดแขวนใต้ฝ้าเพดาน (Ceiling Suspended Type)</t>
  </si>
  <si>
    <t>เครื่องปรับอากาศชนิดฝังฝ้าสี่ทิศทาง (Ceiling Mount Cassette 4-Way Type)</t>
  </si>
  <si>
    <t xml:space="preserve">ไม้แบบ 50% </t>
  </si>
  <si>
    <t>งานทรายรองพื้น</t>
  </si>
  <si>
    <t>มิเตอร์น้ำ Æ 2"</t>
  </si>
  <si>
    <t xml:space="preserve"> - ท่อ PVC ขนาด 2"</t>
  </si>
  <si>
    <t>CONCRETE FOUNDATION</t>
  </si>
  <si>
    <t xml:space="preserve">             : ราคานี้ไม่รวมค่าธรรมเนียม กฟภ. (ถ้ามี)</t>
  </si>
  <si>
    <t xml:space="preserve"> Accesery</t>
  </si>
  <si>
    <t>เสาเข็มสี่เหลี่ยมตันขนาด 0.35 x 0.35 x L (L = 8.00 เมตร)</t>
  </si>
  <si>
    <t xml:space="preserve">  DIA.          2"</t>
  </si>
  <si>
    <t xml:space="preserve">PIPE HDPE PN6 </t>
  </si>
  <si>
    <t xml:space="preserve">  DIA.        2"</t>
  </si>
  <si>
    <t xml:space="preserve">ท่อ PVC CLASS 8.5 Dia. 4" </t>
  </si>
  <si>
    <t>FIRE DEPARTMENT CONNECTION (FDC.) 90 Degree (ฺ4"x21/2"x21/2")</t>
  </si>
  <si>
    <t xml:space="preserve"> - MCCB 3P 450 AT/630 AF</t>
  </si>
  <si>
    <t>TRANSFORMER</t>
  </si>
  <si>
    <t>5.1.2.1</t>
  </si>
  <si>
    <t>5.1.2.2</t>
  </si>
  <si>
    <t>5.1.2.3</t>
  </si>
  <si>
    <t>5.1.2.4</t>
  </si>
  <si>
    <t>5.1.2.5</t>
  </si>
  <si>
    <t>ตู้ MAIN DISTRIBUTION BOARD</t>
  </si>
  <si>
    <t xml:space="preserve"> ตู้ DISTRIBUTION BOARD AND PANEL BOARD</t>
  </si>
  <si>
    <t xml:space="preserve"> - Transformer 315 kVA </t>
  </si>
  <si>
    <t>สืบราคา</t>
  </si>
  <si>
    <t>ค่าวัสดุและค่าแรงอิงตามบัญชีราคาวัสดุ 2569</t>
  </si>
  <si>
    <t xml:space="preserve"> - Digital Meter</t>
  </si>
  <si>
    <t xml:space="preserve"> - Telephone Terminal Box</t>
  </si>
  <si>
    <t xml:space="preserve"> - สายไฟ 10Pairs-0.65mm.TIEV</t>
  </si>
  <si>
    <t xml:space="preserve"> - กราวด์เทสบ็อก </t>
  </si>
  <si>
    <t xml:space="preserve"> - ท่อร้อยสายชนิด EMT Size 1 1/4"</t>
  </si>
  <si>
    <t xml:space="preserve"> - แท่งกราวด์ตอกลงดิน 5/8" x 10'</t>
  </si>
  <si>
    <t>ค่าวัสดุและค่าแรงอิงตามบัญชีราคาวัสดุ 2567</t>
  </si>
  <si>
    <t>(F-36.1) เก้าอี้เลคเชอร์แบบมีล้อสำหรับเคลื่อนที่ขนาด 440 x 510 x 970 mm.</t>
  </si>
  <si>
    <t>1.2.6</t>
  </si>
  <si>
    <t>ชุดเครื่องวัดเคราะห์ก๊าซแบบพกพาสำหรับงานสัตว์ (MULTI-GAS ANALYZER)</t>
  </si>
  <si>
    <t>ชุดเครื่องวัดเคราะห์ก๊าซแบบพกพาสำหรับงานพืช (MULTI-GAS ANALYZER)</t>
  </si>
  <si>
    <t xml:space="preserve">(F-45) ชุด partition พาร์ทิชั่นแบบครึ่งกระจก 120*5*120 ซม. </t>
  </si>
  <si>
    <t>ค่าวัสดุและค่าแรงอิงตามบัญชีราคาวัสดุ 2570</t>
  </si>
  <si>
    <t xml:space="preserve"> - สวิตช์ทางเดียว 16 A 250 V พร้อมหน้ากาก</t>
  </si>
  <si>
    <t>ถังเก็บน้ำบนดิน ขนาด 3,000 ลิตร</t>
  </si>
  <si>
    <t xml:space="preserve"> - ช่องเซอร์วิสสำเร็จรูป</t>
  </si>
  <si>
    <t xml:space="preserve"> - เครื่องปรับอากาศขนาด 30000 Btu (พร้อมติดตั้ง)</t>
  </si>
  <si>
    <t xml:space="preserve"> - เครื่องปรับอากาศขนาด 42000 Btu (พร้อมติดตั้ง)</t>
  </si>
  <si>
    <t>หมายเหตุ : งานเดินสายจากหม้อแปลงไฟฟ้าไปยัง MDB เป็นงานในส่วนของมหาวิทยาลัยฯ</t>
  </si>
  <si>
    <t>สายไฟฟ้าแรงสูง 50 sq.mm.</t>
  </si>
  <si>
    <t xml:space="preserve"> - Exothermic welding</t>
  </si>
  <si>
    <t>ระบบพลังงานทดแทน และศุฯการถ่ายทอดความรู้ด้านพลังงานทดแทน 200 kW</t>
  </si>
  <si>
    <t>หมวดงานระบบพลังงานทดแทน 200 kW</t>
  </si>
  <si>
    <t>รวมราคาหมวดงานระบบพลังงานทดแทน 200 kW</t>
  </si>
  <si>
    <t>ตู้แช่ตัวอย่าง -80  ํC</t>
  </si>
  <si>
    <t>เครื่องวัดความเข้มข้นน้ำเชื้อแพะ Photometer Model SDM 1 Ref : 12300/0104 พร้อมอุปกรณ์</t>
  </si>
  <si>
    <t>กล่องแช่แข็งหลอดน้ำเชื้อ Freezing unit for 90 straws 0.5 ml and 0.25 ml - Ref:15043/0736 พร้อมอุปกรณ์</t>
  </si>
  <si>
    <t>เครื่องวิเคราะห์คุณภาพน้ำเชื้อ Minitube CASA System แบบ AndroVision Ref:12500/0010</t>
  </si>
  <si>
    <t>ชุดรีดน้ำเชื้อแพะ (AV+Liner+Cone+Tube)</t>
  </si>
  <si>
    <t>ชุดรีดน้ำเชื้อโค (AV+Liner+Cone+Tube)</t>
  </si>
  <si>
    <t>ชุดช่วยเจาะผนังเซลล์</t>
  </si>
  <si>
    <t>อาคารปฏิบัติการนวัตกรรมอุตสาหกรรมเกษตร</t>
  </si>
  <si>
    <t>ชื่อโครงการอาคารปฏิบัติการนวัตกรรมอุตสาหกรรมเกษตร มหาวิทยาลัยเทคโนโลยีราชมงคลอีสาน</t>
  </si>
  <si>
    <t>อาคารปฏิบัติการนวัตกรรมอุตสาหกรรมเกษตร มหาวิทยาลัยเทคโนโลยีราชมงคลอีสาน ตำบลหนองระเวียง อำเภอเมืองนครราชสีมา จังหวัดนครราชสีมา จำนวน 1 งาน</t>
  </si>
  <si>
    <t>ชุดควบคุมการเคลื่อนที่แบบละเอียดภายใต้กล้องจุลทรรศน์ (Eppendorf)</t>
  </si>
  <si>
    <t>ชุดควบคุมการจับตัวอย่างหรือฉีดสาร ( microinjector) แบบเติมน้ำมัน (Eppendorf)</t>
  </si>
  <si>
    <t>ชุดควบคุมการจับตัวอย่างหรือฉีดสาร (microinjector) แบบเติมน้ำมัน (Eppendorf รุ่น Celltram oil</t>
  </si>
  <si>
    <t>รวมค่าก่อสร้างทั้งโครงการ / งานก่อสร้างหมวด1-10</t>
  </si>
  <si>
    <t>เครื่องวัดความเข้มข้นน้ำเชื้อโค  Photometer Model SDM 1 Ref : 12300/0102 พร้อมอุปกรณ์</t>
  </si>
  <si>
    <t>แผ่น</t>
  </si>
  <si>
    <r>
      <t>D - ((D-E)*(A-</t>
    </r>
    <r>
      <rPr>
        <b/>
        <sz val="14"/>
        <color indexed="12"/>
        <rFont val="TH SarabunPSK"/>
        <family val="2"/>
      </rPr>
      <t>B</t>
    </r>
    <r>
      <rPr>
        <b/>
        <sz val="14"/>
        <rFont val="TH SarabunPSK"/>
        <family val="2"/>
      </rPr>
      <t>)/(</t>
    </r>
    <r>
      <rPr>
        <b/>
        <sz val="14"/>
        <color indexed="10"/>
        <rFont val="TH SarabunPSK"/>
        <family val="2"/>
      </rPr>
      <t>C</t>
    </r>
    <r>
      <rPr>
        <b/>
        <sz val="14"/>
        <rFont val="TH SarabunPSK"/>
        <family val="2"/>
      </rPr>
      <t>-</t>
    </r>
    <r>
      <rPr>
        <b/>
        <sz val="14"/>
        <color indexed="12"/>
        <rFont val="TH SarabunPSK"/>
        <family val="2"/>
      </rPr>
      <t>B</t>
    </r>
    <r>
      <rPr>
        <b/>
        <sz val="14"/>
        <rFont val="TH SarabunPSK"/>
        <family val="2"/>
      </rPr>
      <t>))</t>
    </r>
  </si>
  <si>
    <t>ราคากลางกรมบ/ชกลาง</t>
  </si>
  <si>
    <t xml:space="preserve">สืบราคา </t>
  </si>
  <si>
    <t>สืบจากร้านค้า</t>
  </si>
  <si>
    <t>ค่าเฉลี่ย ยังไม่รวม Vat7%</t>
  </si>
  <si>
    <t>หมวดงานที่จอดรถยนต์และลานกิจกรรม</t>
  </si>
  <si>
    <t>หมวดงานที่จอดรถยนต์</t>
  </si>
  <si>
    <t>รวมหมวดงานที่จอดรถยนต์และลานกิจกรรม</t>
  </si>
  <si>
    <t>หมวดงานที่จอดรถยนต์และลานกิจกรรม (2.027 ตรม.)</t>
  </si>
  <si>
    <t>เงินประกันผลงานหัก    0      %</t>
  </si>
  <si>
    <t>รวมลำดับ 1-8</t>
  </si>
  <si>
    <t>รวมหมวด 1-2-3-4-5-6-7-8</t>
  </si>
  <si>
    <t>รวมทั้งสิ้น ( 10 หมวด)</t>
  </si>
  <si>
    <t>รวมค่าก่อสร้างทั้งสิ้น</t>
  </si>
  <si>
    <t>ชุดเครื่องวัดวิเคราะห์ก๊าซแบบหลายพารามิเตอร์ (Multi-Component Gas Analyzer)</t>
  </si>
  <si>
    <t>1.7.1</t>
  </si>
  <si>
    <t>1.7.2</t>
  </si>
  <si>
    <t>1.7.3</t>
  </si>
  <si>
    <t>1.7.4</t>
  </si>
  <si>
    <t xml:space="preserve">เงื่อนไขการใช้ตาราง Factor 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</si>
</sst>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#,##0.00;[Red]#,##0.00"/>
    <numFmt numFmtId="167" formatCode="_(* #,##0.00_);_(* \(#,##0.00\);_(* \-??_);_(@_)"/>
    <numFmt numFmtId="168" formatCode="#,##0.000"/>
    <numFmt numFmtId="169" formatCode="_-* #,##0.000_-;\-* #,##0.000_-;_-* &quot;-&quot;???_-;_-@_-"/>
    <numFmt numFmtId="170" formatCode="_(* #,##0.0000_);_(* \(#,##0.0000\);_(* &quot;-&quot;??_);_(@_)"/>
    <numFmt numFmtId="171" formatCode="[$-107041E]d\ mmmm\ yyyy;@"/>
    <numFmt numFmtId="172" formatCode="_-* #,##0_-;\-* #,##0_-;_-* &quot;-&quot;??_-;_-@_-"/>
    <numFmt numFmtId="173" formatCode="General_)"/>
    <numFmt numFmtId="174" formatCode="0.0%"/>
    <numFmt numFmtId="175" formatCode="0.0000"/>
    <numFmt numFmtId="176" formatCode="_-* #,##0.0000_-;\-* #,##0.0000_-;_-* &quot;-&quot;??_-;_-@_-"/>
    <numFmt numFmtId="177" formatCode="_-* #,##0.00000_-;\-* #,##0.00000_-;_-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name val="Cordia New"/>
      <family val="2"/>
    </font>
    <font>
      <sz val="14"/>
      <name val="Cordia New"/>
      <family val="2"/>
    </font>
    <font>
      <b/>
      <sz val="16"/>
      <name val="Cordia New"/>
      <family val="2"/>
    </font>
    <font>
      <sz val="12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sz val="16"/>
      <name val="CordiaUPC"/>
      <family val="2"/>
    </font>
    <font>
      <b/>
      <sz val="16"/>
      <name val="CordiaUPC"/>
      <family val="2"/>
    </font>
    <font>
      <sz val="12"/>
      <name val="Arial"/>
      <family val="2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u/>
      <sz val="12"/>
      <name val="AngsanaUPC"/>
      <family val="1"/>
      <charset val="222"/>
    </font>
    <font>
      <sz val="12"/>
      <name val="CordiaUPC"/>
      <family val="2"/>
      <charset val="222"/>
    </font>
    <font>
      <b/>
      <sz val="12"/>
      <name val="CordiaUPC"/>
      <family val="2"/>
      <charset val="222"/>
    </font>
    <font>
      <b/>
      <sz val="12"/>
      <name val="Cordia New"/>
      <family val="2"/>
    </font>
    <font>
      <sz val="11"/>
      <name val="Cordia New"/>
      <family val="2"/>
    </font>
    <font>
      <sz val="10"/>
      <name val="Cordia New"/>
      <family val="2"/>
    </font>
    <font>
      <b/>
      <sz val="22"/>
      <name val="AngsanaUPC"/>
      <family val="1"/>
      <charset val="222"/>
    </font>
    <font>
      <b/>
      <u/>
      <sz val="22"/>
      <name val="AngsanaUPC"/>
      <family val="1"/>
      <charset val="222"/>
    </font>
    <font>
      <b/>
      <u/>
      <sz val="16"/>
      <name val="CordiaUPC"/>
      <family val="2"/>
      <charset val="222"/>
    </font>
    <font>
      <sz val="13"/>
      <name val="Cordia New"/>
      <family val="2"/>
    </font>
    <font>
      <sz val="13"/>
      <color rgb="FFFF0000"/>
      <name val="Cordia New"/>
      <family val="2"/>
    </font>
    <font>
      <u val="singleAccounting"/>
      <sz val="13"/>
      <name val="Cordia New"/>
      <family val="2"/>
    </font>
    <font>
      <b/>
      <u/>
      <sz val="13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4"/>
      <color theme="1"/>
      <name val="Calibri"/>
      <family val="2"/>
      <scheme val="minor"/>
    </font>
    <font>
      <sz val="14"/>
      <color theme="1"/>
      <name val="Cordia New"/>
      <family val="2"/>
    </font>
    <font>
      <b/>
      <u/>
      <sz val="16"/>
      <color theme="1"/>
      <name val="Cordia New"/>
      <family val="2"/>
    </font>
    <font>
      <b/>
      <sz val="14"/>
      <color theme="1"/>
      <name val="Cordia New"/>
      <family val="2"/>
    </font>
    <font>
      <sz val="14"/>
      <name val="AngsanaUPC"/>
      <family val="1"/>
    </font>
    <font>
      <sz val="11"/>
      <color indexed="8"/>
      <name val="Tahoma"/>
      <family val="2"/>
    </font>
    <font>
      <sz val="16"/>
      <name val="AngsanaUPC"/>
      <family val="1"/>
    </font>
    <font>
      <sz val="13"/>
      <name val="AngsanaUPC"/>
      <family val="1"/>
      <charset val="222"/>
    </font>
    <font>
      <sz val="12"/>
      <color rgb="FFFF0000"/>
      <name val="AngsanaUPC"/>
      <family val="1"/>
      <charset val="222"/>
    </font>
    <font>
      <sz val="8"/>
      <name val="Calibri"/>
      <family val="2"/>
      <scheme val="minor"/>
    </font>
    <font>
      <sz val="13"/>
      <color rgb="FF00B0F0"/>
      <name val="Cordia New"/>
      <family val="2"/>
    </font>
    <font>
      <sz val="11"/>
      <color indexed="8"/>
      <name val="Tahoma"/>
      <family val="2"/>
      <charset val="222"/>
    </font>
    <font>
      <sz val="14"/>
      <name val="BrowalliaUPC"/>
      <family val="2"/>
    </font>
    <font>
      <sz val="16"/>
      <name val="TH SarabunPSK"/>
      <family val="2"/>
    </font>
    <font>
      <sz val="14"/>
      <color rgb="FFFF0000"/>
      <name val="Cordia New"/>
      <family val="2"/>
    </font>
    <font>
      <sz val="10"/>
      <name val="ANGTHONG"/>
    </font>
    <font>
      <sz val="16"/>
      <name val="AngsanaUPC"/>
      <family val="1"/>
      <charset val="222"/>
    </font>
    <font>
      <sz val="14"/>
      <color theme="1"/>
      <name val="TH SarabunPSK"/>
      <family val="2"/>
      <charset val="222"/>
    </font>
    <font>
      <sz val="12"/>
      <name val="EucrosiaUPC"/>
      <family val="1"/>
    </font>
    <font>
      <b/>
      <sz val="18"/>
      <name val="TH SarabunPSK"/>
      <family val="2"/>
    </font>
    <font>
      <sz val="18"/>
      <name val="TH SarabunPSK"/>
      <family val="2"/>
    </font>
    <font>
      <i/>
      <sz val="16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sz val="14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i/>
      <sz val="14"/>
      <name val="TH SarabunPSK"/>
      <family val="2"/>
    </font>
    <font>
      <b/>
      <sz val="14"/>
      <color indexed="21"/>
      <name val="TH SarabunPSK"/>
      <family val="2"/>
    </font>
    <font>
      <b/>
      <sz val="14"/>
      <color indexed="8"/>
      <name val="TH SarabunPSK"/>
      <family val="2"/>
    </font>
    <font>
      <b/>
      <i/>
      <sz val="14"/>
      <color indexed="12"/>
      <name val="TH SarabunPSK"/>
      <family val="2"/>
    </font>
    <font>
      <b/>
      <i/>
      <sz val="14"/>
      <color indexed="8"/>
      <name val="TH SarabunPSK"/>
      <family val="2"/>
    </font>
    <font>
      <b/>
      <sz val="14"/>
      <color indexed="61"/>
      <name val="TH SarabunPSK"/>
      <family val="2"/>
    </font>
    <font>
      <b/>
      <sz val="14"/>
      <color rgb="FF0000FF"/>
      <name val="TH SarabunPSK"/>
      <family val="2"/>
    </font>
    <font>
      <b/>
      <sz val="16"/>
      <name val="TH SarabunPSK"/>
      <family val="2"/>
    </font>
    <font>
      <sz val="16"/>
      <color rgb="FFC00000"/>
      <name val="TH SarabunPSK"/>
      <family val="2"/>
    </font>
    <font>
      <u/>
      <sz val="16"/>
      <name val="TH SarabunPSK"/>
      <family val="2"/>
    </font>
    <font>
      <sz val="11"/>
      <name val="TH SarabunPSK"/>
      <family val="2"/>
    </font>
    <font>
      <b/>
      <u/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</fills>
  <borders count="1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5" fontId="3" fillId="0" borderId="0" applyFont="0" applyFill="0" applyBorder="0" applyAlignment="0" applyProtection="0"/>
    <xf numFmtId="0" fontId="34" fillId="0" borderId="0"/>
    <xf numFmtId="164" fontId="13" fillId="0" borderId="0" applyFont="0" applyFill="0" applyBorder="0" applyAlignment="0" applyProtection="0"/>
    <xf numFmtId="0" fontId="3" fillId="0" borderId="0"/>
    <xf numFmtId="43" fontId="35" fillId="0" borderId="0" applyFont="0" applyFill="0" applyBorder="0" applyAlignment="0" applyProtection="0"/>
    <xf numFmtId="0" fontId="36" fillId="0" borderId="0"/>
    <xf numFmtId="43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7" fontId="36" fillId="0" borderId="0" applyFill="0" applyBorder="0" applyAlignment="0" applyProtection="0"/>
    <xf numFmtId="0" fontId="5" fillId="0" borderId="0"/>
    <xf numFmtId="0" fontId="1" fillId="0" borderId="0"/>
    <xf numFmtId="43" fontId="4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2" fillId="0" borderId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45" fillId="0" borderId="0"/>
    <xf numFmtId="0" fontId="46" fillId="0" borderId="0"/>
    <xf numFmtId="0" fontId="34" fillId="0" borderId="0"/>
    <xf numFmtId="43" fontId="47" fillId="0" borderId="0" applyFont="0" applyFill="0" applyBorder="0" applyAlignment="0" applyProtection="0"/>
    <xf numFmtId="0" fontId="48" fillId="0" borderId="0"/>
    <xf numFmtId="0" fontId="5" fillId="0" borderId="0"/>
    <xf numFmtId="40" fontId="48" fillId="0" borderId="0" applyFont="0" applyFill="0" applyBorder="0" applyAlignment="0" applyProtection="0"/>
  </cellStyleXfs>
  <cellXfs count="1113">
    <xf numFmtId="0" fontId="0" fillId="0" borderId="0" xfId="0"/>
    <xf numFmtId="0" fontId="8" fillId="0" borderId="0" xfId="0" applyFont="1"/>
    <xf numFmtId="0" fontId="13" fillId="0" borderId="0" xfId="7" applyFont="1"/>
    <xf numFmtId="4" fontId="13" fillId="0" borderId="0" xfId="7" applyNumberFormat="1" applyFont="1"/>
    <xf numFmtId="168" fontId="13" fillId="0" borderId="0" xfId="7" applyNumberFormat="1" applyFont="1"/>
    <xf numFmtId="3" fontId="13" fillId="0" borderId="0" xfId="7" applyNumberFormat="1" applyFont="1"/>
    <xf numFmtId="3" fontId="13" fillId="0" borderId="0" xfId="7" applyNumberFormat="1" applyFont="1" applyAlignment="1">
      <alignment horizontal="center"/>
    </xf>
    <xf numFmtId="0" fontId="13" fillId="0" borderId="0" xfId="7" applyFont="1" applyAlignment="1">
      <alignment horizontal="center"/>
    </xf>
    <xf numFmtId="0" fontId="14" fillId="0" borderId="0" xfId="7" applyFont="1"/>
    <xf numFmtId="43" fontId="15" fillId="0" borderId="1" xfId="8" applyFont="1" applyBorder="1" applyAlignment="1">
      <alignment horizontal="center"/>
    </xf>
    <xf numFmtId="43" fontId="15" fillId="0" borderId="18" xfId="8" applyFont="1" applyBorder="1" applyAlignment="1">
      <alignment horizontal="center"/>
    </xf>
    <xf numFmtId="43" fontId="15" fillId="0" borderId="20" xfId="8" applyFont="1" applyBorder="1" applyAlignment="1">
      <alignment horizontal="center"/>
    </xf>
    <xf numFmtId="43" fontId="14" fillId="0" borderId="1" xfId="7" applyNumberFormat="1" applyFont="1" applyBorder="1" applyAlignment="1">
      <alignment horizontal="right"/>
    </xf>
    <xf numFmtId="43" fontId="14" fillId="0" borderId="1" xfId="7" applyNumberFormat="1" applyFont="1" applyBorder="1" applyAlignment="1">
      <alignment horizontal="centerContinuous"/>
    </xf>
    <xf numFmtId="4" fontId="14" fillId="0" borderId="1" xfId="7" applyNumberFormat="1" applyFont="1" applyBorder="1" applyAlignment="1">
      <alignment horizontal="centerContinuous"/>
    </xf>
    <xf numFmtId="0" fontId="14" fillId="0" borderId="1" xfId="7" applyFont="1" applyBorder="1" applyAlignment="1">
      <alignment horizontal="center"/>
    </xf>
    <xf numFmtId="43" fontId="14" fillId="0" borderId="11" xfId="8" applyFont="1" applyBorder="1"/>
    <xf numFmtId="43" fontId="14" fillId="0" borderId="21" xfId="8" applyFont="1" applyBorder="1"/>
    <xf numFmtId="43" fontId="14" fillId="0" borderId="15" xfId="8" applyFont="1" applyBorder="1"/>
    <xf numFmtId="43" fontId="14" fillId="0" borderId="22" xfId="8" applyFont="1" applyBorder="1"/>
    <xf numFmtId="43" fontId="14" fillId="0" borderId="23" xfId="8" applyFont="1" applyBorder="1"/>
    <xf numFmtId="43" fontId="14" fillId="0" borderId="24" xfId="8" applyFont="1" applyBorder="1"/>
    <xf numFmtId="43" fontId="14" fillId="0" borderId="11" xfId="7" applyNumberFormat="1" applyFont="1" applyBorder="1" applyAlignment="1">
      <alignment horizontal="right"/>
    </xf>
    <xf numFmtId="43" fontId="14" fillId="0" borderId="11" xfId="7" applyNumberFormat="1" applyFont="1" applyBorder="1"/>
    <xf numFmtId="43" fontId="14" fillId="0" borderId="15" xfId="7" applyNumberFormat="1" applyFont="1" applyBorder="1" applyAlignment="1">
      <alignment horizontal="right"/>
    </xf>
    <xf numFmtId="43" fontId="14" fillId="0" borderId="22" xfId="7" applyNumberFormat="1" applyFont="1" applyBorder="1" applyAlignment="1">
      <alignment horizontal="right"/>
    </xf>
    <xf numFmtId="4" fontId="14" fillId="0" borderId="22" xfId="7" applyNumberFormat="1" applyFont="1" applyBorder="1" applyAlignment="1">
      <alignment horizontal="left"/>
    </xf>
    <xf numFmtId="0" fontId="14" fillId="0" borderId="23" xfId="7" applyFont="1" applyBorder="1" applyAlignment="1">
      <alignment horizontal="left"/>
    </xf>
    <xf numFmtId="0" fontId="14" fillId="0" borderId="11" xfId="7" quotePrefix="1" applyFont="1" applyBorder="1" applyAlignment="1">
      <alignment horizontal="center"/>
    </xf>
    <xf numFmtId="43" fontId="14" fillId="0" borderId="14" xfId="7" applyNumberFormat="1" applyFont="1" applyBorder="1" applyAlignment="1">
      <alignment horizontal="right"/>
    </xf>
    <xf numFmtId="4" fontId="14" fillId="0" borderId="14" xfId="7" applyNumberFormat="1" applyFont="1" applyBorder="1" applyAlignment="1">
      <alignment horizontal="left"/>
    </xf>
    <xf numFmtId="0" fontId="14" fillId="0" borderId="12" xfId="7" applyFont="1" applyBorder="1" applyAlignment="1">
      <alignment horizontal="left"/>
    </xf>
    <xf numFmtId="43" fontId="14" fillId="0" borderId="25" xfId="8" applyFont="1" applyBorder="1"/>
    <xf numFmtId="0" fontId="14" fillId="0" borderId="11" xfId="7" applyFont="1" applyBorder="1" applyAlignment="1">
      <alignment horizontal="center"/>
    </xf>
    <xf numFmtId="169" fontId="14" fillId="0" borderId="21" xfId="8" applyNumberFormat="1" applyFont="1" applyBorder="1"/>
    <xf numFmtId="4" fontId="14" fillId="0" borderId="21" xfId="7" applyNumberFormat="1" applyFont="1" applyBorder="1" applyAlignment="1">
      <alignment horizontal="left"/>
    </xf>
    <xf numFmtId="4" fontId="14" fillId="0" borderId="23" xfId="7" applyNumberFormat="1" applyFont="1" applyBorder="1" applyAlignment="1">
      <alignment horizontal="left"/>
    </xf>
    <xf numFmtId="43" fontId="14" fillId="0" borderId="21" xfId="1" applyFont="1" applyBorder="1"/>
    <xf numFmtId="0" fontId="16" fillId="0" borderId="0" xfId="7" applyFont="1"/>
    <xf numFmtId="4" fontId="17" fillId="0" borderId="17" xfId="7" applyNumberFormat="1" applyFont="1" applyBorder="1" applyAlignment="1">
      <alignment horizontal="center"/>
    </xf>
    <xf numFmtId="168" fontId="17" fillId="0" borderId="17" xfId="7" applyNumberFormat="1" applyFont="1" applyBorder="1" applyAlignment="1">
      <alignment horizontal="center"/>
    </xf>
    <xf numFmtId="3" fontId="17" fillId="0" borderId="27" xfId="7" quotePrefix="1" applyNumberFormat="1" applyFont="1" applyBorder="1" applyAlignment="1">
      <alignment horizontal="center"/>
    </xf>
    <xf numFmtId="3" fontId="17" fillId="0" borderId="28" xfId="7" quotePrefix="1" applyNumberFormat="1" applyFont="1" applyBorder="1" applyAlignment="1">
      <alignment horizontal="center"/>
    </xf>
    <xf numFmtId="3" fontId="17" fillId="0" borderId="29" xfId="7" quotePrefix="1" applyNumberFormat="1" applyFont="1" applyBorder="1" applyAlignment="1">
      <alignment horizontal="center"/>
    </xf>
    <xf numFmtId="3" fontId="17" fillId="0" borderId="30" xfId="7" quotePrefix="1" applyNumberFormat="1" applyFont="1" applyBorder="1" applyAlignment="1">
      <alignment horizontal="center"/>
    </xf>
    <xf numFmtId="0" fontId="17" fillId="0" borderId="17" xfId="7" applyFont="1" applyBorder="1" applyAlignment="1">
      <alignment horizontal="center"/>
    </xf>
    <xf numFmtId="0" fontId="17" fillId="0" borderId="26" xfId="7" applyFont="1" applyBorder="1" applyAlignment="1">
      <alignment horizontal="center"/>
    </xf>
    <xf numFmtId="0" fontId="17" fillId="0" borderId="10" xfId="7" applyFont="1" applyBorder="1" applyAlignment="1">
      <alignment horizontal="center"/>
    </xf>
    <xf numFmtId="0" fontId="21" fillId="0" borderId="0" xfId="7" applyFont="1"/>
    <xf numFmtId="4" fontId="21" fillId="0" borderId="0" xfId="7" applyNumberFormat="1" applyFont="1" applyAlignment="1">
      <alignment horizontal="centerContinuous"/>
    </xf>
    <xf numFmtId="3" fontId="21" fillId="0" borderId="0" xfId="7" applyNumberFormat="1" applyFont="1" applyAlignment="1">
      <alignment horizontal="centerContinuous"/>
    </xf>
    <xf numFmtId="3" fontId="22" fillId="0" borderId="0" xfId="7" quotePrefix="1" applyNumberFormat="1" applyFont="1" applyAlignment="1">
      <alignment horizontal="centerContinuous"/>
    </xf>
    <xf numFmtId="3" fontId="21" fillId="0" borderId="0" xfId="7" applyNumberFormat="1" applyFont="1" applyAlignment="1">
      <alignment horizontal="center"/>
    </xf>
    <xf numFmtId="0" fontId="22" fillId="0" borderId="0" xfId="7" quotePrefix="1" applyFont="1" applyAlignment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>
      <alignment horizontal="centerContinuous"/>
    </xf>
    <xf numFmtId="4" fontId="23" fillId="0" borderId="38" xfId="7" applyNumberFormat="1" applyFont="1" applyBorder="1" applyAlignment="1">
      <alignment horizontal="left"/>
    </xf>
    <xf numFmtId="0" fontId="22" fillId="0" borderId="0" xfId="7" applyFont="1" applyAlignment="1">
      <alignment horizontal="centerContinuous"/>
    </xf>
    <xf numFmtId="0" fontId="24" fillId="0" borderId="0" xfId="9" applyFont="1"/>
    <xf numFmtId="43" fontId="24" fillId="0" borderId="0" xfId="9" applyNumberFormat="1" applyFont="1"/>
    <xf numFmtId="0" fontId="25" fillId="0" borderId="0" xfId="9" applyFont="1"/>
    <xf numFmtId="0" fontId="6" fillId="0" borderId="0" xfId="9" applyFont="1"/>
    <xf numFmtId="0" fontId="30" fillId="0" borderId="0" xfId="0" applyFont="1"/>
    <xf numFmtId="0" fontId="31" fillId="0" borderId="0" xfId="0" applyFont="1"/>
    <xf numFmtId="2" fontId="32" fillId="0" borderId="24" xfId="0" applyNumberFormat="1" applyFont="1" applyBorder="1"/>
    <xf numFmtId="2" fontId="31" fillId="0" borderId="22" xfId="0" applyNumberFormat="1" applyFont="1" applyBorder="1"/>
    <xf numFmtId="2" fontId="32" fillId="0" borderId="62" xfId="0" applyNumberFormat="1" applyFont="1" applyBorder="1"/>
    <xf numFmtId="2" fontId="31" fillId="0" borderId="22" xfId="0" applyNumberFormat="1" applyFont="1" applyBorder="1" applyAlignment="1">
      <alignment horizontal="center"/>
    </xf>
    <xf numFmtId="2" fontId="32" fillId="0" borderId="43" xfId="0" applyNumberFormat="1" applyFont="1" applyBorder="1"/>
    <xf numFmtId="2" fontId="31" fillId="0" borderId="57" xfId="0" applyNumberFormat="1" applyFont="1" applyBorder="1"/>
    <xf numFmtId="2" fontId="32" fillId="0" borderId="63" xfId="0" applyNumberFormat="1" applyFont="1" applyBorder="1"/>
    <xf numFmtId="2" fontId="31" fillId="0" borderId="20" xfId="0" applyNumberFormat="1" applyFont="1" applyBorder="1"/>
    <xf numFmtId="2" fontId="31" fillId="0" borderId="18" xfId="0" applyNumberFormat="1" applyFont="1" applyBorder="1"/>
    <xf numFmtId="0" fontId="11" fillId="2" borderId="63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2" fontId="32" fillId="0" borderId="53" xfId="0" applyNumberFormat="1" applyFont="1" applyBorder="1"/>
    <xf numFmtId="2" fontId="31" fillId="0" borderId="51" xfId="0" applyNumberFormat="1" applyFont="1" applyBorder="1"/>
    <xf numFmtId="2" fontId="32" fillId="0" borderId="56" xfId="0" applyNumberFormat="1" applyFont="1" applyBorder="1"/>
    <xf numFmtId="2" fontId="31" fillId="0" borderId="21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right"/>
    </xf>
    <xf numFmtId="2" fontId="31" fillId="0" borderId="21" xfId="0" applyNumberFormat="1" applyFont="1" applyBorder="1"/>
    <xf numFmtId="2" fontId="31" fillId="0" borderId="21" xfId="0" applyNumberFormat="1" applyFont="1" applyBorder="1" applyAlignment="1">
      <alignment horizontal="right"/>
    </xf>
    <xf numFmtId="2" fontId="31" fillId="0" borderId="55" xfId="0" applyNumberFormat="1" applyFont="1" applyBorder="1" applyAlignment="1">
      <alignment horizontal="right"/>
    </xf>
    <xf numFmtId="2" fontId="31" fillId="0" borderId="65" xfId="0" applyNumberFormat="1" applyFont="1" applyBorder="1" applyAlignment="1">
      <alignment horizontal="center"/>
    </xf>
    <xf numFmtId="2" fontId="31" fillId="0" borderId="61" xfId="0" applyNumberFormat="1" applyFont="1" applyBorder="1" applyAlignment="1">
      <alignment horizontal="center"/>
    </xf>
    <xf numFmtId="2" fontId="32" fillId="0" borderId="60" xfId="0" applyNumberFormat="1" applyFont="1" applyBorder="1"/>
    <xf numFmtId="0" fontId="33" fillId="6" borderId="4" xfId="0" applyFont="1" applyFill="1" applyBorder="1" applyAlignment="1">
      <alignment horizontal="center"/>
    </xf>
    <xf numFmtId="0" fontId="8" fillId="6" borderId="4" xfId="0" applyFont="1" applyFill="1" applyBorder="1"/>
    <xf numFmtId="0" fontId="33" fillId="6" borderId="17" xfId="0" applyFont="1" applyFill="1" applyBorder="1" applyAlignment="1">
      <alignment horizontal="center"/>
    </xf>
    <xf numFmtId="0" fontId="8" fillId="6" borderId="5" xfId="0" applyFont="1" applyFill="1" applyBorder="1"/>
    <xf numFmtId="0" fontId="33" fillId="6" borderId="5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2" fontId="31" fillId="6" borderId="5" xfId="0" applyNumberFormat="1" applyFont="1" applyFill="1" applyBorder="1"/>
    <xf numFmtId="0" fontId="33" fillId="7" borderId="4" xfId="0" applyFont="1" applyFill="1" applyBorder="1" applyAlignment="1">
      <alignment horizontal="center"/>
    </xf>
    <xf numFmtId="0" fontId="8" fillId="7" borderId="4" xfId="0" applyFont="1" applyFill="1" applyBorder="1"/>
    <xf numFmtId="0" fontId="33" fillId="7" borderId="17" xfId="0" applyFont="1" applyFill="1" applyBorder="1" applyAlignment="1">
      <alignment horizontal="center"/>
    </xf>
    <xf numFmtId="0" fontId="8" fillId="7" borderId="5" xfId="0" applyFont="1" applyFill="1" applyBorder="1"/>
    <xf numFmtId="0" fontId="33" fillId="7" borderId="5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2" fontId="31" fillId="7" borderId="5" xfId="0" applyNumberFormat="1" applyFont="1" applyFill="1" applyBorder="1"/>
    <xf numFmtId="0" fontId="33" fillId="4" borderId="4" xfId="0" applyFont="1" applyFill="1" applyBorder="1" applyAlignment="1">
      <alignment horizontal="center"/>
    </xf>
    <xf numFmtId="0" fontId="8" fillId="4" borderId="4" xfId="0" applyFont="1" applyFill="1" applyBorder="1"/>
    <xf numFmtId="0" fontId="33" fillId="4" borderId="17" xfId="0" applyFont="1" applyFill="1" applyBorder="1" applyAlignment="1">
      <alignment horizontal="center"/>
    </xf>
    <xf numFmtId="0" fontId="8" fillId="4" borderId="5" xfId="0" applyFont="1" applyFill="1" applyBorder="1"/>
    <xf numFmtId="0" fontId="33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2" fontId="31" fillId="4" borderId="5" xfId="0" applyNumberFormat="1" applyFont="1" applyFill="1" applyBorder="1"/>
    <xf numFmtId="0" fontId="9" fillId="0" borderId="3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2" fontId="31" fillId="0" borderId="55" xfId="0" applyNumberFormat="1" applyFont="1" applyBorder="1"/>
    <xf numFmtId="2" fontId="31" fillId="0" borderId="52" xfId="0" applyNumberFormat="1" applyFont="1" applyBorder="1"/>
    <xf numFmtId="0" fontId="10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0" fillId="2" borderId="64" xfId="0" applyFont="1" applyFill="1" applyBorder="1" applyAlignment="1">
      <alignment horizontal="left"/>
    </xf>
    <xf numFmtId="0" fontId="9" fillId="0" borderId="67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31" fillId="0" borderId="0" xfId="0" applyNumberFormat="1" applyFont="1"/>
    <xf numFmtId="2" fontId="32" fillId="0" borderId="8" xfId="0" applyNumberFormat="1" applyFont="1" applyBorder="1"/>
    <xf numFmtId="2" fontId="32" fillId="7" borderId="1" xfId="0" applyNumberFormat="1" applyFont="1" applyFill="1" applyBorder="1"/>
    <xf numFmtId="2" fontId="32" fillId="6" borderId="1" xfId="0" applyNumberFormat="1" applyFont="1" applyFill="1" applyBorder="1"/>
    <xf numFmtId="2" fontId="32" fillId="4" borderId="1" xfId="0" applyNumberFormat="1" applyFont="1" applyFill="1" applyBorder="1"/>
    <xf numFmtId="43" fontId="14" fillId="0" borderId="14" xfId="8" applyFont="1" applyBorder="1"/>
    <xf numFmtId="0" fontId="18" fillId="6" borderId="4" xfId="7" applyFont="1" applyFill="1" applyBorder="1" applyAlignment="1">
      <alignment horizontal="center"/>
    </xf>
    <xf numFmtId="0" fontId="7" fillId="6" borderId="46" xfId="7" applyFont="1" applyFill="1" applyBorder="1" applyAlignment="1">
      <alignment horizontal="centerContinuous"/>
    </xf>
    <xf numFmtId="0" fontId="7" fillId="6" borderId="42" xfId="7" applyFont="1" applyFill="1" applyBorder="1" applyAlignment="1">
      <alignment horizontal="centerContinuous"/>
    </xf>
    <xf numFmtId="0" fontId="18" fillId="6" borderId="42" xfId="7" applyFont="1" applyFill="1" applyBorder="1" applyAlignment="1">
      <alignment horizontal="centerContinuous"/>
    </xf>
    <xf numFmtId="0" fontId="18" fillId="6" borderId="41" xfId="7" applyFont="1" applyFill="1" applyBorder="1" applyAlignment="1">
      <alignment horizontal="centerContinuous"/>
    </xf>
    <xf numFmtId="0" fontId="18" fillId="6" borderId="1" xfId="7" applyFont="1" applyFill="1" applyBorder="1" applyAlignment="1">
      <alignment horizontal="centerContinuous"/>
    </xf>
    <xf numFmtId="3" fontId="18" fillId="6" borderId="2" xfId="7" applyNumberFormat="1" applyFont="1" applyFill="1" applyBorder="1" applyAlignment="1">
      <alignment horizontal="centerContinuous"/>
    </xf>
    <xf numFmtId="3" fontId="18" fillId="6" borderId="3" xfId="7" quotePrefix="1" applyNumberFormat="1" applyFont="1" applyFill="1" applyBorder="1" applyAlignment="1">
      <alignment horizontal="centerContinuous"/>
    </xf>
    <xf numFmtId="4" fontId="18" fillId="6" borderId="4" xfId="7" applyNumberFormat="1" applyFont="1" applyFill="1" applyBorder="1" applyAlignment="1">
      <alignment horizontal="center"/>
    </xf>
    <xf numFmtId="0" fontId="7" fillId="6" borderId="4" xfId="7" applyFont="1" applyFill="1" applyBorder="1" applyAlignment="1">
      <alignment horizontal="center"/>
    </xf>
    <xf numFmtId="4" fontId="18" fillId="6" borderId="1" xfId="7" applyNumberFormat="1" applyFont="1" applyFill="1" applyBorder="1" applyAlignment="1">
      <alignment horizontal="centerContinuous"/>
    </xf>
    <xf numFmtId="4" fontId="18" fillId="6" borderId="4" xfId="7" applyNumberFormat="1" applyFont="1" applyFill="1" applyBorder="1" applyAlignment="1">
      <alignment horizontal="centerContinuous"/>
    </xf>
    <xf numFmtId="0" fontId="18" fillId="6" borderId="17" xfId="7" applyFont="1" applyFill="1" applyBorder="1" applyAlignment="1">
      <alignment horizontal="center"/>
    </xf>
    <xf numFmtId="0" fontId="18" fillId="6" borderId="40" xfId="7" applyFont="1" applyFill="1" applyBorder="1" applyAlignment="1">
      <alignment horizontal="center"/>
    </xf>
    <xf numFmtId="0" fontId="18" fillId="6" borderId="0" xfId="7" applyFont="1" applyFill="1" applyAlignment="1">
      <alignment horizontal="center"/>
    </xf>
    <xf numFmtId="0" fontId="18" fillId="6" borderId="26" xfId="7" applyFont="1" applyFill="1" applyBorder="1" applyAlignment="1">
      <alignment horizontal="center"/>
    </xf>
    <xf numFmtId="3" fontId="18" fillId="6" borderId="45" xfId="7" applyNumberFormat="1" applyFont="1" applyFill="1" applyBorder="1" applyAlignment="1">
      <alignment horizontal="centerContinuous"/>
    </xf>
    <xf numFmtId="3" fontId="18" fillId="6" borderId="44" xfId="7" quotePrefix="1" applyNumberFormat="1" applyFont="1" applyFill="1" applyBorder="1" applyAlignment="1">
      <alignment horizontal="centerContinuous"/>
    </xf>
    <xf numFmtId="3" fontId="18" fillId="6" borderId="44" xfId="7" applyNumberFormat="1" applyFont="1" applyFill="1" applyBorder="1" applyAlignment="1">
      <alignment horizontal="centerContinuous"/>
    </xf>
    <xf numFmtId="3" fontId="18" fillId="6" borderId="43" xfId="7" applyNumberFormat="1" applyFont="1" applyFill="1" applyBorder="1" applyAlignment="1">
      <alignment horizontal="centerContinuous"/>
    </xf>
    <xf numFmtId="4" fontId="18" fillId="6" borderId="17" xfId="7" applyNumberFormat="1" applyFont="1" applyFill="1" applyBorder="1" applyAlignment="1">
      <alignment horizontal="center"/>
    </xf>
    <xf numFmtId="0" fontId="7" fillId="6" borderId="17" xfId="7" applyFont="1" applyFill="1" applyBorder="1" applyAlignment="1">
      <alignment horizontal="center"/>
    </xf>
    <xf numFmtId="168" fontId="18" fillId="6" borderId="17" xfId="7" applyNumberFormat="1" applyFont="1" applyFill="1" applyBorder="1" applyAlignment="1">
      <alignment horizontal="center"/>
    </xf>
    <xf numFmtId="4" fontId="18" fillId="6" borderId="17" xfId="7" quotePrefix="1" applyNumberFormat="1" applyFont="1" applyFill="1" applyBorder="1" applyAlignment="1">
      <alignment horizontal="center"/>
    </xf>
    <xf numFmtId="4" fontId="19" fillId="6" borderId="17" xfId="7" applyNumberFormat="1" applyFont="1" applyFill="1" applyBorder="1" applyAlignment="1">
      <alignment horizontal="center"/>
    </xf>
    <xf numFmtId="4" fontId="20" fillId="6" borderId="17" xfId="7" applyNumberFormat="1" applyFont="1" applyFill="1" applyBorder="1" applyAlignment="1">
      <alignment horizontal="center"/>
    </xf>
    <xf numFmtId="4" fontId="7" fillId="6" borderId="17" xfId="7" applyNumberFormat="1" applyFont="1" applyFill="1" applyBorder="1" applyAlignment="1">
      <alignment horizontal="center"/>
    </xf>
    <xf numFmtId="3" fontId="18" fillId="6" borderId="29" xfId="7" applyNumberFormat="1" applyFont="1" applyFill="1" applyBorder="1" applyAlignment="1">
      <alignment horizontal="center"/>
    </xf>
    <xf numFmtId="3" fontId="18" fillId="6" borderId="30" xfId="7" applyNumberFormat="1" applyFont="1" applyFill="1" applyBorder="1" applyAlignment="1">
      <alignment horizontal="center"/>
    </xf>
    <xf numFmtId="3" fontId="18" fillId="6" borderId="27" xfId="7" applyNumberFormat="1" applyFont="1" applyFill="1" applyBorder="1" applyAlignment="1">
      <alignment horizontal="center"/>
    </xf>
    <xf numFmtId="3" fontId="18" fillId="6" borderId="28" xfId="7" applyNumberFormat="1" applyFont="1" applyFill="1" applyBorder="1" applyAlignment="1">
      <alignment horizontal="center"/>
    </xf>
    <xf numFmtId="1" fontId="18" fillId="6" borderId="17" xfId="7" quotePrefix="1" applyNumberFormat="1" applyFont="1" applyFill="1" applyBorder="1" applyAlignment="1">
      <alignment horizontal="center"/>
    </xf>
    <xf numFmtId="168" fontId="18" fillId="6" borderId="17" xfId="7" applyNumberFormat="1" applyFont="1" applyFill="1" applyBorder="1" applyAlignment="1">
      <alignment horizontal="right"/>
    </xf>
    <xf numFmtId="4" fontId="18" fillId="6" borderId="40" xfId="7" applyNumberFormat="1" applyFont="1" applyFill="1" applyBorder="1" applyAlignment="1">
      <alignment horizontal="center"/>
    </xf>
    <xf numFmtId="4" fontId="18" fillId="6" borderId="26" xfId="7" applyNumberFormat="1" applyFont="1" applyFill="1" applyBorder="1" applyAlignment="1">
      <alignment horizontal="center"/>
    </xf>
    <xf numFmtId="168" fontId="19" fillId="6" borderId="29" xfId="7" applyNumberFormat="1" applyFont="1" applyFill="1" applyBorder="1" applyAlignment="1">
      <alignment horizontal="center"/>
    </xf>
    <xf numFmtId="168" fontId="19" fillId="6" borderId="30" xfId="7" applyNumberFormat="1" applyFont="1" applyFill="1" applyBorder="1" applyAlignment="1">
      <alignment horizontal="center"/>
    </xf>
    <xf numFmtId="168" fontId="19" fillId="6" borderId="27" xfId="7" applyNumberFormat="1" applyFont="1" applyFill="1" applyBorder="1" applyAlignment="1">
      <alignment horizontal="center"/>
    </xf>
    <xf numFmtId="168" fontId="19" fillId="6" borderId="28" xfId="7" applyNumberFormat="1" applyFont="1" applyFill="1" applyBorder="1" applyAlignment="1">
      <alignment horizontal="center"/>
    </xf>
    <xf numFmtId="9" fontId="18" fillId="6" borderId="40" xfId="7" applyNumberFormat="1" applyFont="1" applyFill="1" applyBorder="1" applyAlignment="1">
      <alignment horizontal="center"/>
    </xf>
    <xf numFmtId="0" fontId="18" fillId="6" borderId="5" xfId="7" applyFont="1" applyFill="1" applyBorder="1" applyAlignment="1">
      <alignment horizontal="center"/>
    </xf>
    <xf numFmtId="0" fontId="18" fillId="6" borderId="39" xfId="7" applyFont="1" applyFill="1" applyBorder="1" applyAlignment="1">
      <alignment horizontal="center"/>
    </xf>
    <xf numFmtId="0" fontId="18" fillId="6" borderId="38" xfId="7" applyFont="1" applyFill="1" applyBorder="1" applyAlignment="1">
      <alignment horizontal="center"/>
    </xf>
    <xf numFmtId="0" fontId="18" fillId="6" borderId="33" xfId="7" applyFont="1" applyFill="1" applyBorder="1" applyAlignment="1">
      <alignment horizontal="center"/>
    </xf>
    <xf numFmtId="3" fontId="18" fillId="6" borderId="37" xfId="7" quotePrefix="1" applyNumberFormat="1" applyFont="1" applyFill="1" applyBorder="1" applyAlignment="1">
      <alignment horizontal="center"/>
    </xf>
    <xf numFmtId="3" fontId="18" fillId="6" borderId="34" xfId="7" quotePrefix="1" applyNumberFormat="1" applyFont="1" applyFill="1" applyBorder="1" applyAlignment="1">
      <alignment horizontal="center"/>
    </xf>
    <xf numFmtId="3" fontId="18" fillId="6" borderId="35" xfId="7" quotePrefix="1" applyNumberFormat="1" applyFont="1" applyFill="1" applyBorder="1" applyAlignment="1">
      <alignment horizontal="center"/>
    </xf>
    <xf numFmtId="3" fontId="18" fillId="6" borderId="36" xfId="7" quotePrefix="1" applyNumberFormat="1" applyFont="1" applyFill="1" applyBorder="1" applyAlignment="1">
      <alignment horizontal="center"/>
    </xf>
    <xf numFmtId="4" fontId="18" fillId="6" borderId="5" xfId="7" applyNumberFormat="1" applyFont="1" applyFill="1" applyBorder="1" applyAlignment="1">
      <alignment horizontal="center"/>
    </xf>
    <xf numFmtId="168" fontId="18" fillId="6" borderId="5" xfId="7" applyNumberFormat="1" applyFont="1" applyFill="1" applyBorder="1" applyAlignment="1">
      <alignment horizontal="center"/>
    </xf>
    <xf numFmtId="0" fontId="18" fillId="7" borderId="4" xfId="7" applyFont="1" applyFill="1" applyBorder="1" applyAlignment="1">
      <alignment horizontal="center"/>
    </xf>
    <xf numFmtId="0" fontId="7" fillId="7" borderId="46" xfId="7" applyFont="1" applyFill="1" applyBorder="1" applyAlignment="1">
      <alignment horizontal="centerContinuous"/>
    </xf>
    <xf numFmtId="0" fontId="7" fillId="7" borderId="42" xfId="7" applyFont="1" applyFill="1" applyBorder="1" applyAlignment="1">
      <alignment horizontal="centerContinuous"/>
    </xf>
    <xf numFmtId="0" fontId="18" fillId="7" borderId="42" xfId="7" applyFont="1" applyFill="1" applyBorder="1" applyAlignment="1">
      <alignment horizontal="centerContinuous"/>
    </xf>
    <xf numFmtId="0" fontId="18" fillId="7" borderId="41" xfId="7" applyFont="1" applyFill="1" applyBorder="1" applyAlignment="1">
      <alignment horizontal="centerContinuous"/>
    </xf>
    <xf numFmtId="0" fontId="18" fillId="7" borderId="1" xfId="7" applyFont="1" applyFill="1" applyBorder="1" applyAlignment="1">
      <alignment horizontal="centerContinuous"/>
    </xf>
    <xf numFmtId="3" fontId="18" fillId="7" borderId="2" xfId="7" applyNumberFormat="1" applyFont="1" applyFill="1" applyBorder="1" applyAlignment="1">
      <alignment horizontal="centerContinuous"/>
    </xf>
    <xf numFmtId="4" fontId="18" fillId="7" borderId="4" xfId="7" applyNumberFormat="1" applyFont="1" applyFill="1" applyBorder="1" applyAlignment="1">
      <alignment horizontal="center"/>
    </xf>
    <xf numFmtId="0" fontId="7" fillId="7" borderId="4" xfId="7" applyFont="1" applyFill="1" applyBorder="1" applyAlignment="1">
      <alignment horizontal="center"/>
    </xf>
    <xf numFmtId="4" fontId="18" fillId="7" borderId="1" xfId="7" applyNumberFormat="1" applyFont="1" applyFill="1" applyBorder="1" applyAlignment="1">
      <alignment horizontal="centerContinuous"/>
    </xf>
    <xf numFmtId="4" fontId="18" fillId="7" borderId="4" xfId="7" applyNumberFormat="1" applyFont="1" applyFill="1" applyBorder="1" applyAlignment="1">
      <alignment horizontal="centerContinuous"/>
    </xf>
    <xf numFmtId="0" fontId="18" fillId="7" borderId="17" xfId="7" applyFont="1" applyFill="1" applyBorder="1" applyAlignment="1">
      <alignment horizontal="center"/>
    </xf>
    <xf numFmtId="0" fontId="18" fillId="7" borderId="40" xfId="7" applyFont="1" applyFill="1" applyBorder="1" applyAlignment="1">
      <alignment horizontal="center"/>
    </xf>
    <xf numFmtId="0" fontId="18" fillId="7" borderId="0" xfId="7" applyFont="1" applyFill="1" applyAlignment="1">
      <alignment horizontal="center"/>
    </xf>
    <xf numFmtId="0" fontId="18" fillId="7" borderId="26" xfId="7" applyFont="1" applyFill="1" applyBorder="1" applyAlignment="1">
      <alignment horizontal="center"/>
    </xf>
    <xf numFmtId="3" fontId="18" fillId="7" borderId="45" xfId="7" applyNumberFormat="1" applyFont="1" applyFill="1" applyBorder="1" applyAlignment="1">
      <alignment horizontal="centerContinuous"/>
    </xf>
    <xf numFmtId="3" fontId="18" fillId="7" borderId="44" xfId="7" quotePrefix="1" applyNumberFormat="1" applyFont="1" applyFill="1" applyBorder="1" applyAlignment="1">
      <alignment horizontal="centerContinuous"/>
    </xf>
    <xf numFmtId="3" fontId="18" fillId="7" borderId="44" xfId="7" applyNumberFormat="1" applyFont="1" applyFill="1" applyBorder="1" applyAlignment="1">
      <alignment horizontal="centerContinuous"/>
    </xf>
    <xf numFmtId="3" fontId="18" fillId="7" borderId="43" xfId="7" applyNumberFormat="1" applyFont="1" applyFill="1" applyBorder="1" applyAlignment="1">
      <alignment horizontal="centerContinuous"/>
    </xf>
    <xf numFmtId="4" fontId="18" fillId="7" borderId="17" xfId="7" applyNumberFormat="1" applyFont="1" applyFill="1" applyBorder="1" applyAlignment="1">
      <alignment horizontal="center"/>
    </xf>
    <xf numFmtId="0" fontId="7" fillId="7" borderId="17" xfId="7" applyFont="1" applyFill="1" applyBorder="1" applyAlignment="1">
      <alignment horizontal="center"/>
    </xf>
    <xf numFmtId="168" fontId="18" fillId="7" borderId="17" xfId="7" applyNumberFormat="1" applyFont="1" applyFill="1" applyBorder="1" applyAlignment="1">
      <alignment horizontal="center"/>
    </xf>
    <xf numFmtId="4" fontId="18" fillId="7" borderId="17" xfId="7" quotePrefix="1" applyNumberFormat="1" applyFont="1" applyFill="1" applyBorder="1" applyAlignment="1">
      <alignment horizontal="center"/>
    </xf>
    <xf numFmtId="4" fontId="19" fillId="7" borderId="17" xfId="7" applyNumberFormat="1" applyFont="1" applyFill="1" applyBorder="1" applyAlignment="1">
      <alignment horizontal="center"/>
    </xf>
    <xf numFmtId="4" fontId="20" fillId="7" borderId="17" xfId="7" applyNumberFormat="1" applyFont="1" applyFill="1" applyBorder="1" applyAlignment="1">
      <alignment horizontal="center"/>
    </xf>
    <xf numFmtId="4" fontId="7" fillId="7" borderId="17" xfId="7" applyNumberFormat="1" applyFont="1" applyFill="1" applyBorder="1" applyAlignment="1">
      <alignment horizontal="center"/>
    </xf>
    <xf numFmtId="3" fontId="18" fillId="7" borderId="29" xfId="7" applyNumberFormat="1" applyFont="1" applyFill="1" applyBorder="1" applyAlignment="1">
      <alignment horizontal="center"/>
    </xf>
    <xf numFmtId="3" fontId="18" fillId="7" borderId="30" xfId="7" applyNumberFormat="1" applyFont="1" applyFill="1" applyBorder="1" applyAlignment="1">
      <alignment horizontal="center"/>
    </xf>
    <xf numFmtId="3" fontId="18" fillId="7" borderId="27" xfId="7" applyNumberFormat="1" applyFont="1" applyFill="1" applyBorder="1" applyAlignment="1">
      <alignment horizontal="center"/>
    </xf>
    <xf numFmtId="3" fontId="18" fillId="7" borderId="28" xfId="7" applyNumberFormat="1" applyFont="1" applyFill="1" applyBorder="1" applyAlignment="1">
      <alignment horizontal="center"/>
    </xf>
    <xf numFmtId="1" fontId="18" fillId="7" borderId="17" xfId="7" quotePrefix="1" applyNumberFormat="1" applyFont="1" applyFill="1" applyBorder="1" applyAlignment="1">
      <alignment horizontal="center"/>
    </xf>
    <xf numFmtId="168" fontId="18" fillId="7" borderId="17" xfId="7" applyNumberFormat="1" applyFont="1" applyFill="1" applyBorder="1" applyAlignment="1">
      <alignment horizontal="right"/>
    </xf>
    <xf numFmtId="4" fontId="18" fillId="7" borderId="40" xfId="7" applyNumberFormat="1" applyFont="1" applyFill="1" applyBorder="1" applyAlignment="1">
      <alignment horizontal="center"/>
    </xf>
    <xf numFmtId="4" fontId="18" fillId="7" borderId="26" xfId="7" applyNumberFormat="1" applyFont="1" applyFill="1" applyBorder="1" applyAlignment="1">
      <alignment horizontal="center"/>
    </xf>
    <xf numFmtId="168" fontId="19" fillId="7" borderId="29" xfId="7" applyNumberFormat="1" applyFont="1" applyFill="1" applyBorder="1" applyAlignment="1">
      <alignment horizontal="center"/>
    </xf>
    <xf numFmtId="168" fontId="19" fillId="7" borderId="30" xfId="7" applyNumberFormat="1" applyFont="1" applyFill="1" applyBorder="1" applyAlignment="1">
      <alignment horizontal="center"/>
    </xf>
    <xf numFmtId="168" fontId="19" fillId="7" borderId="27" xfId="7" applyNumberFormat="1" applyFont="1" applyFill="1" applyBorder="1" applyAlignment="1">
      <alignment horizontal="center"/>
    </xf>
    <xf numFmtId="168" fontId="19" fillId="7" borderId="28" xfId="7" applyNumberFormat="1" applyFont="1" applyFill="1" applyBorder="1" applyAlignment="1">
      <alignment horizontal="center"/>
    </xf>
    <xf numFmtId="9" fontId="18" fillId="7" borderId="40" xfId="7" applyNumberFormat="1" applyFont="1" applyFill="1" applyBorder="1" applyAlignment="1">
      <alignment horizontal="center"/>
    </xf>
    <xf numFmtId="0" fontId="18" fillId="7" borderId="5" xfId="7" applyFont="1" applyFill="1" applyBorder="1" applyAlignment="1">
      <alignment horizontal="center"/>
    </xf>
    <xf numFmtId="0" fontId="18" fillId="7" borderId="39" xfId="7" applyFont="1" applyFill="1" applyBorder="1" applyAlignment="1">
      <alignment horizontal="center"/>
    </xf>
    <xf numFmtId="0" fontId="18" fillId="7" borderId="38" xfId="7" applyFont="1" applyFill="1" applyBorder="1" applyAlignment="1">
      <alignment horizontal="center"/>
    </xf>
    <xf numFmtId="0" fontId="18" fillId="7" borderId="33" xfId="7" applyFont="1" applyFill="1" applyBorder="1" applyAlignment="1">
      <alignment horizontal="center"/>
    </xf>
    <xf numFmtId="3" fontId="18" fillId="7" borderId="37" xfId="7" quotePrefix="1" applyNumberFormat="1" applyFont="1" applyFill="1" applyBorder="1" applyAlignment="1">
      <alignment horizontal="center"/>
    </xf>
    <xf numFmtId="3" fontId="18" fillId="7" borderId="34" xfId="7" quotePrefix="1" applyNumberFormat="1" applyFont="1" applyFill="1" applyBorder="1" applyAlignment="1">
      <alignment horizontal="center"/>
    </xf>
    <xf numFmtId="3" fontId="18" fillId="7" borderId="35" xfId="7" quotePrefix="1" applyNumberFormat="1" applyFont="1" applyFill="1" applyBorder="1" applyAlignment="1">
      <alignment horizontal="center"/>
    </xf>
    <xf numFmtId="3" fontId="18" fillId="7" borderId="36" xfId="7" quotePrefix="1" applyNumberFormat="1" applyFont="1" applyFill="1" applyBorder="1" applyAlignment="1">
      <alignment horizontal="center"/>
    </xf>
    <xf numFmtId="4" fontId="18" fillId="7" borderId="5" xfId="7" applyNumberFormat="1" applyFont="1" applyFill="1" applyBorder="1" applyAlignment="1">
      <alignment horizontal="center"/>
    </xf>
    <xf numFmtId="168" fontId="18" fillId="7" borderId="5" xfId="7" applyNumberFormat="1" applyFont="1" applyFill="1" applyBorder="1" applyAlignment="1">
      <alignment horizontal="center"/>
    </xf>
    <xf numFmtId="0" fontId="18" fillId="4" borderId="4" xfId="7" applyFont="1" applyFill="1" applyBorder="1" applyAlignment="1">
      <alignment horizontal="center"/>
    </xf>
    <xf numFmtId="0" fontId="7" fillId="4" borderId="46" xfId="7" applyFont="1" applyFill="1" applyBorder="1" applyAlignment="1">
      <alignment horizontal="centerContinuous"/>
    </xf>
    <xf numFmtId="0" fontId="7" fillId="4" borderId="42" xfId="7" applyFont="1" applyFill="1" applyBorder="1" applyAlignment="1">
      <alignment horizontal="centerContinuous"/>
    </xf>
    <xf numFmtId="0" fontId="18" fillId="4" borderId="42" xfId="7" applyFont="1" applyFill="1" applyBorder="1" applyAlignment="1">
      <alignment horizontal="centerContinuous"/>
    </xf>
    <xf numFmtId="0" fontId="18" fillId="4" borderId="41" xfId="7" applyFont="1" applyFill="1" applyBorder="1" applyAlignment="1">
      <alignment horizontal="centerContinuous"/>
    </xf>
    <xf numFmtId="0" fontId="18" fillId="4" borderId="1" xfId="7" applyFont="1" applyFill="1" applyBorder="1" applyAlignment="1">
      <alignment horizontal="centerContinuous"/>
    </xf>
    <xf numFmtId="3" fontId="18" fillId="4" borderId="2" xfId="7" applyNumberFormat="1" applyFont="1" applyFill="1" applyBorder="1" applyAlignment="1">
      <alignment horizontal="centerContinuous"/>
    </xf>
    <xf numFmtId="3" fontId="18" fillId="4" borderId="3" xfId="7" quotePrefix="1" applyNumberFormat="1" applyFont="1" applyFill="1" applyBorder="1" applyAlignment="1">
      <alignment horizontal="centerContinuous"/>
    </xf>
    <xf numFmtId="4" fontId="18" fillId="4" borderId="4" xfId="7" applyNumberFormat="1" applyFont="1" applyFill="1" applyBorder="1" applyAlignment="1">
      <alignment horizontal="center"/>
    </xf>
    <xf numFmtId="0" fontId="7" fillId="4" borderId="4" xfId="7" applyFont="1" applyFill="1" applyBorder="1" applyAlignment="1">
      <alignment horizontal="center"/>
    </xf>
    <xf numFmtId="4" fontId="18" fillId="4" borderId="1" xfId="7" applyNumberFormat="1" applyFont="1" applyFill="1" applyBorder="1" applyAlignment="1">
      <alignment horizontal="centerContinuous"/>
    </xf>
    <xf numFmtId="4" fontId="18" fillId="4" borderId="4" xfId="7" applyNumberFormat="1" applyFont="1" applyFill="1" applyBorder="1" applyAlignment="1">
      <alignment horizontal="centerContinuous"/>
    </xf>
    <xf numFmtId="0" fontId="18" fillId="4" borderId="17" xfId="7" applyFont="1" applyFill="1" applyBorder="1" applyAlignment="1">
      <alignment horizontal="center"/>
    </xf>
    <xf numFmtId="0" fontId="18" fillId="4" borderId="40" xfId="7" applyFont="1" applyFill="1" applyBorder="1" applyAlignment="1">
      <alignment horizontal="center"/>
    </xf>
    <xf numFmtId="0" fontId="18" fillId="4" borderId="0" xfId="7" applyFont="1" applyFill="1" applyAlignment="1">
      <alignment horizontal="center"/>
    </xf>
    <xf numFmtId="0" fontId="18" fillId="4" borderId="26" xfId="7" applyFont="1" applyFill="1" applyBorder="1" applyAlignment="1">
      <alignment horizontal="center"/>
    </xf>
    <xf numFmtId="3" fontId="18" fillId="4" borderId="45" xfId="7" applyNumberFormat="1" applyFont="1" applyFill="1" applyBorder="1" applyAlignment="1">
      <alignment horizontal="centerContinuous"/>
    </xf>
    <xf numFmtId="3" fontId="18" fillId="4" borderId="44" xfId="7" quotePrefix="1" applyNumberFormat="1" applyFont="1" applyFill="1" applyBorder="1" applyAlignment="1">
      <alignment horizontal="centerContinuous"/>
    </xf>
    <xf numFmtId="3" fontId="18" fillId="4" borderId="44" xfId="7" applyNumberFormat="1" applyFont="1" applyFill="1" applyBorder="1" applyAlignment="1">
      <alignment horizontal="centerContinuous"/>
    </xf>
    <xf numFmtId="3" fontId="18" fillId="4" borderId="43" xfId="7" applyNumberFormat="1" applyFont="1" applyFill="1" applyBorder="1" applyAlignment="1">
      <alignment horizontal="centerContinuous"/>
    </xf>
    <xf numFmtId="4" fontId="18" fillId="4" borderId="17" xfId="7" applyNumberFormat="1" applyFont="1" applyFill="1" applyBorder="1" applyAlignment="1">
      <alignment horizontal="center"/>
    </xf>
    <xf numFmtId="0" fontId="7" fillId="4" borderId="17" xfId="7" applyFont="1" applyFill="1" applyBorder="1" applyAlignment="1">
      <alignment horizontal="center"/>
    </xf>
    <xf numFmtId="168" fontId="18" fillId="4" borderId="17" xfId="7" applyNumberFormat="1" applyFont="1" applyFill="1" applyBorder="1" applyAlignment="1">
      <alignment horizontal="center"/>
    </xf>
    <xf numFmtId="4" fontId="18" fillId="4" borderId="17" xfId="7" quotePrefix="1" applyNumberFormat="1" applyFont="1" applyFill="1" applyBorder="1" applyAlignment="1">
      <alignment horizontal="center"/>
    </xf>
    <xf numFmtId="4" fontId="19" fillId="4" borderId="17" xfId="7" applyNumberFormat="1" applyFont="1" applyFill="1" applyBorder="1" applyAlignment="1">
      <alignment horizontal="center"/>
    </xf>
    <xf numFmtId="4" fontId="20" fillId="4" borderId="17" xfId="7" applyNumberFormat="1" applyFont="1" applyFill="1" applyBorder="1" applyAlignment="1">
      <alignment horizontal="center"/>
    </xf>
    <xf numFmtId="4" fontId="7" fillId="4" borderId="17" xfId="7" applyNumberFormat="1" applyFont="1" applyFill="1" applyBorder="1" applyAlignment="1">
      <alignment horizontal="center"/>
    </xf>
    <xf numFmtId="3" fontId="18" fillId="4" borderId="29" xfId="7" applyNumberFormat="1" applyFont="1" applyFill="1" applyBorder="1" applyAlignment="1">
      <alignment horizontal="center"/>
    </xf>
    <xf numFmtId="3" fontId="18" fillId="4" borderId="30" xfId="7" applyNumberFormat="1" applyFont="1" applyFill="1" applyBorder="1" applyAlignment="1">
      <alignment horizontal="center"/>
    </xf>
    <xf numFmtId="3" fontId="18" fillId="4" borderId="27" xfId="7" applyNumberFormat="1" applyFont="1" applyFill="1" applyBorder="1" applyAlignment="1">
      <alignment horizontal="center"/>
    </xf>
    <xf numFmtId="3" fontId="18" fillId="4" borderId="28" xfId="7" applyNumberFormat="1" applyFont="1" applyFill="1" applyBorder="1" applyAlignment="1">
      <alignment horizontal="center"/>
    </xf>
    <xf numFmtId="1" fontId="18" fillId="4" borderId="17" xfId="7" quotePrefix="1" applyNumberFormat="1" applyFont="1" applyFill="1" applyBorder="1" applyAlignment="1">
      <alignment horizontal="center"/>
    </xf>
    <xf numFmtId="168" fontId="18" fillId="4" borderId="17" xfId="7" applyNumberFormat="1" applyFont="1" applyFill="1" applyBorder="1" applyAlignment="1">
      <alignment horizontal="right"/>
    </xf>
    <xf numFmtId="4" fontId="18" fillId="4" borderId="40" xfId="7" applyNumberFormat="1" applyFont="1" applyFill="1" applyBorder="1" applyAlignment="1">
      <alignment horizontal="center"/>
    </xf>
    <xf numFmtId="4" fontId="18" fillId="4" borderId="26" xfId="7" applyNumberFormat="1" applyFont="1" applyFill="1" applyBorder="1" applyAlignment="1">
      <alignment horizontal="center"/>
    </xf>
    <xf numFmtId="168" fontId="19" fillId="4" borderId="29" xfId="7" applyNumberFormat="1" applyFont="1" applyFill="1" applyBorder="1" applyAlignment="1">
      <alignment horizontal="center"/>
    </xf>
    <xf numFmtId="168" fontId="19" fillId="4" borderId="30" xfId="7" applyNumberFormat="1" applyFont="1" applyFill="1" applyBorder="1" applyAlignment="1">
      <alignment horizontal="center"/>
    </xf>
    <xf numFmtId="168" fontId="19" fillId="4" borderId="27" xfId="7" applyNumberFormat="1" applyFont="1" applyFill="1" applyBorder="1" applyAlignment="1">
      <alignment horizontal="center"/>
    </xf>
    <xf numFmtId="168" fontId="19" fillId="4" borderId="28" xfId="7" applyNumberFormat="1" applyFont="1" applyFill="1" applyBorder="1" applyAlignment="1">
      <alignment horizontal="center"/>
    </xf>
    <xf numFmtId="9" fontId="18" fillId="4" borderId="40" xfId="7" applyNumberFormat="1" applyFont="1" applyFill="1" applyBorder="1" applyAlignment="1">
      <alignment horizontal="center"/>
    </xf>
    <xf numFmtId="0" fontId="18" fillId="4" borderId="5" xfId="7" applyFont="1" applyFill="1" applyBorder="1" applyAlignment="1">
      <alignment horizontal="center"/>
    </xf>
    <xf numFmtId="0" fontId="18" fillId="4" borderId="39" xfId="7" applyFont="1" applyFill="1" applyBorder="1" applyAlignment="1">
      <alignment horizontal="center"/>
    </xf>
    <xf numFmtId="0" fontId="18" fillId="4" borderId="38" xfId="7" applyFont="1" applyFill="1" applyBorder="1" applyAlignment="1">
      <alignment horizontal="center"/>
    </xf>
    <xf numFmtId="0" fontId="18" fillId="4" borderId="33" xfId="7" applyFont="1" applyFill="1" applyBorder="1" applyAlignment="1">
      <alignment horizontal="center"/>
    </xf>
    <xf numFmtId="3" fontId="18" fillId="4" borderId="37" xfId="7" quotePrefix="1" applyNumberFormat="1" applyFont="1" applyFill="1" applyBorder="1" applyAlignment="1">
      <alignment horizontal="center"/>
    </xf>
    <xf numFmtId="3" fontId="18" fillId="4" borderId="34" xfId="7" quotePrefix="1" applyNumberFormat="1" applyFont="1" applyFill="1" applyBorder="1" applyAlignment="1">
      <alignment horizontal="center"/>
    </xf>
    <xf numFmtId="3" fontId="18" fillId="4" borderId="35" xfId="7" quotePrefix="1" applyNumberFormat="1" applyFont="1" applyFill="1" applyBorder="1" applyAlignment="1">
      <alignment horizontal="center"/>
    </xf>
    <xf numFmtId="3" fontId="18" fillId="4" borderId="36" xfId="7" quotePrefix="1" applyNumberFormat="1" applyFont="1" applyFill="1" applyBorder="1" applyAlignment="1">
      <alignment horizontal="center"/>
    </xf>
    <xf numFmtId="4" fontId="18" fillId="4" borderId="5" xfId="7" applyNumberFormat="1" applyFont="1" applyFill="1" applyBorder="1" applyAlignment="1">
      <alignment horizontal="center"/>
    </xf>
    <xf numFmtId="168" fontId="18" fillId="4" borderId="5" xfId="7" applyNumberFormat="1" applyFont="1" applyFill="1" applyBorder="1" applyAlignment="1">
      <alignment horizontal="center"/>
    </xf>
    <xf numFmtId="3" fontId="18" fillId="7" borderId="19" xfId="7" quotePrefix="1" applyNumberFormat="1" applyFont="1" applyFill="1" applyBorder="1" applyAlignment="1">
      <alignment horizontal="centerContinuous"/>
    </xf>
    <xf numFmtId="0" fontId="14" fillId="0" borderId="68" xfId="7" quotePrefix="1" applyFont="1" applyBorder="1" applyAlignment="1">
      <alignment horizontal="center"/>
    </xf>
    <xf numFmtId="0" fontId="14" fillId="0" borderId="69" xfId="7" applyFont="1" applyBorder="1" applyAlignment="1">
      <alignment horizontal="left"/>
    </xf>
    <xf numFmtId="43" fontId="14" fillId="0" borderId="68" xfId="7" applyNumberFormat="1" applyFont="1" applyBorder="1"/>
    <xf numFmtId="43" fontId="14" fillId="0" borderId="68" xfId="7" applyNumberFormat="1" applyFont="1" applyBorder="1" applyAlignment="1">
      <alignment horizontal="right"/>
    </xf>
    <xf numFmtId="43" fontId="14" fillId="0" borderId="69" xfId="8" applyFont="1" applyBorder="1"/>
    <xf numFmtId="43" fontId="14" fillId="0" borderId="68" xfId="8" applyFont="1" applyBorder="1"/>
    <xf numFmtId="3" fontId="18" fillId="4" borderId="13" xfId="7" quotePrefix="1" applyNumberFormat="1" applyFont="1" applyFill="1" applyBorder="1" applyAlignment="1">
      <alignment horizontal="centerContinuous"/>
    </xf>
    <xf numFmtId="3" fontId="18" fillId="4" borderId="70" xfId="7" quotePrefix="1" applyNumberFormat="1" applyFont="1" applyFill="1" applyBorder="1" applyAlignment="1">
      <alignment horizontal="centerContinuous"/>
    </xf>
    <xf numFmtId="3" fontId="18" fillId="6" borderId="13" xfId="7" quotePrefix="1" applyNumberFormat="1" applyFont="1" applyFill="1" applyBorder="1" applyAlignment="1">
      <alignment horizontal="centerContinuous"/>
    </xf>
    <xf numFmtId="3" fontId="18" fillId="6" borderId="70" xfId="7" quotePrefix="1" applyNumberFormat="1" applyFont="1" applyFill="1" applyBorder="1" applyAlignment="1">
      <alignment horizontal="centerContinuous"/>
    </xf>
    <xf numFmtId="3" fontId="18" fillId="7" borderId="13" xfId="7" quotePrefix="1" applyNumberFormat="1" applyFont="1" applyFill="1" applyBorder="1" applyAlignment="1">
      <alignment horizontal="centerContinuous"/>
    </xf>
    <xf numFmtId="3" fontId="18" fillId="7" borderId="70" xfId="7" quotePrefix="1" applyNumberFormat="1" applyFont="1" applyFill="1" applyBorder="1" applyAlignment="1">
      <alignment horizontal="centerContinuous"/>
    </xf>
    <xf numFmtId="3" fontId="17" fillId="0" borderId="50" xfId="7" quotePrefix="1" applyNumberFormat="1" applyFont="1" applyBorder="1" applyAlignment="1">
      <alignment horizontal="center"/>
    </xf>
    <xf numFmtId="3" fontId="17" fillId="0" borderId="43" xfId="7" quotePrefix="1" applyNumberFormat="1" applyFont="1" applyBorder="1" applyAlignment="1">
      <alignment horizontal="center"/>
    </xf>
    <xf numFmtId="43" fontId="14" fillId="0" borderId="60" xfId="8" applyFont="1" applyBorder="1"/>
    <xf numFmtId="43" fontId="13" fillId="0" borderId="0" xfId="7" applyNumberFormat="1" applyFont="1"/>
    <xf numFmtId="4" fontId="18" fillId="7" borderId="1" xfId="7" applyNumberFormat="1" applyFont="1" applyFill="1" applyBorder="1" applyAlignment="1">
      <alignment horizontal="center"/>
    </xf>
    <xf numFmtId="43" fontId="14" fillId="0" borderId="6" xfId="8" applyFont="1" applyBorder="1"/>
    <xf numFmtId="4" fontId="18" fillId="4" borderId="1" xfId="7" applyNumberFormat="1" applyFont="1" applyFill="1" applyBorder="1" applyAlignment="1">
      <alignment horizontal="center"/>
    </xf>
    <xf numFmtId="4" fontId="17" fillId="0" borderId="5" xfId="7" applyNumberFormat="1" applyFont="1" applyBorder="1" applyAlignment="1">
      <alignment horizontal="center"/>
    </xf>
    <xf numFmtId="43" fontId="15" fillId="0" borderId="19" xfId="8" applyFont="1" applyBorder="1" applyAlignment="1">
      <alignment horizontal="center"/>
    </xf>
    <xf numFmtId="43" fontId="15" fillId="0" borderId="63" xfId="8" applyFont="1" applyBorder="1" applyAlignment="1">
      <alignment horizontal="center"/>
    </xf>
    <xf numFmtId="43" fontId="38" fillId="0" borderId="11" xfId="7" applyNumberFormat="1" applyFont="1" applyBorder="1" applyAlignment="1">
      <alignment horizontal="right"/>
    </xf>
    <xf numFmtId="0" fontId="38" fillId="5" borderId="11" xfId="7" applyFont="1" applyFill="1" applyBorder="1" applyAlignment="1">
      <alignment horizontal="center"/>
    </xf>
    <xf numFmtId="0" fontId="31" fillId="7" borderId="1" xfId="0" applyFont="1" applyFill="1" applyBorder="1" applyAlignment="1">
      <alignment horizontal="center"/>
    </xf>
    <xf numFmtId="0" fontId="6" fillId="0" borderId="0" xfId="9" applyFont="1" applyAlignment="1">
      <alignment horizontal="center"/>
    </xf>
    <xf numFmtId="0" fontId="24" fillId="0" borderId="4" xfId="9" applyFont="1" applyBorder="1" applyAlignment="1">
      <alignment horizontal="center"/>
    </xf>
    <xf numFmtId="0" fontId="24" fillId="0" borderId="41" xfId="9" applyFont="1" applyBorder="1" applyAlignment="1">
      <alignment horizontal="center"/>
    </xf>
    <xf numFmtId="0" fontId="24" fillId="0" borderId="1" xfId="9" applyFont="1" applyBorder="1" applyAlignment="1">
      <alignment horizontal="center"/>
    </xf>
    <xf numFmtId="0" fontId="24" fillId="0" borderId="17" xfId="9" applyFont="1" applyBorder="1"/>
    <xf numFmtId="0" fontId="24" fillId="0" borderId="26" xfId="9" applyFont="1" applyBorder="1"/>
    <xf numFmtId="0" fontId="28" fillId="0" borderId="1" xfId="9" applyFont="1" applyBorder="1" applyAlignment="1">
      <alignment horizontal="center" vertical="center"/>
    </xf>
    <xf numFmtId="0" fontId="24" fillId="0" borderId="41" xfId="9" applyFont="1" applyBorder="1" applyAlignment="1">
      <alignment horizontal="center" vertical="center"/>
    </xf>
    <xf numFmtId="0" fontId="24" fillId="0" borderId="4" xfId="9" applyFont="1" applyBorder="1" applyAlignment="1">
      <alignment horizontal="center" vertical="center"/>
    </xf>
    <xf numFmtId="0" fontId="25" fillId="0" borderId="1" xfId="9" applyFont="1" applyBorder="1" applyAlignment="1">
      <alignment horizontal="center"/>
    </xf>
    <xf numFmtId="0" fontId="25" fillId="0" borderId="4" xfId="9" applyFont="1" applyBorder="1" applyAlignment="1">
      <alignment horizontal="center"/>
    </xf>
    <xf numFmtId="2" fontId="24" fillId="0" borderId="4" xfId="9" applyNumberFormat="1" applyFont="1" applyBorder="1" applyAlignment="1">
      <alignment horizontal="center"/>
    </xf>
    <xf numFmtId="2" fontId="24" fillId="0" borderId="26" xfId="9" applyNumberFormat="1" applyFont="1" applyBorder="1" applyAlignment="1">
      <alignment horizontal="center"/>
    </xf>
    <xf numFmtId="0" fontId="24" fillId="0" borderId="17" xfId="9" applyFont="1" applyBorder="1" applyAlignment="1">
      <alignment horizontal="center"/>
    </xf>
    <xf numFmtId="0" fontId="28" fillId="0" borderId="4" xfId="9" applyFont="1" applyBorder="1" applyAlignment="1">
      <alignment horizontal="center"/>
    </xf>
    <xf numFmtId="0" fontId="24" fillId="0" borderId="39" xfId="9" applyFont="1" applyBorder="1" applyAlignment="1">
      <alignment horizontal="center"/>
    </xf>
    <xf numFmtId="0" fontId="25" fillId="0" borderId="39" xfId="9" applyFont="1" applyBorder="1" applyAlignment="1">
      <alignment horizontal="center"/>
    </xf>
    <xf numFmtId="0" fontId="24" fillId="0" borderId="5" xfId="9" applyFont="1" applyBorder="1" applyAlignment="1">
      <alignment horizontal="center"/>
    </xf>
    <xf numFmtId="0" fontId="24" fillId="0" borderId="5" xfId="9" applyFont="1" applyBorder="1" applyAlignment="1">
      <alignment vertical="center"/>
    </xf>
    <xf numFmtId="0" fontId="5" fillId="0" borderId="4" xfId="9" applyBorder="1" applyAlignment="1">
      <alignment horizontal="center" vertical="center"/>
    </xf>
    <xf numFmtId="0" fontId="7" fillId="0" borderId="4" xfId="9" applyFont="1" applyBorder="1" applyAlignment="1">
      <alignment horizontal="center" vertical="center"/>
    </xf>
    <xf numFmtId="0" fontId="24" fillId="0" borderId="26" xfId="9" applyFont="1" applyBorder="1" applyAlignment="1">
      <alignment horizontal="center"/>
    </xf>
    <xf numFmtId="0" fontId="24" fillId="0" borderId="26" xfId="9" applyFont="1" applyBorder="1" applyAlignment="1">
      <alignment horizontal="center" vertical="center"/>
    </xf>
    <xf numFmtId="0" fontId="24" fillId="0" borderId="17" xfId="9" applyFont="1" applyBorder="1" applyAlignment="1">
      <alignment horizontal="center" vertical="center"/>
    </xf>
    <xf numFmtId="0" fontId="24" fillId="0" borderId="4" xfId="9" applyFont="1" applyBorder="1"/>
    <xf numFmtId="0" fontId="7" fillId="0" borderId="17" xfId="9" applyFont="1" applyBorder="1" applyAlignment="1">
      <alignment horizontal="center"/>
    </xf>
    <xf numFmtId="0" fontId="24" fillId="0" borderId="0" xfId="9" applyFont="1" applyAlignment="1">
      <alignment horizontal="center"/>
    </xf>
    <xf numFmtId="2" fontId="24" fillId="0" borderId="17" xfId="9" applyNumberFormat="1" applyFont="1" applyBorder="1" applyAlignment="1">
      <alignment horizontal="center"/>
    </xf>
    <xf numFmtId="0" fontId="24" fillId="0" borderId="5" xfId="9" applyFont="1" applyBorder="1"/>
    <xf numFmtId="0" fontId="24" fillId="0" borderId="33" xfId="9" applyFont="1" applyBorder="1" applyAlignment="1">
      <alignment horizontal="center"/>
    </xf>
    <xf numFmtId="0" fontId="24" fillId="0" borderId="38" xfId="9" applyFont="1" applyBorder="1" applyAlignment="1">
      <alignment horizontal="center"/>
    </xf>
    <xf numFmtId="0" fontId="6" fillId="0" borderId="11" xfId="9" applyFont="1" applyBorder="1"/>
    <xf numFmtId="43" fontId="6" fillId="0" borderId="59" xfId="9" applyNumberFormat="1" applyFont="1" applyBorder="1"/>
    <xf numFmtId="43" fontId="6" fillId="0" borderId="57" xfId="9" applyNumberFormat="1" applyFont="1" applyBorder="1"/>
    <xf numFmtId="0" fontId="6" fillId="0" borderId="57" xfId="9" applyFont="1" applyBorder="1"/>
    <xf numFmtId="0" fontId="6" fillId="0" borderId="58" xfId="9" applyFont="1" applyBorder="1"/>
    <xf numFmtId="0" fontId="6" fillId="0" borderId="56" xfId="9" applyFont="1" applyBorder="1"/>
    <xf numFmtId="43" fontId="6" fillId="0" borderId="55" xfId="9" applyNumberFormat="1" applyFont="1" applyBorder="1"/>
    <xf numFmtId="43" fontId="6" fillId="0" borderId="58" xfId="9" applyNumberFormat="1" applyFont="1" applyBorder="1"/>
    <xf numFmtId="43" fontId="6" fillId="0" borderId="56" xfId="9" applyNumberFormat="1" applyFont="1" applyBorder="1"/>
    <xf numFmtId="0" fontId="6" fillId="0" borderId="55" xfId="9" applyFont="1" applyBorder="1"/>
    <xf numFmtId="0" fontId="6" fillId="0" borderId="22" xfId="9" applyFont="1" applyBorder="1"/>
    <xf numFmtId="0" fontId="6" fillId="0" borderId="71" xfId="9" applyFont="1" applyBorder="1"/>
    <xf numFmtId="0" fontId="24" fillId="0" borderId="6" xfId="9" applyFont="1" applyBorder="1"/>
    <xf numFmtId="0" fontId="27" fillId="0" borderId="23" xfId="9" applyFont="1" applyBorder="1"/>
    <xf numFmtId="43" fontId="24" fillId="0" borderId="22" xfId="9" applyNumberFormat="1" applyFont="1" applyBorder="1"/>
    <xf numFmtId="0" fontId="24" fillId="0" borderId="22" xfId="9" applyFont="1" applyBorder="1"/>
    <xf numFmtId="0" fontId="24" fillId="0" borderId="25" xfId="9" applyFont="1" applyBorder="1"/>
    <xf numFmtId="43" fontId="24" fillId="0" borderId="24" xfId="9" applyNumberFormat="1" applyFont="1" applyBorder="1"/>
    <xf numFmtId="43" fontId="24" fillId="0" borderId="21" xfId="9" applyNumberFormat="1" applyFont="1" applyBorder="1"/>
    <xf numFmtId="43" fontId="24" fillId="0" borderId="25" xfId="9" applyNumberFormat="1" applyFont="1" applyBorder="1"/>
    <xf numFmtId="43" fontId="24" fillId="0" borderId="21" xfId="9" applyNumberFormat="1" applyFont="1" applyBorder="1" applyAlignment="1">
      <alignment horizontal="center"/>
    </xf>
    <xf numFmtId="43" fontId="24" fillId="0" borderId="22" xfId="9" applyNumberFormat="1" applyFont="1" applyBorder="1" applyAlignment="1">
      <alignment horizontal="center"/>
    </xf>
    <xf numFmtId="43" fontId="24" fillId="0" borderId="24" xfId="9" applyNumberFormat="1" applyFont="1" applyBorder="1" applyAlignment="1">
      <alignment horizontal="center"/>
    </xf>
    <xf numFmtId="0" fontId="24" fillId="0" borderId="21" xfId="9" applyFont="1" applyBorder="1"/>
    <xf numFmtId="0" fontId="24" fillId="0" borderId="24" xfId="9" applyFont="1" applyBorder="1"/>
    <xf numFmtId="0" fontId="25" fillId="0" borderId="21" xfId="9" applyFont="1" applyBorder="1"/>
    <xf numFmtId="2" fontId="25" fillId="0" borderId="22" xfId="9" applyNumberFormat="1" applyFont="1" applyBorder="1"/>
    <xf numFmtId="43" fontId="25" fillId="0" borderId="22" xfId="9" applyNumberFormat="1" applyFont="1" applyBorder="1" applyAlignment="1">
      <alignment horizontal="center"/>
    </xf>
    <xf numFmtId="2" fontId="25" fillId="0" borderId="21" xfId="9" applyNumberFormat="1" applyFont="1" applyBorder="1"/>
    <xf numFmtId="4" fontId="24" fillId="0" borderId="0" xfId="9" applyNumberFormat="1" applyFont="1"/>
    <xf numFmtId="43" fontId="24" fillId="0" borderId="11" xfId="9" applyNumberFormat="1" applyFont="1" applyBorder="1"/>
    <xf numFmtId="43" fontId="25" fillId="0" borderId="21" xfId="9" applyNumberFormat="1" applyFont="1" applyBorder="1"/>
    <xf numFmtId="43" fontId="25" fillId="0" borderId="22" xfId="9" applyNumberFormat="1" applyFont="1" applyBorder="1"/>
    <xf numFmtId="43" fontId="24" fillId="0" borderId="68" xfId="9" applyNumberFormat="1" applyFont="1" applyBorder="1"/>
    <xf numFmtId="43" fontId="25" fillId="0" borderId="24" xfId="9" applyNumberFormat="1" applyFont="1" applyBorder="1"/>
    <xf numFmtId="43" fontId="25" fillId="0" borderId="25" xfId="9" applyNumberFormat="1" applyFont="1" applyBorder="1"/>
    <xf numFmtId="43" fontId="29" fillId="0" borderId="21" xfId="9" applyNumberFormat="1" applyFont="1" applyBorder="1"/>
    <xf numFmtId="2" fontId="24" fillId="0" borderId="21" xfId="9" applyNumberFormat="1" applyFont="1" applyBorder="1"/>
    <xf numFmtId="2" fontId="24" fillId="0" borderId="22" xfId="9" applyNumberFormat="1" applyFont="1" applyBorder="1"/>
    <xf numFmtId="2" fontId="24" fillId="0" borderId="25" xfId="9" applyNumberFormat="1" applyFont="1" applyBorder="1"/>
    <xf numFmtId="2" fontId="24" fillId="0" borderId="24" xfId="9" applyNumberFormat="1" applyFont="1" applyBorder="1"/>
    <xf numFmtId="0" fontId="24" fillId="0" borderId="11" xfId="9" applyFont="1" applyBorder="1"/>
    <xf numFmtId="43" fontId="26" fillId="0" borderId="21" xfId="9" applyNumberFormat="1" applyFont="1" applyBorder="1" applyAlignment="1">
      <alignment horizontal="right"/>
    </xf>
    <xf numFmtId="43" fontId="26" fillId="0" borderId="22" xfId="9" applyNumberFormat="1" applyFont="1" applyBorder="1"/>
    <xf numFmtId="43" fontId="26" fillId="0" borderId="25" xfId="9" applyNumberFormat="1" applyFont="1" applyBorder="1"/>
    <xf numFmtId="43" fontId="26" fillId="0" borderId="24" xfId="9" applyNumberFormat="1" applyFont="1" applyBorder="1"/>
    <xf numFmtId="43" fontId="26" fillId="0" borderId="21" xfId="9" applyNumberFormat="1" applyFont="1" applyBorder="1"/>
    <xf numFmtId="2" fontId="26" fillId="0" borderId="21" xfId="9" applyNumberFormat="1" applyFont="1" applyBorder="1"/>
    <xf numFmtId="2" fontId="26" fillId="0" borderId="22" xfId="9" applyNumberFormat="1" applyFont="1" applyBorder="1"/>
    <xf numFmtId="2" fontId="26" fillId="0" borderId="25" xfId="9" applyNumberFormat="1" applyFont="1" applyBorder="1"/>
    <xf numFmtId="2" fontId="26" fillId="0" borderId="24" xfId="9" applyNumberFormat="1" applyFont="1" applyBorder="1"/>
    <xf numFmtId="0" fontId="27" fillId="0" borderId="21" xfId="9" applyFont="1" applyBorder="1"/>
    <xf numFmtId="43" fontId="24" fillId="0" borderId="25" xfId="9" applyNumberFormat="1" applyFont="1" applyBorder="1" applyAlignment="1">
      <alignment horizontal="center"/>
    </xf>
    <xf numFmtId="0" fontId="25" fillId="0" borderId="11" xfId="9" applyFont="1" applyBorder="1"/>
    <xf numFmtId="43" fontId="25" fillId="0" borderId="21" xfId="9" applyNumberFormat="1" applyFont="1" applyBorder="1" applyAlignment="1">
      <alignment horizontal="center"/>
    </xf>
    <xf numFmtId="43" fontId="25" fillId="0" borderId="25" xfId="9" applyNumberFormat="1" applyFont="1" applyBorder="1" applyAlignment="1">
      <alignment horizontal="center"/>
    </xf>
    <xf numFmtId="43" fontId="25" fillId="0" borderId="24" xfId="9" applyNumberFormat="1" applyFont="1" applyBorder="1" applyAlignment="1">
      <alignment horizontal="center"/>
    </xf>
    <xf numFmtId="2" fontId="25" fillId="0" borderId="25" xfId="9" applyNumberFormat="1" applyFont="1" applyBorder="1"/>
    <xf numFmtId="2" fontId="25" fillId="0" borderId="24" xfId="9" applyNumberFormat="1" applyFont="1" applyBorder="1"/>
    <xf numFmtId="0" fontId="24" fillId="0" borderId="68" xfId="9" applyFont="1" applyBorder="1"/>
    <xf numFmtId="43" fontId="25" fillId="0" borderId="52" xfId="9" applyNumberFormat="1" applyFont="1" applyBorder="1"/>
    <xf numFmtId="43" fontId="24" fillId="0" borderId="52" xfId="9" applyNumberFormat="1" applyFont="1" applyBorder="1"/>
    <xf numFmtId="0" fontId="24" fillId="0" borderId="16" xfId="9" applyFont="1" applyBorder="1"/>
    <xf numFmtId="43" fontId="26" fillId="0" borderId="52" xfId="9" applyNumberFormat="1" applyFont="1" applyBorder="1"/>
    <xf numFmtId="43" fontId="24" fillId="0" borderId="51" xfId="9" applyNumberFormat="1" applyFont="1" applyBorder="1"/>
    <xf numFmtId="0" fontId="24" fillId="0" borderId="51" xfId="9" applyFont="1" applyBorder="1"/>
    <xf numFmtId="0" fontId="24" fillId="0" borderId="54" xfId="9" applyFont="1" applyBorder="1"/>
    <xf numFmtId="0" fontId="24" fillId="0" borderId="53" xfId="9" applyFont="1" applyBorder="1"/>
    <xf numFmtId="43" fontId="24" fillId="0" borderId="54" xfId="9" applyNumberFormat="1" applyFont="1" applyBorder="1"/>
    <xf numFmtId="43" fontId="24" fillId="0" borderId="53" xfId="9" applyNumberFormat="1" applyFont="1" applyBorder="1"/>
    <xf numFmtId="2" fontId="24" fillId="0" borderId="52" xfId="9" applyNumberFormat="1" applyFont="1" applyBorder="1"/>
    <xf numFmtId="2" fontId="24" fillId="0" borderId="51" xfId="9" applyNumberFormat="1" applyFont="1" applyBorder="1"/>
    <xf numFmtId="2" fontId="24" fillId="0" borderId="54" xfId="9" applyNumberFormat="1" applyFont="1" applyBorder="1"/>
    <xf numFmtId="2" fontId="24" fillId="0" borderId="53" xfId="9" applyNumberFormat="1" applyFont="1" applyBorder="1"/>
    <xf numFmtId="43" fontId="40" fillId="0" borderId="22" xfId="9" applyNumberFormat="1" applyFont="1" applyBorder="1"/>
    <xf numFmtId="43" fontId="24" fillId="0" borderId="27" xfId="9" applyNumberFormat="1" applyFont="1" applyBorder="1"/>
    <xf numFmtId="43" fontId="24" fillId="0" borderId="30" xfId="9" applyNumberFormat="1" applyFont="1" applyBorder="1"/>
    <xf numFmtId="0" fontId="24" fillId="0" borderId="30" xfId="9" applyFont="1" applyBorder="1"/>
    <xf numFmtId="0" fontId="24" fillId="0" borderId="50" xfId="9" applyFont="1" applyBorder="1"/>
    <xf numFmtId="0" fontId="24" fillId="0" borderId="28" xfId="9" applyFont="1" applyBorder="1"/>
    <xf numFmtId="43" fontId="24" fillId="0" borderId="50" xfId="9" applyNumberFormat="1" applyFont="1" applyBorder="1"/>
    <xf numFmtId="43" fontId="24" fillId="0" borderId="28" xfId="9" applyNumberFormat="1" applyFont="1" applyBorder="1"/>
    <xf numFmtId="2" fontId="24" fillId="0" borderId="27" xfId="9" applyNumberFormat="1" applyFont="1" applyBorder="1"/>
    <xf numFmtId="2" fontId="24" fillId="0" borderId="30" xfId="9" applyNumberFormat="1" applyFont="1" applyBorder="1"/>
    <xf numFmtId="2" fontId="24" fillId="0" borderId="50" xfId="9" applyNumberFormat="1" applyFont="1" applyBorder="1"/>
    <xf numFmtId="2" fontId="24" fillId="0" borderId="28" xfId="9" applyNumberFormat="1" applyFont="1" applyBorder="1"/>
    <xf numFmtId="0" fontId="24" fillId="0" borderId="49" xfId="9" applyFont="1" applyBorder="1"/>
    <xf numFmtId="43" fontId="24" fillId="0" borderId="48" xfId="9" applyNumberFormat="1" applyFont="1" applyBorder="1" applyAlignment="1">
      <alignment horizontal="centerContinuous"/>
    </xf>
    <xf numFmtId="43" fontId="26" fillId="0" borderId="47" xfId="9" applyNumberFormat="1" applyFont="1" applyBorder="1"/>
    <xf numFmtId="43" fontId="25" fillId="0" borderId="0" xfId="9" applyNumberFormat="1" applyFont="1"/>
    <xf numFmtId="43" fontId="37" fillId="0" borderId="69" xfId="7" applyNumberFormat="1" applyFont="1" applyBorder="1"/>
    <xf numFmtId="43" fontId="24" fillId="0" borderId="0" xfId="9" applyNumberFormat="1" applyFont="1" applyAlignment="1">
      <alignment horizontal="centerContinuous"/>
    </xf>
    <xf numFmtId="43" fontId="26" fillId="0" borderId="0" xfId="9" applyNumberFormat="1" applyFont="1"/>
    <xf numFmtId="2" fontId="26" fillId="0" borderId="0" xfId="9" applyNumberFormat="1" applyFont="1"/>
    <xf numFmtId="0" fontId="33" fillId="7" borderId="41" xfId="0" applyFont="1" applyFill="1" applyBorder="1" applyAlignment="1">
      <alignment horizontal="center"/>
    </xf>
    <xf numFmtId="0" fontId="33" fillId="7" borderId="26" xfId="0" applyFont="1" applyFill="1" applyBorder="1" applyAlignment="1">
      <alignment horizontal="center"/>
    </xf>
    <xf numFmtId="0" fontId="33" fillId="7" borderId="33" xfId="0" applyFont="1" applyFill="1" applyBorder="1" applyAlignment="1">
      <alignment horizontal="center"/>
    </xf>
    <xf numFmtId="2" fontId="31" fillId="0" borderId="58" xfId="0" applyNumberFormat="1" applyFont="1" applyBorder="1"/>
    <xf numFmtId="2" fontId="31" fillId="0" borderId="25" xfId="0" applyNumberFormat="1" applyFont="1" applyBorder="1"/>
    <xf numFmtId="2" fontId="31" fillId="0" borderId="25" xfId="0" applyNumberFormat="1" applyFont="1" applyBorder="1" applyAlignment="1">
      <alignment horizontal="right"/>
    </xf>
    <xf numFmtId="2" fontId="31" fillId="0" borderId="25" xfId="0" applyNumberFormat="1" applyFont="1" applyBorder="1" applyAlignment="1">
      <alignment horizontal="center"/>
    </xf>
    <xf numFmtId="2" fontId="31" fillId="0" borderId="14" xfId="0" applyNumberFormat="1" applyFont="1" applyBorder="1" applyAlignment="1">
      <alignment horizontal="right"/>
    </xf>
    <xf numFmtId="2" fontId="31" fillId="0" borderId="54" xfId="0" applyNumberFormat="1" applyFont="1" applyBorder="1"/>
    <xf numFmtId="2" fontId="31" fillId="0" borderId="77" xfId="0" applyNumberFormat="1" applyFont="1" applyBorder="1"/>
    <xf numFmtId="2" fontId="31" fillId="0" borderId="71" xfId="0" applyNumberFormat="1" applyFont="1" applyBorder="1" applyAlignment="1">
      <alignment horizontal="center"/>
    </xf>
    <xf numFmtId="2" fontId="31" fillId="0" borderId="78" xfId="0" applyNumberFormat="1" applyFont="1" applyBorder="1" applyAlignment="1">
      <alignment horizontal="center"/>
    </xf>
    <xf numFmtId="0" fontId="10" fillId="2" borderId="68" xfId="0" applyFont="1" applyFill="1" applyBorder="1" applyAlignment="1">
      <alignment horizontal="left"/>
    </xf>
    <xf numFmtId="0" fontId="6" fillId="0" borderId="59" xfId="9" applyFont="1" applyBorder="1"/>
    <xf numFmtId="0" fontId="31" fillId="4" borderId="1" xfId="0" applyFont="1" applyFill="1" applyBorder="1" applyAlignment="1">
      <alignment horizontal="center"/>
    </xf>
    <xf numFmtId="43" fontId="7" fillId="0" borderId="0" xfId="9" applyNumberFormat="1" applyFont="1"/>
    <xf numFmtId="165" fontId="7" fillId="0" borderId="0" xfId="9" applyNumberFormat="1" applyFont="1" applyAlignment="1">
      <alignment horizontal="center"/>
    </xf>
    <xf numFmtId="165" fontId="24" fillId="0" borderId="0" xfId="9" applyNumberFormat="1" applyFont="1"/>
    <xf numFmtId="43" fontId="7" fillId="0" borderId="84" xfId="13" applyNumberFormat="1" applyFont="1" applyBorder="1"/>
    <xf numFmtId="43" fontId="24" fillId="0" borderId="83" xfId="9" applyNumberFormat="1" applyFont="1" applyBorder="1"/>
    <xf numFmtId="43" fontId="24" fillId="0" borderId="84" xfId="9" applyNumberFormat="1" applyFont="1" applyBorder="1"/>
    <xf numFmtId="43" fontId="24" fillId="0" borderId="82" xfId="9" applyNumberFormat="1" applyFont="1" applyBorder="1"/>
    <xf numFmtId="0" fontId="24" fillId="0" borderId="82" xfId="9" applyFont="1" applyBorder="1"/>
    <xf numFmtId="43" fontId="24" fillId="0" borderId="84" xfId="9" applyNumberFormat="1" applyFont="1" applyBorder="1" applyAlignment="1">
      <alignment horizontal="center"/>
    </xf>
    <xf numFmtId="2" fontId="24" fillId="0" borderId="84" xfId="9" applyNumberFormat="1" applyFont="1" applyBorder="1"/>
    <xf numFmtId="0" fontId="7" fillId="0" borderId="84" xfId="13" applyFont="1" applyBorder="1"/>
    <xf numFmtId="165" fontId="18" fillId="0" borderId="0" xfId="9" applyNumberFormat="1" applyFont="1" applyAlignment="1">
      <alignment horizontal="center"/>
    </xf>
    <xf numFmtId="43" fontId="5" fillId="0" borderId="80" xfId="1" applyFont="1" applyBorder="1" applyAlignment="1">
      <alignment horizontal="center"/>
    </xf>
    <xf numFmtId="0" fontId="5" fillId="0" borderId="22" xfId="9" applyBorder="1"/>
    <xf numFmtId="2" fontId="44" fillId="0" borderId="22" xfId="9" applyNumberFormat="1" applyFont="1" applyBorder="1"/>
    <xf numFmtId="43" fontId="44" fillId="0" borderId="22" xfId="9" applyNumberFormat="1" applyFont="1" applyBorder="1"/>
    <xf numFmtId="43" fontId="5" fillId="0" borderId="22" xfId="9" applyNumberFormat="1" applyBorder="1"/>
    <xf numFmtId="43" fontId="5" fillId="2" borderId="80" xfId="1" applyFont="1" applyFill="1" applyBorder="1" applyAlignment="1">
      <alignment horizontal="center" vertical="center"/>
    </xf>
    <xf numFmtId="43" fontId="5" fillId="2" borderId="80" xfId="1" applyFont="1" applyFill="1" applyBorder="1" applyAlignment="1">
      <alignment horizontal="center"/>
    </xf>
    <xf numFmtId="43" fontId="43" fillId="0" borderId="80" xfId="1" applyFont="1" applyFill="1" applyBorder="1"/>
    <xf numFmtId="43" fontId="43" fillId="0" borderId="85" xfId="1" applyFont="1" applyFill="1" applyBorder="1"/>
    <xf numFmtId="43" fontId="43" fillId="0" borderId="86" xfId="1" applyFont="1" applyBorder="1" applyProtection="1">
      <protection locked="0"/>
    </xf>
    <xf numFmtId="43" fontId="43" fillId="0" borderId="87" xfId="1" applyFont="1" applyBorder="1" applyProtection="1">
      <protection locked="0"/>
    </xf>
    <xf numFmtId="43" fontId="43" fillId="0" borderId="80" xfId="1" applyFont="1" applyBorder="1" applyProtection="1">
      <protection locked="0"/>
    </xf>
    <xf numFmtId="165" fontId="43" fillId="0" borderId="80" xfId="10" applyFont="1" applyFill="1" applyBorder="1"/>
    <xf numFmtId="165" fontId="43" fillId="0" borderId="85" xfId="10" applyFont="1" applyFill="1" applyBorder="1"/>
    <xf numFmtId="0" fontId="24" fillId="0" borderId="13" xfId="9" applyFont="1" applyBorder="1" applyAlignment="1">
      <alignment horizontal="center"/>
    </xf>
    <xf numFmtId="2" fontId="24" fillId="0" borderId="90" xfId="9" applyNumberFormat="1" applyFont="1" applyBorder="1"/>
    <xf numFmtId="43" fontId="26" fillId="0" borderId="91" xfId="9" applyNumberFormat="1" applyFont="1" applyBorder="1"/>
    <xf numFmtId="2" fontId="24" fillId="0" borderId="92" xfId="9" applyNumberFormat="1" applyFont="1" applyBorder="1"/>
    <xf numFmtId="43" fontId="24" fillId="0" borderId="88" xfId="9" applyNumberFormat="1" applyFont="1" applyBorder="1"/>
    <xf numFmtId="43" fontId="25" fillId="0" borderId="91" xfId="9" applyNumberFormat="1" applyFont="1" applyBorder="1"/>
    <xf numFmtId="43" fontId="24" fillId="0" borderId="91" xfId="9" applyNumberFormat="1" applyFont="1" applyBorder="1"/>
    <xf numFmtId="166" fontId="50" fillId="0" borderId="0" xfId="0" applyNumberFormat="1" applyFont="1" applyAlignment="1">
      <alignment vertical="center"/>
    </xf>
    <xf numFmtId="0" fontId="50" fillId="0" borderId="0" xfId="2" applyFont="1" applyAlignment="1">
      <alignment horizontal="right"/>
    </xf>
    <xf numFmtId="0" fontId="49" fillId="0" borderId="0" xfId="0" applyFont="1" applyAlignment="1">
      <alignment vertical="top"/>
    </xf>
    <xf numFmtId="43" fontId="49" fillId="0" borderId="0" xfId="4" applyFont="1" applyFill="1" applyAlignment="1">
      <alignment horizontal="left" vertical="center"/>
    </xf>
    <xf numFmtId="43" fontId="49" fillId="0" borderId="0" xfId="1" applyFont="1" applyFill="1" applyAlignment="1">
      <alignment horizontal="right" vertical="center"/>
    </xf>
    <xf numFmtId="43" fontId="49" fillId="0" borderId="0" xfId="4" applyFont="1" applyFill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0" borderId="0" xfId="5" applyFont="1" applyAlignment="1">
      <alignment vertical="center"/>
    </xf>
    <xf numFmtId="0" fontId="49" fillId="0" borderId="0" xfId="0" applyFont="1" applyAlignment="1">
      <alignment horizontal="right" vertical="top" wrapText="1"/>
    </xf>
    <xf numFmtId="0" fontId="49" fillId="0" borderId="0" xfId="3" quotePrefix="1" applyFont="1" applyAlignment="1">
      <alignment vertical="center"/>
    </xf>
    <xf numFmtId="0" fontId="49" fillId="0" borderId="0" xfId="3" applyFont="1" applyAlignment="1">
      <alignment vertical="center"/>
    </xf>
    <xf numFmtId="0" fontId="49" fillId="0" borderId="0" xfId="3" applyFont="1" applyAlignment="1">
      <alignment horizontal="right" vertical="center"/>
    </xf>
    <xf numFmtId="0" fontId="50" fillId="0" borderId="0" xfId="0" applyFont="1" applyAlignment="1">
      <alignment vertical="center"/>
    </xf>
    <xf numFmtId="0" fontId="49" fillId="0" borderId="0" xfId="3" applyFont="1" applyAlignment="1">
      <alignment horizontal="left" vertical="center"/>
    </xf>
    <xf numFmtId="171" fontId="49" fillId="0" borderId="0" xfId="3" applyNumberFormat="1" applyFont="1" applyAlignment="1">
      <alignment horizontal="left" vertical="center"/>
    </xf>
    <xf numFmtId="0" fontId="49" fillId="0" borderId="17" xfId="0" applyFont="1" applyBorder="1" applyAlignment="1">
      <alignment horizontal="center"/>
    </xf>
    <xf numFmtId="43" fontId="50" fillId="0" borderId="40" xfId="1" applyFont="1" applyFill="1" applyBorder="1"/>
    <xf numFmtId="0" fontId="50" fillId="0" borderId="17" xfId="0" applyFont="1" applyBorder="1" applyAlignment="1">
      <alignment horizontal="center"/>
    </xf>
    <xf numFmtId="0" fontId="50" fillId="0" borderId="0" xfId="0" applyFont="1"/>
    <xf numFmtId="10" fontId="50" fillId="0" borderId="4" xfId="0" applyNumberFormat="1" applyFont="1" applyBorder="1"/>
    <xf numFmtId="10" fontId="50" fillId="0" borderId="88" xfId="0" applyNumberFormat="1" applyFont="1" applyBorder="1"/>
    <xf numFmtId="0" fontId="49" fillId="0" borderId="0" xfId="0" applyFont="1"/>
    <xf numFmtId="43" fontId="50" fillId="0" borderId="0" xfId="0" applyNumberFormat="1" applyFont="1"/>
    <xf numFmtId="43" fontId="43" fillId="0" borderId="4" xfId="1" applyFont="1" applyFill="1" applyBorder="1"/>
    <xf numFmtId="43" fontId="43" fillId="0" borderId="88" xfId="1" applyFont="1" applyFill="1" applyBorder="1"/>
    <xf numFmtId="0" fontId="43" fillId="0" borderId="40" xfId="0" applyFont="1" applyBorder="1" applyAlignment="1">
      <alignment horizontal="left"/>
    </xf>
    <xf numFmtId="0" fontId="43" fillId="0" borderId="26" xfId="0" applyFont="1" applyBorder="1" applyAlignment="1">
      <alignment horizontal="left"/>
    </xf>
    <xf numFmtId="43" fontId="43" fillId="0" borderId="1" xfId="1" applyFont="1" applyFill="1" applyBorder="1"/>
    <xf numFmtId="0" fontId="43" fillId="0" borderId="4" xfId="0" applyFont="1" applyBorder="1" applyAlignment="1">
      <alignment horizontal="center"/>
    </xf>
    <xf numFmtId="0" fontId="43" fillId="0" borderId="88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43" fontId="52" fillId="0" borderId="0" xfId="32" applyNumberFormat="1" applyFont="1"/>
    <xf numFmtId="0" fontId="54" fillId="0" borderId="0" xfId="42" applyFont="1"/>
    <xf numFmtId="0" fontId="54" fillId="0" borderId="40" xfId="41" applyFont="1" applyBorder="1"/>
    <xf numFmtId="9" fontId="52" fillId="0" borderId="26" xfId="41" applyNumberFormat="1" applyFont="1" applyBorder="1" applyAlignment="1">
      <alignment horizontal="center"/>
    </xf>
    <xf numFmtId="43" fontId="52" fillId="0" borderId="106" xfId="32" applyNumberFormat="1" applyFont="1" applyBorder="1" applyAlignment="1">
      <alignment vertical="top"/>
    </xf>
    <xf numFmtId="43" fontId="52" fillId="0" borderId="107" xfId="32" applyNumberFormat="1" applyFont="1" applyBorder="1"/>
    <xf numFmtId="43" fontId="52" fillId="0" borderId="26" xfId="32" applyNumberFormat="1" applyFont="1" applyBorder="1"/>
    <xf numFmtId="9" fontId="53" fillId="9" borderId="26" xfId="41" applyNumberFormat="1" applyFont="1" applyFill="1" applyBorder="1" applyAlignment="1">
      <alignment horizontal="center"/>
    </xf>
    <xf numFmtId="40" fontId="52" fillId="0" borderId="26" xfId="43" applyFont="1" applyFill="1" applyBorder="1"/>
    <xf numFmtId="43" fontId="52" fillId="0" borderId="0" xfId="32" applyNumberFormat="1" applyFont="1" applyAlignment="1">
      <alignment horizontal="center" vertical="center"/>
    </xf>
    <xf numFmtId="43" fontId="56" fillId="0" borderId="98" xfId="32" applyNumberFormat="1" applyFont="1" applyBorder="1"/>
    <xf numFmtId="0" fontId="54" fillId="0" borderId="99" xfId="41" applyFont="1" applyBorder="1"/>
    <xf numFmtId="0" fontId="52" fillId="9" borderId="108" xfId="41" applyFont="1" applyFill="1" applyBorder="1" applyAlignment="1">
      <alignment horizontal="center"/>
    </xf>
    <xf numFmtId="0" fontId="52" fillId="9" borderId="76" xfId="41" applyFont="1" applyFill="1" applyBorder="1" applyAlignment="1">
      <alignment horizontal="center"/>
    </xf>
    <xf numFmtId="43" fontId="55" fillId="0" borderId="0" xfId="32" applyNumberFormat="1" applyFont="1" applyAlignment="1">
      <alignment horizontal="right"/>
    </xf>
    <xf numFmtId="172" fontId="57" fillId="9" borderId="4" xfId="32" applyNumberFormat="1" applyFont="1" applyFill="1" applyBorder="1"/>
    <xf numFmtId="43" fontId="55" fillId="0" borderId="0" xfId="32" applyNumberFormat="1" applyFont="1"/>
    <xf numFmtId="0" fontId="52" fillId="9" borderId="74" xfId="41" applyFont="1" applyFill="1" applyBorder="1" applyAlignment="1">
      <alignment horizontal="center"/>
    </xf>
    <xf numFmtId="0" fontId="54" fillId="9" borderId="99" xfId="41" applyFont="1" applyFill="1" applyBorder="1"/>
    <xf numFmtId="43" fontId="52" fillId="0" borderId="0" xfId="32" applyNumberFormat="1" applyFont="1" applyAlignment="1">
      <alignment horizontal="right"/>
    </xf>
    <xf numFmtId="43" fontId="52" fillId="12" borderId="109" xfId="1" applyFont="1" applyFill="1" applyBorder="1"/>
    <xf numFmtId="172" fontId="54" fillId="0" borderId="1" xfId="32" applyNumberFormat="1" applyFont="1" applyBorder="1"/>
    <xf numFmtId="43" fontId="58" fillId="0" borderId="0" xfId="32" applyNumberFormat="1" applyFont="1" applyAlignment="1">
      <alignment horizontal="right"/>
    </xf>
    <xf numFmtId="172" fontId="57" fillId="9" borderId="5" xfId="32" applyNumberFormat="1" applyFont="1" applyFill="1" applyBorder="1"/>
    <xf numFmtId="43" fontId="58" fillId="0" borderId="0" xfId="32" applyNumberFormat="1" applyFont="1" applyFill="1"/>
    <xf numFmtId="43" fontId="59" fillId="0" borderId="0" xfId="32" applyNumberFormat="1" applyFont="1" applyAlignment="1">
      <alignment horizontal="right"/>
    </xf>
    <xf numFmtId="176" fontId="60" fillId="9" borderId="1" xfId="32" applyNumberFormat="1" applyFont="1" applyFill="1" applyBorder="1"/>
    <xf numFmtId="176" fontId="61" fillId="13" borderId="109" xfId="32" applyNumberFormat="1" applyFont="1" applyFill="1" applyBorder="1"/>
    <xf numFmtId="177" fontId="53" fillId="0" borderId="0" xfId="32" applyNumberFormat="1" applyFont="1"/>
    <xf numFmtId="43" fontId="59" fillId="0" borderId="5" xfId="32" applyNumberFormat="1" applyFont="1" applyBorder="1"/>
    <xf numFmtId="43" fontId="52" fillId="0" borderId="102" xfId="32" applyNumberFormat="1" applyFont="1" applyBorder="1"/>
    <xf numFmtId="43" fontId="52" fillId="0" borderId="111" xfId="32" applyNumberFormat="1" applyFont="1" applyBorder="1"/>
    <xf numFmtId="43" fontId="62" fillId="0" borderId="0" xfId="32" applyNumberFormat="1" applyFont="1" applyAlignment="1">
      <alignment horizontal="right"/>
    </xf>
    <xf numFmtId="172" fontId="55" fillId="0" borderId="0" xfId="32" applyNumberFormat="1" applyFont="1" applyBorder="1"/>
    <xf numFmtId="172" fontId="54" fillId="0" borderId="1" xfId="32" applyNumberFormat="1" applyFont="1" applyBorder="1" applyAlignment="1">
      <alignment horizontal="right"/>
    </xf>
    <xf numFmtId="40" fontId="63" fillId="0" borderId="40" xfId="43" applyFont="1" applyFill="1" applyBorder="1" applyAlignment="1"/>
    <xf numFmtId="40" fontId="63" fillId="0" borderId="26" xfId="43" applyFont="1" applyFill="1" applyBorder="1" applyAlignment="1"/>
    <xf numFmtId="43" fontId="52" fillId="10" borderId="1" xfId="1" applyFont="1" applyFill="1" applyBorder="1"/>
    <xf numFmtId="43" fontId="52" fillId="11" borderId="42" xfId="43" applyNumberFormat="1" applyFont="1" applyFill="1" applyBorder="1"/>
    <xf numFmtId="43" fontId="52" fillId="11" borderId="0" xfId="43" applyNumberFormat="1" applyFont="1" applyFill="1" applyBorder="1"/>
    <xf numFmtId="175" fontId="52" fillId="0" borderId="110" xfId="0" applyNumberFormat="1" applyFont="1" applyBorder="1" applyAlignment="1">
      <alignment horizontal="center"/>
    </xf>
    <xf numFmtId="175" fontId="52" fillId="0" borderId="33" xfId="0" applyNumberFormat="1" applyFont="1" applyBorder="1" applyAlignment="1">
      <alignment horizontal="center"/>
    </xf>
    <xf numFmtId="175" fontId="52" fillId="0" borderId="3" xfId="0" applyNumberFormat="1" applyFont="1" applyBorder="1" applyAlignment="1">
      <alignment horizont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43" fillId="0" borderId="4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88" xfId="0" applyFont="1" applyBorder="1" applyAlignment="1">
      <alignment horizontal="left"/>
    </xf>
    <xf numFmtId="0" fontId="43" fillId="0" borderId="64" xfId="0" applyFont="1" applyBorder="1" applyAlignment="1">
      <alignment horizontal="left"/>
    </xf>
    <xf numFmtId="0" fontId="43" fillId="0" borderId="93" xfId="0" applyFont="1" applyBorder="1" applyAlignment="1">
      <alignment horizontal="left"/>
    </xf>
    <xf numFmtId="43" fontId="43" fillId="0" borderId="0" xfId="1" applyFont="1" applyFill="1" applyBorder="1" applyAlignment="1">
      <alignment horizontal="center" vertical="center"/>
    </xf>
    <xf numFmtId="0" fontId="43" fillId="0" borderId="17" xfId="0" applyFont="1" applyBorder="1" applyAlignment="1">
      <alignment horizontal="center"/>
    </xf>
    <xf numFmtId="0" fontId="43" fillId="0" borderId="81" xfId="0" applyFont="1" applyBorder="1" applyAlignment="1">
      <alignment horizontal="center"/>
    </xf>
    <xf numFmtId="43" fontId="43" fillId="0" borderId="81" xfId="1" applyFont="1" applyFill="1" applyBorder="1"/>
    <xf numFmtId="10" fontId="50" fillId="0" borderId="81" xfId="0" applyNumberFormat="1" applyFont="1" applyBorder="1"/>
    <xf numFmtId="0" fontId="43" fillId="0" borderId="0" xfId="0" applyFont="1"/>
    <xf numFmtId="0" fontId="43" fillId="0" borderId="0" xfId="0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vertical="top"/>
    </xf>
    <xf numFmtId="0" fontId="64" fillId="0" borderId="0" xfId="0" applyFont="1" applyAlignment="1">
      <alignment vertical="center"/>
    </xf>
    <xf numFmtId="0" fontId="64" fillId="0" borderId="0" xfId="0" applyFont="1" applyAlignment="1">
      <alignment horizontal="left" vertical="top" wrapText="1"/>
    </xf>
    <xf numFmtId="171" fontId="64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43" fontId="43" fillId="0" borderId="0" xfId="0" applyNumberFormat="1" applyFont="1" applyAlignment="1">
      <alignment horizontal="center" vertical="center"/>
    </xf>
    <xf numFmtId="43" fontId="43" fillId="0" borderId="0" xfId="1" applyFont="1" applyAlignment="1">
      <alignment vertical="center"/>
    </xf>
    <xf numFmtId="165" fontId="43" fillId="0" borderId="4" xfId="1" applyNumberFormat="1" applyFont="1" applyBorder="1" applyAlignment="1">
      <alignment horizontal="right" vertical="center"/>
    </xf>
    <xf numFmtId="170" fontId="43" fillId="0" borderId="10" xfId="1" applyNumberFormat="1" applyFont="1" applyBorder="1" applyAlignment="1">
      <alignment horizontal="center" vertical="center"/>
    </xf>
    <xf numFmtId="165" fontId="43" fillId="0" borderId="10" xfId="1" applyNumberFormat="1" applyFont="1" applyBorder="1" applyAlignment="1">
      <alignment horizontal="right" vertical="center"/>
    </xf>
    <xf numFmtId="165" fontId="65" fillId="0" borderId="4" xfId="1" applyNumberFormat="1" applyFont="1" applyBorder="1" applyAlignment="1">
      <alignment horizontal="right" vertical="center"/>
    </xf>
    <xf numFmtId="43" fontId="65" fillId="0" borderId="0" xfId="1" applyFont="1" applyAlignment="1">
      <alignment vertical="center"/>
    </xf>
    <xf numFmtId="0" fontId="43" fillId="0" borderId="88" xfId="0" applyFont="1" applyBorder="1" applyAlignment="1">
      <alignment horizontal="center" vertical="center"/>
    </xf>
    <xf numFmtId="165" fontId="43" fillId="0" borderId="88" xfId="1" applyNumberFormat="1" applyFont="1" applyBorder="1" applyAlignment="1">
      <alignment horizontal="right" vertical="center"/>
    </xf>
    <xf numFmtId="170" fontId="43" fillId="0" borderId="88" xfId="1" applyNumberFormat="1" applyFont="1" applyBorder="1" applyAlignment="1">
      <alignment horizontal="center" vertical="center"/>
    </xf>
    <xf numFmtId="165" fontId="65" fillId="0" borderId="88" xfId="1" applyNumberFormat="1" applyFont="1" applyBorder="1" applyAlignment="1">
      <alignment horizontal="right" vertical="center"/>
    </xf>
    <xf numFmtId="0" fontId="43" fillId="0" borderId="88" xfId="0" applyFont="1" applyBorder="1" applyAlignment="1">
      <alignment horizontal="left" vertical="center"/>
    </xf>
    <xf numFmtId="0" fontId="43" fillId="0" borderId="81" xfId="0" applyFont="1" applyBorder="1" applyAlignment="1">
      <alignment horizontal="center" vertical="center"/>
    </xf>
    <xf numFmtId="165" fontId="43" fillId="0" borderId="81" xfId="1" applyNumberFormat="1" applyFont="1" applyBorder="1" applyAlignment="1">
      <alignment horizontal="right" vertical="center"/>
    </xf>
    <xf numFmtId="170" fontId="43" fillId="0" borderId="81" xfId="1" applyNumberFormat="1" applyFont="1" applyBorder="1" applyAlignment="1">
      <alignment horizontal="center" vertical="center"/>
    </xf>
    <xf numFmtId="165" fontId="65" fillId="0" borderId="17" xfId="1" applyNumberFormat="1" applyFont="1" applyBorder="1" applyAlignment="1">
      <alignment horizontal="right" vertical="center"/>
    </xf>
    <xf numFmtId="0" fontId="43" fillId="0" borderId="1" xfId="0" applyFont="1" applyBorder="1" applyAlignment="1">
      <alignment horizontal="center" vertical="center"/>
    </xf>
    <xf numFmtId="165" fontId="43" fillId="0" borderId="5" xfId="1" applyNumberFormat="1" applyFont="1" applyBorder="1" applyAlignment="1">
      <alignment horizontal="right" vertical="center"/>
    </xf>
    <xf numFmtId="165" fontId="65" fillId="0" borderId="64" xfId="1" applyNumberFormat="1" applyFont="1" applyBorder="1" applyAlignment="1">
      <alignment horizontal="right" vertical="center"/>
    </xf>
    <xf numFmtId="43" fontId="43" fillId="0" borderId="0" xfId="0" applyNumberFormat="1" applyFont="1" applyAlignment="1">
      <alignment vertical="center"/>
    </xf>
    <xf numFmtId="43" fontId="65" fillId="0" borderId="1" xfId="1" applyFont="1" applyBorder="1" applyAlignment="1">
      <alignment horizontal="center" vertical="center"/>
    </xf>
    <xf numFmtId="0" fontId="43" fillId="0" borderId="4" xfId="0" applyFont="1" applyBorder="1" applyAlignment="1">
      <alignment horizontal="right" vertical="center"/>
    </xf>
    <xf numFmtId="165" fontId="64" fillId="0" borderId="4" xfId="1" applyNumberFormat="1" applyFont="1" applyBorder="1" applyAlignment="1">
      <alignment horizontal="right" vertical="center"/>
    </xf>
    <xf numFmtId="165" fontId="65" fillId="0" borderId="4" xfId="0" applyNumberFormat="1" applyFont="1" applyBorder="1" applyAlignment="1">
      <alignment horizontal="center" vertical="center"/>
    </xf>
    <xf numFmtId="0" fontId="43" fillId="0" borderId="88" xfId="0" applyFont="1" applyBorder="1" applyAlignment="1">
      <alignment horizontal="right" vertical="center"/>
    </xf>
    <xf numFmtId="0" fontId="43" fillId="0" borderId="49" xfId="0" applyFont="1" applyBorder="1" applyAlignment="1">
      <alignment horizontal="center" vertical="center"/>
    </xf>
    <xf numFmtId="165" fontId="43" fillId="0" borderId="49" xfId="1" applyNumberFormat="1" applyFont="1" applyBorder="1" applyAlignment="1">
      <alignment horizontal="right" vertical="center"/>
    </xf>
    <xf numFmtId="43" fontId="43" fillId="0" borderId="0" xfId="1" applyFont="1" applyAlignment="1">
      <alignment horizontal="center"/>
    </xf>
    <xf numFmtId="0" fontId="43" fillId="0" borderId="0" xfId="0" applyFont="1" applyAlignment="1">
      <alignment horizontal="left"/>
    </xf>
    <xf numFmtId="43" fontId="43" fillId="0" borderId="0" xfId="0" applyNumberFormat="1" applyFont="1"/>
    <xf numFmtId="0" fontId="49" fillId="0" borderId="0" xfId="0" applyFont="1" applyAlignment="1">
      <alignment horizontal="left" vertical="top"/>
    </xf>
    <xf numFmtId="0" fontId="49" fillId="0" borderId="0" xfId="0" applyFont="1" applyAlignment="1">
      <alignment horizontal="center" vertical="top"/>
    </xf>
    <xf numFmtId="43" fontId="49" fillId="0" borderId="0" xfId="0" applyNumberFormat="1" applyFont="1" applyAlignment="1">
      <alignment vertical="top" wrapText="1"/>
    </xf>
    <xf numFmtId="0" fontId="49" fillId="0" borderId="0" xfId="0" applyFont="1" applyAlignment="1">
      <alignment vertical="top" wrapText="1"/>
    </xf>
    <xf numFmtId="0" fontId="49" fillId="0" borderId="0" xfId="0" applyFont="1" applyAlignment="1">
      <alignment horizontal="left" vertical="top" wrapText="1"/>
    </xf>
    <xf numFmtId="171" fontId="49" fillId="0" borderId="0" xfId="0" applyNumberFormat="1" applyFont="1" applyAlignment="1">
      <alignment horizontal="left" vertical="top" wrapText="1"/>
    </xf>
    <xf numFmtId="0" fontId="43" fillId="0" borderId="74" xfId="0" applyFont="1" applyBorder="1" applyAlignment="1">
      <alignment horizontal="center" vertical="center"/>
    </xf>
    <xf numFmtId="165" fontId="43" fillId="0" borderId="74" xfId="1" applyNumberFormat="1" applyFont="1" applyBorder="1" applyAlignment="1">
      <alignment horizontal="right" vertical="center"/>
    </xf>
    <xf numFmtId="165" fontId="64" fillId="3" borderId="74" xfId="0" applyNumberFormat="1" applyFont="1" applyFill="1" applyBorder="1"/>
    <xf numFmtId="166" fontId="43" fillId="0" borderId="0" xfId="0" applyNumberFormat="1" applyFont="1" applyAlignment="1">
      <alignment vertical="center"/>
    </xf>
    <xf numFmtId="0" fontId="43" fillId="0" borderId="0" xfId="2" applyFont="1" applyAlignment="1">
      <alignment vertical="center"/>
    </xf>
    <xf numFmtId="43" fontId="43" fillId="0" borderId="0" xfId="1" applyFont="1" applyFill="1" applyAlignment="1">
      <alignment vertical="center"/>
    </xf>
    <xf numFmtId="166" fontId="43" fillId="0" borderId="0" xfId="0" applyNumberFormat="1" applyFont="1" applyAlignment="1">
      <alignment horizontal="center" vertical="center"/>
    </xf>
    <xf numFmtId="166" fontId="43" fillId="0" borderId="0" xfId="0" applyNumberFormat="1" applyFont="1" applyAlignment="1">
      <alignment horizontal="left" vertical="center"/>
    </xf>
    <xf numFmtId="43" fontId="43" fillId="0" borderId="0" xfId="4" applyFont="1" applyFill="1" applyBorder="1" applyAlignment="1">
      <alignment vertical="center"/>
    </xf>
    <xf numFmtId="43" fontId="43" fillId="0" borderId="0" xfId="1" applyFont="1" applyFill="1" applyBorder="1" applyAlignment="1">
      <alignment horizontal="right" vertical="center"/>
    </xf>
    <xf numFmtId="43" fontId="43" fillId="0" borderId="0" xfId="1" applyFont="1" applyFill="1" applyBorder="1" applyAlignment="1">
      <alignment horizontal="left" vertical="center"/>
    </xf>
    <xf numFmtId="0" fontId="43" fillId="0" borderId="0" xfId="5" applyFont="1" applyAlignment="1">
      <alignment vertical="center"/>
    </xf>
    <xf numFmtId="0" fontId="43" fillId="0" borderId="0" xfId="0" applyFont="1" applyAlignment="1">
      <alignment horizontal="right" vertical="top" wrapText="1"/>
    </xf>
    <xf numFmtId="43" fontId="43" fillId="0" borderId="0" xfId="0" applyNumberFormat="1" applyFont="1" applyAlignment="1">
      <alignment horizontal="left" vertical="top" wrapText="1"/>
    </xf>
    <xf numFmtId="0" fontId="43" fillId="0" borderId="0" xfId="3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3" applyFont="1" applyAlignment="1">
      <alignment horizontal="left" vertical="center"/>
    </xf>
    <xf numFmtId="43" fontId="43" fillId="0" borderId="0" xfId="1" applyFont="1" applyFill="1" applyAlignment="1">
      <alignment horizontal="left" vertical="center"/>
    </xf>
    <xf numFmtId="0" fontId="43" fillId="0" borderId="0" xfId="3" applyFont="1" applyAlignment="1">
      <alignment horizontal="center" vertical="center"/>
    </xf>
    <xf numFmtId="0" fontId="43" fillId="0" borderId="0" xfId="3" applyFont="1" applyAlignment="1">
      <alignment horizontal="right" vertical="center"/>
    </xf>
    <xf numFmtId="43" fontId="43" fillId="0" borderId="1" xfId="1" applyFont="1" applyFill="1" applyBorder="1" applyAlignment="1">
      <alignment horizontal="center" vertical="center"/>
    </xf>
    <xf numFmtId="43" fontId="43" fillId="0" borderId="1" xfId="1" applyFont="1" applyFill="1" applyBorder="1" applyAlignment="1">
      <alignment horizontal="center" vertical="center" wrapText="1"/>
    </xf>
    <xf numFmtId="0" fontId="43" fillId="0" borderId="88" xfId="3" applyFont="1" applyBorder="1" applyAlignment="1">
      <alignment horizontal="center" vertical="center"/>
    </xf>
    <xf numFmtId="43" fontId="43" fillId="0" borderId="39" xfId="1" applyFont="1" applyFill="1" applyBorder="1" applyAlignment="1">
      <alignment horizontal="center" vertical="center"/>
    </xf>
    <xf numFmtId="43" fontId="43" fillId="0" borderId="64" xfId="1" applyFont="1" applyFill="1" applyBorder="1" applyAlignment="1">
      <alignment horizontal="center" vertical="center"/>
    </xf>
    <xf numFmtId="43" fontId="43" fillId="0" borderId="112" xfId="1" applyFont="1" applyFill="1" applyBorder="1" applyAlignment="1">
      <alignment horizontal="center" vertical="center"/>
    </xf>
    <xf numFmtId="43" fontId="43" fillId="0" borderId="80" xfId="1" applyFont="1" applyFill="1" applyBorder="1" applyAlignment="1">
      <alignment horizontal="center" vertical="center"/>
    </xf>
    <xf numFmtId="43" fontId="43" fillId="0" borderId="9" xfId="1" applyFont="1" applyFill="1" applyBorder="1" applyAlignment="1">
      <alignment horizontal="center" vertical="center"/>
    </xf>
    <xf numFmtId="43" fontId="43" fillId="0" borderId="80" xfId="1" applyFont="1" applyFill="1" applyBorder="1" applyAlignment="1">
      <alignment horizontal="center" vertical="center" wrapText="1"/>
    </xf>
    <xf numFmtId="43" fontId="43" fillId="0" borderId="8" xfId="1" applyFont="1" applyFill="1" applyBorder="1" applyAlignment="1">
      <alignment horizontal="left" vertical="center" wrapText="1"/>
    </xf>
    <xf numFmtId="0" fontId="43" fillId="0" borderId="88" xfId="0" applyFont="1" applyBorder="1" applyAlignment="1">
      <alignment vertical="center"/>
    </xf>
    <xf numFmtId="0" fontId="66" fillId="0" borderId="88" xfId="0" applyFont="1" applyBorder="1" applyAlignment="1">
      <alignment vertical="center"/>
    </xf>
    <xf numFmtId="43" fontId="43" fillId="0" borderId="88" xfId="1" applyFont="1" applyFill="1" applyBorder="1" applyAlignment="1">
      <alignment vertical="center"/>
    </xf>
    <xf numFmtId="165" fontId="43" fillId="0" borderId="88" xfId="17" applyNumberFormat="1" applyFont="1" applyFill="1" applyBorder="1" applyAlignment="1">
      <alignment horizontal="center" vertical="center"/>
    </xf>
    <xf numFmtId="165" fontId="43" fillId="0" borderId="93" xfId="17" applyNumberFormat="1" applyFont="1" applyFill="1" applyBorder="1" applyAlignment="1" applyProtection="1">
      <alignment horizontal="center" vertical="center"/>
      <protection locked="0"/>
    </xf>
    <xf numFmtId="165" fontId="43" fillId="0" borderId="88" xfId="17" applyNumberFormat="1" applyFont="1" applyFill="1" applyBorder="1" applyAlignment="1" applyProtection="1">
      <alignment horizontal="center" vertical="center"/>
      <protection locked="0"/>
    </xf>
    <xf numFmtId="165" fontId="43" fillId="0" borderId="94" xfId="17" applyNumberFormat="1" applyFont="1" applyFill="1" applyBorder="1" applyAlignment="1">
      <alignment horizontal="left" vertical="center"/>
    </xf>
    <xf numFmtId="43" fontId="43" fillId="0" borderId="88" xfId="1" applyFont="1" applyFill="1" applyBorder="1" applyAlignment="1">
      <alignment horizontal="center"/>
    </xf>
    <xf numFmtId="165" fontId="43" fillId="0" borderId="88" xfId="1" applyNumberFormat="1" applyFont="1" applyFill="1" applyBorder="1" applyAlignment="1">
      <alignment horizontal="center"/>
    </xf>
    <xf numFmtId="165" fontId="43" fillId="0" borderId="93" xfId="17" applyNumberFormat="1" applyFont="1" applyFill="1" applyBorder="1" applyAlignment="1">
      <alignment horizontal="center" vertical="center"/>
    </xf>
    <xf numFmtId="43" fontId="43" fillId="0" borderId="93" xfId="1" applyFont="1" applyFill="1" applyBorder="1"/>
    <xf numFmtId="4" fontId="43" fillId="0" borderId="93" xfId="19" applyNumberFormat="1" applyFont="1" applyBorder="1" applyAlignment="1" applyProtection="1">
      <alignment horizontal="right" vertical="center"/>
      <protection locked="0"/>
    </xf>
    <xf numFmtId="0" fontId="43" fillId="0" borderId="1" xfId="0" applyFont="1" applyBorder="1" applyAlignment="1">
      <alignment vertical="center"/>
    </xf>
    <xf numFmtId="43" fontId="43" fillId="0" borderId="1" xfId="1" applyFont="1" applyFill="1" applyBorder="1" applyAlignment="1">
      <alignment vertical="center"/>
    </xf>
    <xf numFmtId="165" fontId="43" fillId="0" borderId="1" xfId="17" applyNumberFormat="1" applyFont="1" applyFill="1" applyBorder="1" applyAlignment="1">
      <alignment horizontal="center" vertical="center"/>
    </xf>
    <xf numFmtId="165" fontId="43" fillId="0" borderId="2" xfId="17" applyNumberFormat="1" applyFont="1" applyFill="1" applyBorder="1" applyAlignment="1">
      <alignment vertical="center"/>
    </xf>
    <xf numFmtId="165" fontId="43" fillId="0" borderId="1" xfId="17" applyNumberFormat="1" applyFont="1" applyFill="1" applyBorder="1" applyAlignment="1">
      <alignment vertical="center"/>
    </xf>
    <xf numFmtId="165" fontId="43" fillId="0" borderId="77" xfId="17" applyNumberFormat="1" applyFont="1" applyFill="1" applyBorder="1" applyAlignment="1">
      <alignment vertical="center"/>
    </xf>
    <xf numFmtId="165" fontId="43" fillId="0" borderId="63" xfId="17" applyNumberFormat="1" applyFont="1" applyFill="1" applyBorder="1" applyAlignment="1">
      <alignment vertical="center"/>
    </xf>
    <xf numFmtId="165" fontId="43" fillId="0" borderId="3" xfId="17" applyNumberFormat="1" applyFont="1" applyFill="1" applyBorder="1" applyAlignment="1">
      <alignment horizontal="left" vertical="center"/>
    </xf>
    <xf numFmtId="0" fontId="43" fillId="0" borderId="1" xfId="3" applyFont="1" applyBorder="1" applyAlignment="1">
      <alignment horizontal="center" vertical="center"/>
    </xf>
    <xf numFmtId="43" fontId="43" fillId="0" borderId="2" xfId="1" applyFont="1" applyFill="1" applyBorder="1" applyAlignment="1">
      <alignment horizontal="center" vertical="center"/>
    </xf>
    <xf numFmtId="43" fontId="43" fillId="0" borderId="3" xfId="1" applyFont="1" applyFill="1" applyBorder="1" applyAlignment="1">
      <alignment horizontal="left" vertical="center" wrapText="1"/>
    </xf>
    <xf numFmtId="0" fontId="43" fillId="0" borderId="80" xfId="0" applyFont="1" applyBorder="1" applyAlignment="1">
      <alignment horizontal="center"/>
    </xf>
    <xf numFmtId="43" fontId="43" fillId="0" borderId="80" xfId="1" applyFont="1" applyFill="1" applyBorder="1" applyAlignment="1">
      <alignment horizontal="center"/>
    </xf>
    <xf numFmtId="43" fontId="43" fillId="0" borderId="9" xfId="1" applyFont="1" applyFill="1" applyBorder="1"/>
    <xf numFmtId="43" fontId="43" fillId="0" borderId="8" xfId="1" applyFont="1" applyFill="1" applyBorder="1" applyAlignment="1">
      <alignment horizontal="left"/>
    </xf>
    <xf numFmtId="43" fontId="43" fillId="0" borderId="94" xfId="1" applyFont="1" applyFill="1" applyBorder="1" applyAlignment="1">
      <alignment horizontal="left"/>
    </xf>
    <xf numFmtId="0" fontId="43" fillId="0" borderId="88" xfId="3" applyFont="1" applyBorder="1" applyAlignment="1">
      <alignment horizontal="left" vertical="center"/>
    </xf>
    <xf numFmtId="43" fontId="43" fillId="0" borderId="88" xfId="1" applyFont="1" applyFill="1" applyBorder="1" applyAlignment="1">
      <alignment horizontal="left" vertical="center"/>
    </xf>
    <xf numFmtId="43" fontId="43" fillId="0" borderId="88" xfId="1" applyFont="1" applyFill="1" applyBorder="1" applyAlignment="1">
      <alignment horizontal="center" vertical="center"/>
    </xf>
    <xf numFmtId="43" fontId="43" fillId="0" borderId="93" xfId="1" applyFont="1" applyFill="1" applyBorder="1" applyAlignment="1">
      <alignment horizontal="center" vertical="center"/>
    </xf>
    <xf numFmtId="0" fontId="43" fillId="0" borderId="64" xfId="0" applyFont="1" applyBorder="1" applyAlignment="1">
      <alignment horizontal="center"/>
    </xf>
    <xf numFmtId="43" fontId="43" fillId="0" borderId="64" xfId="1" applyFont="1" applyFill="1" applyBorder="1"/>
    <xf numFmtId="43" fontId="43" fillId="0" borderId="64" xfId="1" applyFont="1" applyFill="1" applyBorder="1" applyAlignment="1">
      <alignment horizontal="center"/>
    </xf>
    <xf numFmtId="43" fontId="43" fillId="0" borderId="67" xfId="1" applyFont="1" applyFill="1" applyBorder="1"/>
    <xf numFmtId="43" fontId="43" fillId="0" borderId="101" xfId="1" applyFont="1" applyFill="1" applyBorder="1" applyAlignment="1">
      <alignment horizontal="left"/>
    </xf>
    <xf numFmtId="38" fontId="43" fillId="0" borderId="88" xfId="25" applyNumberFormat="1" applyFont="1" applyFill="1" applyBorder="1" applyAlignment="1">
      <alignment horizontal="center" vertical="center"/>
    </xf>
    <xf numFmtId="43" fontId="43" fillId="0" borderId="93" xfId="28" applyFont="1" applyFill="1" applyBorder="1" applyAlignment="1">
      <alignment vertical="center"/>
    </xf>
    <xf numFmtId="0" fontId="43" fillId="0" borderId="88" xfId="22" applyFont="1" applyBorder="1" applyAlignment="1">
      <alignment horizontal="left"/>
    </xf>
    <xf numFmtId="43" fontId="43" fillId="0" borderId="88" xfId="1" applyFont="1" applyFill="1" applyBorder="1" applyAlignment="1" applyProtection="1">
      <alignment horizontal="center" vertical="center"/>
      <protection locked="0"/>
    </xf>
    <xf numFmtId="0" fontId="43" fillId="0" borderId="88" xfId="0" applyFont="1" applyBorder="1"/>
    <xf numFmtId="172" fontId="43" fillId="0" borderId="88" xfId="29" applyNumberFormat="1" applyFont="1" applyFill="1" applyBorder="1" applyAlignment="1">
      <alignment horizontal="center" vertical="center"/>
    </xf>
    <xf numFmtId="43" fontId="43" fillId="0" borderId="93" xfId="0" applyNumberFormat="1" applyFont="1" applyBorder="1"/>
    <xf numFmtId="43" fontId="43" fillId="0" borderId="25" xfId="1" applyFont="1" applyFill="1" applyBorder="1"/>
    <xf numFmtId="43" fontId="43" fillId="0" borderId="24" xfId="1" applyFont="1" applyFill="1" applyBorder="1"/>
    <xf numFmtId="0" fontId="43" fillId="0" borderId="80" xfId="0" applyFont="1" applyBorder="1" applyAlignment="1">
      <alignment horizontal="left"/>
    </xf>
    <xf numFmtId="0" fontId="43" fillId="0" borderId="88" xfId="0" quotePrefix="1" applyFont="1" applyBorder="1" applyAlignment="1">
      <alignment horizontal="left" vertical="center"/>
    </xf>
    <xf numFmtId="43" fontId="43" fillId="0" borderId="0" xfId="1" applyFont="1"/>
    <xf numFmtId="174" fontId="43" fillId="0" borderId="0" xfId="0" applyNumberFormat="1" applyFont="1"/>
    <xf numFmtId="0" fontId="43" fillId="0" borderId="64" xfId="0" applyFont="1" applyBorder="1" applyAlignment="1">
      <alignment horizontal="left" vertical="center"/>
    </xf>
    <xf numFmtId="0" fontId="43" fillId="0" borderId="80" xfId="0" applyFont="1" applyBorder="1" applyAlignment="1">
      <alignment horizontal="left" vertical="center"/>
    </xf>
    <xf numFmtId="43" fontId="43" fillId="0" borderId="88" xfId="1" applyFont="1" applyFill="1" applyBorder="1" applyAlignment="1">
      <alignment horizontal="left"/>
    </xf>
    <xf numFmtId="0" fontId="43" fillId="0" borderId="88" xfId="0" applyFont="1" applyBorder="1" applyAlignment="1">
      <alignment horizontal="left" wrapText="1"/>
    </xf>
    <xf numFmtId="0" fontId="43" fillId="0" borderId="64" xfId="0" applyFont="1" applyBorder="1"/>
    <xf numFmtId="0" fontId="43" fillId="0" borderId="80" xfId="0" applyFont="1" applyBorder="1"/>
    <xf numFmtId="43" fontId="43" fillId="0" borderId="93" xfId="1" applyFont="1" applyFill="1" applyBorder="1" applyProtection="1">
      <protection locked="0"/>
    </xf>
    <xf numFmtId="43" fontId="43" fillId="0" borderId="93" xfId="1" applyFont="1" applyFill="1" applyBorder="1" applyAlignment="1">
      <alignment vertical="center"/>
    </xf>
    <xf numFmtId="165" fontId="43" fillId="0" borderId="93" xfId="10" applyFont="1" applyFill="1" applyBorder="1"/>
    <xf numFmtId="0" fontId="43" fillId="0" borderId="0" xfId="0" applyFont="1" applyAlignment="1">
      <alignment vertical="top"/>
    </xf>
    <xf numFmtId="43" fontId="43" fillId="0" borderId="89" xfId="1" applyFont="1" applyFill="1" applyBorder="1"/>
    <xf numFmtId="0" fontId="43" fillId="0" borderId="17" xfId="0" applyFont="1" applyBorder="1" applyAlignment="1">
      <alignment horizontal="left"/>
    </xf>
    <xf numFmtId="43" fontId="43" fillId="0" borderId="88" xfId="0" applyNumberFormat="1" applyFont="1" applyBorder="1" applyAlignment="1">
      <alignment horizontal="center"/>
    </xf>
    <xf numFmtId="0" fontId="43" fillId="0" borderId="88" xfId="0" applyFont="1" applyBorder="1" applyAlignment="1">
      <alignment horizontal="center" vertical="top"/>
    </xf>
    <xf numFmtId="0" fontId="43" fillId="0" borderId="88" xfId="0" applyFont="1" applyBorder="1" applyAlignment="1">
      <alignment vertical="top" wrapText="1"/>
    </xf>
    <xf numFmtId="43" fontId="43" fillId="0" borderId="88" xfId="1" applyFont="1" applyFill="1" applyBorder="1" applyAlignment="1">
      <alignment horizontal="center" vertical="top"/>
    </xf>
    <xf numFmtId="43" fontId="43" fillId="0" borderId="93" xfId="1" applyFont="1" applyFill="1" applyBorder="1" applyAlignment="1">
      <alignment vertical="top"/>
    </xf>
    <xf numFmtId="43" fontId="43" fillId="0" borderId="94" xfId="1" applyFont="1" applyFill="1" applyBorder="1" applyAlignment="1">
      <alignment horizontal="left" vertical="top"/>
    </xf>
    <xf numFmtId="43" fontId="66" fillId="0" borderId="88" xfId="1" applyFont="1" applyFill="1" applyBorder="1" applyAlignment="1">
      <alignment vertical="center"/>
    </xf>
    <xf numFmtId="0" fontId="66" fillId="0" borderId="88" xfId="0" applyFont="1" applyBorder="1" applyAlignment="1">
      <alignment horizontal="center" vertical="center"/>
    </xf>
    <xf numFmtId="0" fontId="66" fillId="0" borderId="93" xfId="0" applyFont="1" applyBorder="1" applyAlignment="1">
      <alignment vertical="center"/>
    </xf>
    <xf numFmtId="43" fontId="66" fillId="0" borderId="93" xfId="1" applyFont="1" applyFill="1" applyBorder="1" applyAlignment="1">
      <alignment vertical="center"/>
    </xf>
    <xf numFmtId="0" fontId="43" fillId="0" borderId="94" xfId="0" applyFont="1" applyBorder="1" applyAlignment="1">
      <alignment horizontal="left" vertical="top" wrapText="1"/>
    </xf>
    <xf numFmtId="43" fontId="43" fillId="0" borderId="88" xfId="1" applyFont="1" applyFill="1" applyBorder="1" applyAlignment="1">
      <alignment vertical="top" wrapText="1"/>
    </xf>
    <xf numFmtId="0" fontId="43" fillId="0" borderId="88" xfId="0" applyFont="1" applyBorder="1" applyAlignment="1">
      <alignment horizontal="center" vertical="top" wrapText="1"/>
    </xf>
    <xf numFmtId="0" fontId="43" fillId="0" borderId="93" xfId="0" applyFont="1" applyBorder="1" applyAlignment="1">
      <alignment vertical="top" wrapText="1"/>
    </xf>
    <xf numFmtId="43" fontId="43" fillId="0" borderId="93" xfId="1" applyFont="1" applyFill="1" applyBorder="1" applyAlignment="1">
      <alignment vertical="top" wrapText="1"/>
    </xf>
    <xf numFmtId="0" fontId="43" fillId="0" borderId="80" xfId="38" applyFont="1" applyBorder="1" applyAlignment="1">
      <alignment horizontal="center"/>
    </xf>
    <xf numFmtId="0" fontId="43" fillId="0" borderId="93" xfId="39" quotePrefix="1" applyFont="1" applyBorder="1" applyAlignment="1">
      <alignment vertical="center"/>
    </xf>
    <xf numFmtId="0" fontId="43" fillId="0" borderId="9" xfId="39" quotePrefix="1" applyFont="1" applyBorder="1" applyAlignment="1">
      <alignment vertical="center"/>
    </xf>
    <xf numFmtId="0" fontId="43" fillId="0" borderId="80" xfId="38" applyFont="1" applyBorder="1" applyAlignment="1">
      <alignment horizontal="center" vertical="top"/>
    </xf>
    <xf numFmtId="0" fontId="43" fillId="0" borderId="9" xfId="39" quotePrefix="1" applyFont="1" applyBorder="1" applyAlignment="1">
      <alignment vertical="center" wrapText="1"/>
    </xf>
    <xf numFmtId="0" fontId="43" fillId="0" borderId="88" xfId="22" applyFont="1" applyBorder="1" applyAlignment="1">
      <alignment horizontal="center"/>
    </xf>
    <xf numFmtId="43" fontId="43" fillId="0" borderId="88" xfId="1" quotePrefix="1" applyFont="1" applyFill="1" applyBorder="1" applyAlignment="1">
      <alignment horizontal="right" vertical="center"/>
    </xf>
    <xf numFmtId="43" fontId="43" fillId="0" borderId="93" xfId="23" applyFont="1" applyFill="1" applyBorder="1" applyAlignment="1">
      <alignment horizontal="right" vertical="center"/>
    </xf>
    <xf numFmtId="43" fontId="43" fillId="0" borderId="88" xfId="1" applyFont="1" applyFill="1" applyBorder="1" applyAlignment="1">
      <alignment horizontal="right" vertical="center"/>
    </xf>
    <xf numFmtId="43" fontId="43" fillId="0" borderId="88" xfId="23" applyFont="1" applyFill="1" applyBorder="1" applyAlignment="1">
      <alignment horizontal="center" vertical="center"/>
    </xf>
    <xf numFmtId="43" fontId="43" fillId="0" borderId="88" xfId="23" applyFont="1" applyFill="1" applyBorder="1" applyAlignment="1">
      <alignment horizontal="center" vertical="top"/>
    </xf>
    <xf numFmtId="0" fontId="43" fillId="0" borderId="88" xfId="24" quotePrefix="1" applyFont="1" applyBorder="1" applyAlignment="1">
      <alignment horizontal="center"/>
    </xf>
    <xf numFmtId="0" fontId="43" fillId="0" borderId="88" xfId="24" applyFont="1" applyBorder="1"/>
    <xf numFmtId="0" fontId="43" fillId="0" borderId="88" xfId="22" quotePrefix="1" applyFont="1" applyBorder="1" applyAlignment="1">
      <alignment horizontal="right"/>
    </xf>
    <xf numFmtId="43" fontId="43" fillId="0" borderId="94" xfId="23" applyFont="1" applyFill="1" applyBorder="1" applyAlignment="1">
      <alignment horizontal="left" vertical="center"/>
    </xf>
    <xf numFmtId="0" fontId="43" fillId="0" borderId="93" xfId="0" applyFont="1" applyBorder="1" applyAlignment="1">
      <alignment horizontal="center"/>
    </xf>
    <xf numFmtId="0" fontId="43" fillId="0" borderId="88" xfId="22" applyFont="1" applyBorder="1" applyAlignment="1">
      <alignment horizontal="right"/>
    </xf>
    <xf numFmtId="0" fontId="43" fillId="0" borderId="88" xfId="26" applyFont="1" applyBorder="1" applyAlignment="1">
      <alignment horizontal="center"/>
    </xf>
    <xf numFmtId="0" fontId="43" fillId="0" borderId="88" xfId="26" applyFont="1" applyBorder="1" applyAlignment="1">
      <alignment horizontal="left"/>
    </xf>
    <xf numFmtId="0" fontId="43" fillId="0" borderId="88" xfId="26" applyFont="1" applyBorder="1" applyAlignment="1">
      <alignment horizontal="left" wrapText="1"/>
    </xf>
    <xf numFmtId="3" fontId="43" fillId="0" borderId="88" xfId="6" applyNumberFormat="1" applyFont="1" applyBorder="1" applyAlignment="1">
      <alignment horizontal="center" vertical="center"/>
    </xf>
    <xf numFmtId="43" fontId="43" fillId="0" borderId="93" xfId="1" applyFont="1" applyFill="1" applyBorder="1" applyAlignment="1">
      <alignment horizontal="center"/>
    </xf>
    <xf numFmtId="1" fontId="43" fillId="0" borderId="88" xfId="37" applyNumberFormat="1" applyFont="1" applyBorder="1" applyAlignment="1">
      <alignment horizontal="center"/>
    </xf>
    <xf numFmtId="43" fontId="43" fillId="0" borderId="93" xfId="1" applyFont="1" applyFill="1" applyBorder="1" applyAlignment="1"/>
    <xf numFmtId="173" fontId="43" fillId="0" borderId="88" xfId="37" applyNumberFormat="1" applyFont="1" applyBorder="1" applyAlignment="1">
      <alignment horizontal="left"/>
    </xf>
    <xf numFmtId="0" fontId="43" fillId="0" borderId="88" xfId="0" quotePrefix="1" applyFont="1" applyBorder="1"/>
    <xf numFmtId="0" fontId="67" fillId="0" borderId="0" xfId="0" applyFont="1"/>
    <xf numFmtId="49" fontId="43" fillId="0" borderId="88" xfId="37" applyNumberFormat="1" applyFont="1" applyBorder="1" applyAlignment="1">
      <alignment horizontal="center"/>
    </xf>
    <xf numFmtId="43" fontId="43" fillId="0" borderId="0" xfId="1" applyFont="1" applyFill="1" applyBorder="1" applyAlignment="1">
      <alignment horizontal="left"/>
    </xf>
    <xf numFmtId="43" fontId="43" fillId="0" borderId="52" xfId="1" applyFont="1" applyFill="1" applyBorder="1"/>
    <xf numFmtId="0" fontId="43" fillId="0" borderId="7" xfId="0" applyFont="1" applyBorder="1"/>
    <xf numFmtId="0" fontId="43" fillId="0" borderId="7" xfId="22" applyFont="1" applyBorder="1" applyAlignment="1">
      <alignment horizontal="left"/>
    </xf>
    <xf numFmtId="0" fontId="43" fillId="0" borderId="7" xfId="0" applyFont="1" applyBorder="1" applyAlignment="1">
      <alignment horizontal="center"/>
    </xf>
    <xf numFmtId="49" fontId="43" fillId="0" borderId="80" xfId="37" applyNumberFormat="1" applyFont="1" applyBorder="1" applyAlignment="1">
      <alignment horizontal="center"/>
    </xf>
    <xf numFmtId="0" fontId="43" fillId="0" borderId="7" xfId="0" applyFont="1" applyBorder="1" applyAlignment="1">
      <alignment horizontal="left"/>
    </xf>
    <xf numFmtId="49" fontId="43" fillId="0" borderId="81" xfId="37" applyNumberFormat="1" applyFont="1" applyBorder="1" applyAlignment="1">
      <alignment horizontal="center"/>
    </xf>
    <xf numFmtId="0" fontId="43" fillId="0" borderId="81" xfId="0" applyFont="1" applyBorder="1" applyAlignment="1">
      <alignment horizontal="left"/>
    </xf>
    <xf numFmtId="43" fontId="43" fillId="0" borderId="81" xfId="1" applyFont="1" applyFill="1" applyBorder="1" applyAlignment="1">
      <alignment horizontal="center"/>
    </xf>
    <xf numFmtId="43" fontId="43" fillId="0" borderId="66" xfId="1" applyFont="1" applyFill="1" applyBorder="1"/>
    <xf numFmtId="43" fontId="43" fillId="0" borderId="97" xfId="1" applyFont="1" applyFill="1" applyBorder="1" applyAlignment="1">
      <alignment horizontal="left"/>
    </xf>
    <xf numFmtId="0" fontId="43" fillId="0" borderId="89" xfId="0" applyFont="1" applyBorder="1" applyAlignment="1">
      <alignment horizontal="center"/>
    </xf>
    <xf numFmtId="0" fontId="43" fillId="6" borderId="0" xfId="0" applyFont="1" applyFill="1"/>
    <xf numFmtId="0" fontId="43" fillId="0" borderId="7" xfId="0" applyFont="1" applyBorder="1" applyAlignment="1">
      <alignment horizontal="left" vertical="top" wrapText="1"/>
    </xf>
    <xf numFmtId="0" fontId="43" fillId="0" borderId="89" xfId="0" applyFont="1" applyBorder="1" applyAlignment="1">
      <alignment horizontal="left"/>
    </xf>
    <xf numFmtId="43" fontId="43" fillId="0" borderId="17" xfId="1" applyFont="1" applyFill="1" applyBorder="1"/>
    <xf numFmtId="43" fontId="43" fillId="0" borderId="40" xfId="1" applyFont="1" applyFill="1" applyBorder="1"/>
    <xf numFmtId="43" fontId="43" fillId="0" borderId="26" xfId="1" applyFont="1" applyFill="1" applyBorder="1" applyAlignment="1">
      <alignment horizontal="left"/>
    </xf>
    <xf numFmtId="0" fontId="66" fillId="0" borderId="89" xfId="0" applyFont="1" applyBorder="1" applyAlignment="1">
      <alignment horizontal="left"/>
    </xf>
    <xf numFmtId="0" fontId="43" fillId="0" borderId="89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43" fillId="0" borderId="79" xfId="0" applyFont="1" applyBorder="1" applyAlignment="1">
      <alignment horizontal="left" vertical="center"/>
    </xf>
    <xf numFmtId="43" fontId="43" fillId="0" borderId="1" xfId="1" applyFont="1" applyFill="1" applyBorder="1" applyAlignment="1">
      <alignment horizontal="center"/>
    </xf>
    <xf numFmtId="43" fontId="43" fillId="0" borderId="1" xfId="1" applyFont="1" applyFill="1" applyBorder="1" applyAlignment="1">
      <alignment horizontal="left"/>
    </xf>
    <xf numFmtId="0" fontId="64" fillId="0" borderId="0" xfId="0" applyFont="1" applyAlignment="1">
      <alignment horizontal="center"/>
    </xf>
    <xf numFmtId="0" fontId="43" fillId="0" borderId="0" xfId="31" applyFont="1" applyAlignment="1">
      <alignment vertical="center"/>
    </xf>
    <xf numFmtId="43" fontId="43" fillId="0" borderId="0" xfId="1" applyFont="1" applyFill="1" applyBorder="1" applyAlignment="1"/>
    <xf numFmtId="43" fontId="43" fillId="0" borderId="0" xfId="1" applyFont="1" applyFill="1" applyBorder="1" applyAlignment="1">
      <alignment horizontal="center"/>
    </xf>
    <xf numFmtId="43" fontId="43" fillId="0" borderId="62" xfId="1" applyFont="1" applyFill="1" applyBorder="1"/>
    <xf numFmtId="0" fontId="43" fillId="0" borderId="0" xfId="31" quotePrefix="1" applyFont="1" applyAlignment="1">
      <alignment vertical="center"/>
    </xf>
    <xf numFmtId="0" fontId="43" fillId="0" borderId="0" xfId="31" applyFont="1" applyAlignment="1">
      <alignment horizontal="left" vertical="center"/>
    </xf>
    <xf numFmtId="43" fontId="43" fillId="0" borderId="0" xfId="1" applyFont="1" applyFill="1" applyBorder="1"/>
    <xf numFmtId="43" fontId="64" fillId="0" borderId="0" xfId="1" applyFont="1" applyFill="1" applyBorder="1"/>
    <xf numFmtId="172" fontId="43" fillId="0" borderId="0" xfId="32" applyNumberFormat="1" applyFont="1" applyFill="1" applyBorder="1" applyAlignment="1">
      <alignment horizontal="left" vertical="center"/>
    </xf>
    <xf numFmtId="43" fontId="43" fillId="0" borderId="0" xfId="30" applyNumberFormat="1" applyFont="1" applyAlignment="1">
      <alignment horizontal="left" vertical="center"/>
    </xf>
    <xf numFmtId="43" fontId="43" fillId="0" borderId="0" xfId="0" applyNumberFormat="1" applyFont="1" applyAlignment="1">
      <alignment horizontal="left"/>
    </xf>
    <xf numFmtId="0" fontId="64" fillId="0" borderId="0" xfId="2" applyFont="1" applyAlignment="1">
      <alignment vertical="center"/>
    </xf>
    <xf numFmtId="43" fontId="64" fillId="0" borderId="0" xfId="4" applyFont="1" applyFill="1" applyBorder="1" applyAlignment="1">
      <alignment vertical="center"/>
    </xf>
    <xf numFmtId="43" fontId="64" fillId="0" borderId="0" xfId="1" applyFont="1" applyFill="1" applyBorder="1" applyAlignment="1">
      <alignment horizontal="right" vertical="center"/>
    </xf>
    <xf numFmtId="0" fontId="64" fillId="0" borderId="0" xfId="5" applyFont="1" applyAlignment="1">
      <alignment vertical="center"/>
    </xf>
    <xf numFmtId="0" fontId="64" fillId="0" borderId="0" xfId="0" applyFont="1" applyAlignment="1">
      <alignment horizontal="right" vertical="top" wrapText="1"/>
    </xf>
    <xf numFmtId="43" fontId="64" fillId="0" borderId="0" xfId="0" applyNumberFormat="1" applyFont="1" applyAlignment="1">
      <alignment vertical="top" wrapText="1"/>
    </xf>
    <xf numFmtId="0" fontId="64" fillId="0" borderId="0" xfId="3" applyFont="1" applyAlignment="1">
      <alignment vertical="center"/>
    </xf>
    <xf numFmtId="0" fontId="64" fillId="0" borderId="0" xfId="3" applyFont="1" applyAlignment="1">
      <alignment horizontal="left" vertical="center"/>
    </xf>
    <xf numFmtId="43" fontId="64" fillId="0" borderId="0" xfId="1" applyFont="1" applyFill="1" applyAlignment="1">
      <alignment horizontal="left" vertical="center"/>
    </xf>
    <xf numFmtId="0" fontId="64" fillId="0" borderId="0" xfId="3" applyFont="1" applyAlignment="1">
      <alignment horizontal="center" vertical="center"/>
    </xf>
    <xf numFmtId="0" fontId="64" fillId="0" borderId="0" xfId="3" applyFont="1" applyAlignment="1">
      <alignment horizontal="right" vertical="center"/>
    </xf>
    <xf numFmtId="0" fontId="64" fillId="0" borderId="88" xfId="3" applyFont="1" applyBorder="1" applyAlignment="1">
      <alignment horizontal="center" vertical="center"/>
    </xf>
    <xf numFmtId="43" fontId="64" fillId="0" borderId="64" xfId="1" applyFont="1" applyFill="1" applyBorder="1" applyAlignment="1">
      <alignment horizontal="center" vertical="center"/>
    </xf>
    <xf numFmtId="43" fontId="64" fillId="0" borderId="101" xfId="1" applyFont="1" applyFill="1" applyBorder="1" applyAlignment="1">
      <alignment horizontal="center" vertical="center"/>
    </xf>
    <xf numFmtId="43" fontId="64" fillId="0" borderId="65" xfId="1" applyFont="1" applyFill="1" applyBorder="1" applyAlignment="1">
      <alignment horizontal="center" vertical="center"/>
    </xf>
    <xf numFmtId="43" fontId="64" fillId="0" borderId="38" xfId="1" applyFont="1" applyFill="1" applyBorder="1" applyAlignment="1">
      <alignment horizontal="center" vertical="center"/>
    </xf>
    <xf numFmtId="43" fontId="64" fillId="0" borderId="80" xfId="1" applyFont="1" applyFill="1" applyBorder="1" applyAlignment="1">
      <alignment horizontal="center" vertical="center"/>
    </xf>
    <xf numFmtId="43" fontId="64" fillId="0" borderId="8" xfId="1" applyFont="1" applyFill="1" applyBorder="1" applyAlignment="1">
      <alignment horizontal="center" vertical="center"/>
    </xf>
    <xf numFmtId="43" fontId="64" fillId="0" borderId="95" xfId="1" applyFont="1" applyFill="1" applyBorder="1" applyAlignment="1">
      <alignment horizontal="center" vertical="center"/>
    </xf>
    <xf numFmtId="43" fontId="64" fillId="0" borderId="7" xfId="1" applyFont="1" applyFill="1" applyBorder="1" applyAlignment="1">
      <alignment horizontal="center" vertical="center"/>
    </xf>
    <xf numFmtId="43" fontId="43" fillId="0" borderId="8" xfId="1" applyFont="1" applyFill="1" applyBorder="1" applyAlignment="1">
      <alignment horizontal="center" vertical="center" wrapText="1"/>
    </xf>
    <xf numFmtId="0" fontId="64" fillId="0" borderId="88" xfId="0" applyFont="1" applyBorder="1" applyAlignment="1">
      <alignment vertical="center"/>
    </xf>
    <xf numFmtId="0" fontId="68" fillId="0" borderId="88" xfId="0" applyFont="1" applyBorder="1" applyAlignment="1">
      <alignment vertical="center"/>
    </xf>
    <xf numFmtId="43" fontId="64" fillId="0" borderId="88" xfId="1" applyFont="1" applyFill="1" applyBorder="1" applyAlignment="1">
      <alignment vertical="center"/>
    </xf>
    <xf numFmtId="165" fontId="64" fillId="0" borderId="88" xfId="17" applyNumberFormat="1" applyFont="1" applyFill="1" applyBorder="1" applyAlignment="1">
      <alignment horizontal="center" vertical="center"/>
    </xf>
    <xf numFmtId="165" fontId="64" fillId="0" borderId="88" xfId="17" applyNumberFormat="1" applyFont="1" applyFill="1" applyBorder="1" applyAlignment="1" applyProtection="1">
      <alignment horizontal="center" vertical="center"/>
      <protection locked="0"/>
    </xf>
    <xf numFmtId="165" fontId="64" fillId="0" borderId="94" xfId="17" applyNumberFormat="1" applyFont="1" applyFill="1" applyBorder="1" applyAlignment="1" applyProtection="1">
      <alignment horizontal="center" vertical="center"/>
      <protection locked="0"/>
    </xf>
    <xf numFmtId="165" fontId="64" fillId="0" borderId="69" xfId="17" applyNumberFormat="1" applyFont="1" applyFill="1" applyBorder="1" applyAlignment="1" applyProtection="1">
      <alignment horizontal="center" vertical="center"/>
      <protection locked="0"/>
    </xf>
    <xf numFmtId="165" fontId="64" fillId="0" borderId="89" xfId="17" applyNumberFormat="1" applyFont="1" applyFill="1" applyBorder="1" applyAlignment="1" applyProtection="1">
      <alignment horizontal="center" vertical="center"/>
      <protection locked="0"/>
    </xf>
    <xf numFmtId="165" fontId="64" fillId="0" borderId="94" xfId="17" applyNumberFormat="1" applyFont="1" applyFill="1" applyBorder="1" applyAlignment="1">
      <alignment horizontal="right" vertical="center"/>
    </xf>
    <xf numFmtId="0" fontId="64" fillId="0" borderId="88" xfId="0" applyFont="1" applyBorder="1" applyAlignment="1">
      <alignment horizontal="center" vertical="center"/>
    </xf>
    <xf numFmtId="0" fontId="64" fillId="0" borderId="88" xfId="0" applyFont="1" applyBorder="1" applyAlignment="1">
      <alignment horizontal="left"/>
    </xf>
    <xf numFmtId="43" fontId="64" fillId="0" borderId="88" xfId="1" applyFont="1" applyFill="1" applyBorder="1" applyAlignment="1">
      <alignment horizontal="center"/>
    </xf>
    <xf numFmtId="165" fontId="64" fillId="0" borderId="88" xfId="1" applyNumberFormat="1" applyFont="1" applyFill="1" applyBorder="1" applyAlignment="1">
      <alignment horizontal="center"/>
    </xf>
    <xf numFmtId="43" fontId="64" fillId="0" borderId="89" xfId="1" applyFont="1" applyFill="1" applyBorder="1"/>
    <xf numFmtId="43" fontId="43" fillId="0" borderId="69" xfId="1" applyFont="1" applyFill="1" applyBorder="1"/>
    <xf numFmtId="43" fontId="64" fillId="0" borderId="93" xfId="1" applyFont="1" applyFill="1" applyBorder="1"/>
    <xf numFmtId="4" fontId="43" fillId="0" borderId="88" xfId="19" applyNumberFormat="1" applyFont="1" applyBorder="1" applyAlignment="1" applyProtection="1">
      <alignment horizontal="right" vertical="center"/>
      <protection locked="0"/>
    </xf>
    <xf numFmtId="165" fontId="64" fillId="0" borderId="89" xfId="17" applyNumberFormat="1" applyFont="1" applyFill="1" applyBorder="1" applyAlignment="1">
      <alignment horizontal="center" vertical="center"/>
    </xf>
    <xf numFmtId="165" fontId="64" fillId="0" borderId="94" xfId="17" applyNumberFormat="1" applyFont="1" applyFill="1" applyBorder="1" applyAlignment="1">
      <alignment horizontal="center" vertical="center"/>
    </xf>
    <xf numFmtId="4" fontId="43" fillId="0" borderId="94" xfId="19" applyNumberFormat="1" applyFont="1" applyBorder="1" applyAlignment="1" applyProtection="1">
      <alignment horizontal="right" vertical="center"/>
      <protection hidden="1"/>
    </xf>
    <xf numFmtId="4" fontId="43" fillId="0" borderId="89" xfId="19" applyNumberFormat="1" applyFont="1" applyBorder="1" applyAlignment="1" applyProtection="1">
      <alignment horizontal="right" vertical="center"/>
      <protection hidden="1"/>
    </xf>
    <xf numFmtId="4" fontId="43" fillId="0" borderId="88" xfId="19" applyNumberFormat="1" applyFont="1" applyBorder="1" applyAlignment="1" applyProtection="1">
      <alignment horizontal="right" vertical="center"/>
      <protection hidden="1"/>
    </xf>
    <xf numFmtId="0" fontId="64" fillId="0" borderId="81" xfId="0" applyFont="1" applyBorder="1" applyAlignment="1">
      <alignment horizontal="center" vertical="center"/>
    </xf>
    <xf numFmtId="0" fontId="64" fillId="0" borderId="81" xfId="0" applyFont="1" applyBorder="1" applyAlignment="1">
      <alignment horizontal="left"/>
    </xf>
    <xf numFmtId="43" fontId="43" fillId="0" borderId="81" xfId="1" applyFont="1" applyFill="1" applyBorder="1" applyAlignment="1" applyProtection="1">
      <alignment horizontal="center" vertical="center"/>
      <protection locked="0"/>
    </xf>
    <xf numFmtId="4" fontId="43" fillId="0" borderId="81" xfId="19" applyNumberFormat="1" applyFont="1" applyBorder="1" applyAlignment="1" applyProtection="1">
      <alignment horizontal="right" vertical="center"/>
      <protection locked="0"/>
    </xf>
    <xf numFmtId="4" fontId="43" fillId="0" borderId="97" xfId="19" applyNumberFormat="1" applyFont="1" applyBorder="1" applyAlignment="1" applyProtection="1">
      <alignment horizontal="right" vertical="center"/>
      <protection hidden="1"/>
    </xf>
    <xf numFmtId="43" fontId="43" fillId="0" borderId="96" xfId="1" applyFont="1" applyFill="1" applyBorder="1"/>
    <xf numFmtId="4" fontId="43" fillId="0" borderId="79" xfId="19" applyNumberFormat="1" applyFont="1" applyBorder="1" applyAlignment="1" applyProtection="1">
      <alignment horizontal="right" vertical="center"/>
      <protection hidden="1"/>
    </xf>
    <xf numFmtId="4" fontId="43" fillId="0" borderId="81" xfId="19" applyNumberFormat="1" applyFont="1" applyBorder="1" applyAlignment="1" applyProtection="1">
      <alignment horizontal="right" vertical="center"/>
      <protection hidden="1"/>
    </xf>
    <xf numFmtId="165" fontId="64" fillId="0" borderId="97" xfId="17" applyNumberFormat="1" applyFont="1" applyFill="1" applyBorder="1" applyAlignment="1">
      <alignment horizontal="center" vertical="center"/>
    </xf>
    <xf numFmtId="0" fontId="64" fillId="0" borderId="1" xfId="0" applyFont="1" applyBorder="1" applyAlignment="1">
      <alignment vertical="center"/>
    </xf>
    <xf numFmtId="43" fontId="64" fillId="0" borderId="1" xfId="1" applyFont="1" applyFill="1" applyBorder="1" applyAlignment="1">
      <alignment vertical="center"/>
    </xf>
    <xf numFmtId="165" fontId="64" fillId="0" borderId="1" xfId="17" applyNumberFormat="1" applyFont="1" applyFill="1" applyBorder="1" applyAlignment="1">
      <alignment horizontal="center" vertical="center"/>
    </xf>
    <xf numFmtId="165" fontId="64" fillId="0" borderId="1" xfId="17" applyNumberFormat="1" applyFont="1" applyFill="1" applyBorder="1" applyAlignment="1">
      <alignment vertical="center"/>
    </xf>
    <xf numFmtId="165" fontId="64" fillId="0" borderId="3" xfId="17" applyNumberFormat="1" applyFont="1" applyFill="1" applyBorder="1" applyAlignment="1">
      <alignment vertical="center"/>
    </xf>
    <xf numFmtId="165" fontId="64" fillId="0" borderId="18" xfId="17" applyNumberFormat="1" applyFont="1" applyFill="1" applyBorder="1" applyAlignment="1">
      <alignment vertical="center"/>
    </xf>
    <xf numFmtId="165" fontId="64" fillId="0" borderId="13" xfId="17" applyNumberFormat="1" applyFont="1" applyFill="1" applyBorder="1" applyAlignment="1">
      <alignment vertical="center"/>
    </xf>
    <xf numFmtId="165" fontId="64" fillId="0" borderId="63" xfId="17" applyNumberFormat="1" applyFont="1" applyFill="1" applyBorder="1" applyAlignment="1">
      <alignment vertical="center"/>
    </xf>
    <xf numFmtId="165" fontId="64" fillId="0" borderId="3" xfId="17" applyNumberFormat="1" applyFont="1" applyFill="1" applyBorder="1" applyAlignment="1">
      <alignment horizontal="center" vertical="center"/>
    </xf>
    <xf numFmtId="0" fontId="64" fillId="0" borderId="80" xfId="3" applyFont="1" applyBorder="1" applyAlignment="1">
      <alignment horizontal="center" vertical="center"/>
    </xf>
    <xf numFmtId="43" fontId="64" fillId="0" borderId="80" xfId="1" applyFont="1" applyFill="1" applyBorder="1" applyAlignment="1">
      <alignment horizontal="center" vertical="center" wrapText="1"/>
    </xf>
    <xf numFmtId="0" fontId="64" fillId="0" borderId="80" xfId="0" applyFont="1" applyBorder="1" applyAlignment="1">
      <alignment horizontal="center"/>
    </xf>
    <xf numFmtId="0" fontId="64" fillId="0" borderId="80" xfId="0" applyFont="1" applyBorder="1" applyAlignment="1">
      <alignment horizontal="center" wrapText="1"/>
    </xf>
    <xf numFmtId="43" fontId="43" fillId="0" borderId="8" xfId="1" applyFont="1" applyFill="1" applyBorder="1"/>
    <xf numFmtId="43" fontId="43" fillId="0" borderId="95" xfId="1" applyFont="1" applyFill="1" applyBorder="1"/>
    <xf numFmtId="43" fontId="43" fillId="0" borderId="7" xfId="1" applyFont="1" applyFill="1" applyBorder="1"/>
    <xf numFmtId="43" fontId="43" fillId="0" borderId="8" xfId="1" applyFont="1" applyFill="1" applyBorder="1" applyAlignment="1">
      <alignment vertical="top"/>
    </xf>
    <xf numFmtId="0" fontId="64" fillId="0" borderId="80" xfId="0" applyFont="1" applyBorder="1" applyAlignment="1">
      <alignment horizontal="left" wrapText="1"/>
    </xf>
    <xf numFmtId="0" fontId="43" fillId="0" borderId="80" xfId="0" applyFont="1" applyBorder="1" applyAlignment="1">
      <alignment horizontal="left" wrapText="1"/>
    </xf>
    <xf numFmtId="43" fontId="43" fillId="0" borderId="94" xfId="1" applyFont="1" applyFill="1" applyBorder="1"/>
    <xf numFmtId="43" fontId="43" fillId="0" borderId="17" xfId="1" applyFont="1" applyFill="1" applyBorder="1" applyAlignment="1">
      <alignment horizontal="center"/>
    </xf>
    <xf numFmtId="43" fontId="43" fillId="0" borderId="91" xfId="1" applyFont="1" applyFill="1" applyBorder="1"/>
    <xf numFmtId="0" fontId="64" fillId="0" borderId="9" xfId="0" applyFont="1" applyBorder="1" applyAlignment="1">
      <alignment horizontal="center"/>
    </xf>
    <xf numFmtId="0" fontId="43" fillId="0" borderId="53" xfId="0" applyFont="1" applyBorder="1" applyAlignment="1">
      <alignment horizontal="left" wrapText="1"/>
    </xf>
    <xf numFmtId="43" fontId="43" fillId="0" borderId="94" xfId="1" applyFont="1" applyFill="1" applyBorder="1" applyAlignment="1">
      <alignment horizontal="center"/>
    </xf>
    <xf numFmtId="0" fontId="43" fillId="0" borderId="53" xfId="0" applyFont="1" applyBorder="1"/>
    <xf numFmtId="43" fontId="43" fillId="0" borderId="97" xfId="1" applyFont="1" applyBorder="1"/>
    <xf numFmtId="4" fontId="43" fillId="0" borderId="17" xfId="0" applyNumberFormat="1" applyFont="1" applyBorder="1"/>
    <xf numFmtId="4" fontId="43" fillId="0" borderId="26" xfId="0" applyNumberFormat="1" applyFont="1" applyBorder="1"/>
    <xf numFmtId="0" fontId="43" fillId="0" borderId="66" xfId="0" applyFont="1" applyBorder="1"/>
    <xf numFmtId="0" fontId="43" fillId="0" borderId="28" xfId="0" applyFont="1" applyBorder="1" applyAlignment="1">
      <alignment wrapText="1"/>
    </xf>
    <xf numFmtId="4" fontId="43" fillId="0" borderId="81" xfId="0" applyNumberFormat="1" applyFont="1" applyBorder="1"/>
    <xf numFmtId="4" fontId="43" fillId="0" borderId="97" xfId="0" applyNumberFormat="1" applyFont="1" applyBorder="1"/>
    <xf numFmtId="0" fontId="43" fillId="0" borderId="79" xfId="0" applyFont="1" applyBorder="1"/>
    <xf numFmtId="0" fontId="43" fillId="0" borderId="24" xfId="0" applyFont="1" applyBorder="1" applyAlignment="1">
      <alignment wrapText="1"/>
    </xf>
    <xf numFmtId="43" fontId="43" fillId="0" borderId="94" xfId="1" applyFont="1" applyBorder="1"/>
    <xf numFmtId="4" fontId="43" fillId="0" borderId="88" xfId="0" applyNumberFormat="1" applyFont="1" applyBorder="1"/>
    <xf numFmtId="4" fontId="43" fillId="0" borderId="94" xfId="0" applyNumberFormat="1" applyFont="1" applyBorder="1"/>
    <xf numFmtId="0" fontId="43" fillId="0" borderId="89" xfId="0" applyFont="1" applyBorder="1"/>
    <xf numFmtId="0" fontId="64" fillId="0" borderId="93" xfId="0" applyFont="1" applyBorder="1" applyAlignment="1">
      <alignment horizontal="center"/>
    </xf>
    <xf numFmtId="0" fontId="43" fillId="0" borderId="62" xfId="0" applyFont="1" applyBorder="1"/>
    <xf numFmtId="43" fontId="43" fillId="0" borderId="26" xfId="1" applyFont="1" applyBorder="1"/>
    <xf numFmtId="4" fontId="43" fillId="0" borderId="80" xfId="0" applyNumberFormat="1" applyFont="1" applyBorder="1"/>
    <xf numFmtId="4" fontId="43" fillId="0" borderId="8" xfId="0" applyNumberFormat="1" applyFont="1" applyBorder="1"/>
    <xf numFmtId="0" fontId="43" fillId="0" borderId="17" xfId="0" applyFont="1" applyBorder="1" applyAlignment="1">
      <alignment wrapText="1"/>
    </xf>
    <xf numFmtId="43" fontId="43" fillId="0" borderId="88" xfId="1" applyFont="1" applyBorder="1"/>
    <xf numFmtId="0" fontId="43" fillId="0" borderId="80" xfId="0" applyFont="1" applyBorder="1" applyAlignment="1">
      <alignment wrapText="1"/>
    </xf>
    <xf numFmtId="0" fontId="64" fillId="0" borderId="88" xfId="0" applyFont="1" applyBorder="1" applyAlignment="1">
      <alignment horizontal="center"/>
    </xf>
    <xf numFmtId="0" fontId="43" fillId="0" borderId="88" xfId="0" applyFont="1" applyBorder="1" applyAlignment="1">
      <alignment wrapText="1"/>
    </xf>
    <xf numFmtId="43" fontId="43" fillId="0" borderId="17" xfId="1" applyFont="1" applyBorder="1"/>
    <xf numFmtId="43" fontId="43" fillId="0" borderId="81" xfId="1" applyFont="1" applyBorder="1"/>
    <xf numFmtId="0" fontId="43" fillId="0" borderId="93" xfId="0" applyFont="1" applyBorder="1"/>
    <xf numFmtId="43" fontId="64" fillId="0" borderId="8" xfId="1" applyFont="1" applyFill="1" applyBorder="1"/>
    <xf numFmtId="43" fontId="64" fillId="0" borderId="62" xfId="1" applyFont="1" applyFill="1" applyBorder="1"/>
    <xf numFmtId="0" fontId="64" fillId="0" borderId="7" xfId="0" applyFont="1" applyBorder="1" applyAlignment="1">
      <alignment horizontal="left" wrapText="1"/>
    </xf>
    <xf numFmtId="0" fontId="43" fillId="0" borderId="7" xfId="0" applyFont="1" applyBorder="1" applyAlignment="1">
      <alignment horizontal="left" wrapText="1"/>
    </xf>
    <xf numFmtId="0" fontId="43" fillId="0" borderId="9" xfId="0" applyFont="1" applyBorder="1" applyAlignment="1">
      <alignment horizontal="center" vertical="top" wrapText="1"/>
    </xf>
    <xf numFmtId="0" fontId="64" fillId="0" borderId="88" xfId="0" applyFont="1" applyBorder="1" applyAlignment="1">
      <alignment vertical="top" wrapText="1"/>
    </xf>
    <xf numFmtId="0" fontId="64" fillId="0" borderId="93" xfId="0" applyFont="1" applyBorder="1" applyAlignment="1">
      <alignment horizontal="center" vertical="top" wrapText="1"/>
    </xf>
    <xf numFmtId="0" fontId="64" fillId="0" borderId="80" xfId="0" applyFont="1" applyBorder="1" applyAlignment="1">
      <alignment vertical="top" wrapText="1"/>
    </xf>
    <xf numFmtId="43" fontId="43" fillId="0" borderId="7" xfId="1" applyFont="1" applyFill="1" applyBorder="1" applyAlignment="1">
      <alignment vertical="top" wrapText="1"/>
    </xf>
    <xf numFmtId="0" fontId="43" fillId="0" borderId="80" xfId="0" applyFont="1" applyBorder="1" applyAlignment="1">
      <alignment horizontal="center" vertical="top" wrapText="1"/>
    </xf>
    <xf numFmtId="0" fontId="43" fillId="0" borderId="80" xfId="0" applyFont="1" applyBorder="1" applyAlignment="1">
      <alignment vertical="top" wrapText="1"/>
    </xf>
    <xf numFmtId="0" fontId="43" fillId="0" borderId="100" xfId="0" applyFont="1" applyBorder="1" applyAlignment="1">
      <alignment vertical="top" wrapText="1"/>
    </xf>
    <xf numFmtId="173" fontId="43" fillId="0" borderId="88" xfId="37" applyNumberFormat="1" applyFont="1" applyBorder="1" applyAlignment="1">
      <alignment horizontal="center"/>
    </xf>
    <xf numFmtId="43" fontId="64" fillId="0" borderId="88" xfId="1" applyFont="1" applyFill="1" applyBorder="1" applyAlignment="1">
      <alignment vertical="top" wrapText="1"/>
    </xf>
    <xf numFmtId="0" fontId="64" fillId="0" borderId="88" xfId="0" applyFont="1" applyBorder="1" applyAlignment="1">
      <alignment horizontal="center" vertical="top" wrapText="1"/>
    </xf>
    <xf numFmtId="43" fontId="64" fillId="0" borderId="94" xfId="1" applyFont="1" applyFill="1" applyBorder="1"/>
    <xf numFmtId="0" fontId="64" fillId="0" borderId="69" xfId="0" applyFont="1" applyBorder="1" applyAlignment="1">
      <alignment vertical="top" wrapText="1"/>
    </xf>
    <xf numFmtId="43" fontId="64" fillId="0" borderId="24" xfId="1" applyFont="1" applyFill="1" applyBorder="1"/>
    <xf numFmtId="43" fontId="64" fillId="0" borderId="93" xfId="1" applyFont="1" applyFill="1" applyBorder="1" applyAlignment="1">
      <alignment vertical="top" wrapText="1"/>
    </xf>
    <xf numFmtId="0" fontId="64" fillId="0" borderId="91" xfId="0" applyFont="1" applyBorder="1" applyAlignment="1">
      <alignment vertical="top" wrapText="1"/>
    </xf>
    <xf numFmtId="43" fontId="64" fillId="0" borderId="88" xfId="1" applyFont="1" applyFill="1" applyBorder="1"/>
    <xf numFmtId="0" fontId="64" fillId="0" borderId="88" xfId="0" applyFont="1" applyBorder="1"/>
    <xf numFmtId="0" fontId="43" fillId="0" borderId="17" xfId="0" applyFont="1" applyBorder="1"/>
    <xf numFmtId="0" fontId="64" fillId="0" borderId="17" xfId="0" applyFont="1" applyBorder="1" applyAlignment="1">
      <alignment horizontal="center"/>
    </xf>
    <xf numFmtId="43" fontId="43" fillId="0" borderId="60" xfId="1" applyFont="1" applyFill="1" applyBorder="1"/>
    <xf numFmtId="43" fontId="64" fillId="0" borderId="1" xfId="1" applyFont="1" applyFill="1" applyBorder="1"/>
    <xf numFmtId="43" fontId="43" fillId="0" borderId="45" xfId="1" applyFont="1" applyFill="1" applyBorder="1"/>
    <xf numFmtId="43" fontId="43" fillId="0" borderId="26" xfId="1" applyFont="1" applyFill="1" applyBorder="1" applyAlignment="1">
      <alignment vertical="top"/>
    </xf>
    <xf numFmtId="0" fontId="43" fillId="0" borderId="5" xfId="0" applyFont="1" applyBorder="1"/>
    <xf numFmtId="0" fontId="64" fillId="0" borderId="1" xfId="0" applyFont="1" applyBorder="1" applyAlignment="1">
      <alignment vertical="top" wrapText="1"/>
    </xf>
    <xf numFmtId="43" fontId="64" fillId="0" borderId="26" xfId="0" applyNumberFormat="1" applyFont="1" applyBorder="1" applyAlignment="1">
      <alignment vertical="top" wrapText="1"/>
    </xf>
    <xf numFmtId="0" fontId="64" fillId="0" borderId="18" xfId="0" applyFont="1" applyBorder="1" applyAlignment="1">
      <alignment vertical="top" wrapText="1"/>
    </xf>
    <xf numFmtId="43" fontId="64" fillId="0" borderId="28" xfId="0" applyNumberFormat="1" applyFont="1" applyBorder="1" applyAlignment="1">
      <alignment vertical="top" wrapText="1"/>
    </xf>
    <xf numFmtId="43" fontId="43" fillId="0" borderId="4" xfId="1" applyFont="1" applyFill="1" applyBorder="1" applyAlignment="1">
      <alignment vertical="top"/>
    </xf>
    <xf numFmtId="43" fontId="43" fillId="0" borderId="42" xfId="1" applyFont="1" applyFill="1" applyBorder="1" applyAlignment="1"/>
    <xf numFmtId="43" fontId="43" fillId="0" borderId="42" xfId="1" applyFont="1" applyFill="1" applyBorder="1" applyAlignment="1">
      <alignment horizontal="center"/>
    </xf>
    <xf numFmtId="43" fontId="43" fillId="0" borderId="31" xfId="1" applyFont="1" applyFill="1" applyBorder="1" applyAlignment="1">
      <alignment vertical="top"/>
    </xf>
    <xf numFmtId="43" fontId="43" fillId="0" borderId="79" xfId="1" applyFont="1" applyFill="1" applyBorder="1" applyAlignment="1">
      <alignment vertical="top"/>
    </xf>
    <xf numFmtId="43" fontId="43" fillId="0" borderId="7" xfId="1" applyFont="1" applyFill="1" applyBorder="1" applyAlignment="1">
      <alignment vertical="top"/>
    </xf>
    <xf numFmtId="43" fontId="43" fillId="0" borderId="0" xfId="1" applyFont="1" applyFill="1" applyBorder="1" applyAlignment="1">
      <alignment horizontal="right"/>
    </xf>
    <xf numFmtId="172" fontId="43" fillId="0" borderId="0" xfId="32" applyNumberFormat="1" applyFont="1" applyFill="1" applyBorder="1" applyAlignment="1">
      <alignment vertical="center"/>
    </xf>
    <xf numFmtId="43" fontId="43" fillId="0" borderId="0" xfId="30" applyNumberFormat="1" applyFont="1" applyAlignment="1">
      <alignment vertical="center"/>
    </xf>
    <xf numFmtId="43" fontId="64" fillId="0" borderId="0" xfId="1" applyFont="1" applyFill="1" applyBorder="1" applyAlignment="1">
      <alignment horizontal="right"/>
    </xf>
    <xf numFmtId="43" fontId="64" fillId="0" borderId="0" xfId="1" applyFont="1" applyAlignment="1">
      <alignment vertical="center"/>
    </xf>
    <xf numFmtId="165" fontId="69" fillId="0" borderId="17" xfId="1" applyNumberFormat="1" applyFont="1" applyBorder="1" applyAlignment="1">
      <alignment horizontal="right" vertical="center"/>
    </xf>
    <xf numFmtId="0" fontId="64" fillId="0" borderId="7" xfId="0" applyFont="1" applyBorder="1" applyAlignment="1">
      <alignment horizontal="center" wrapText="1"/>
    </xf>
    <xf numFmtId="0" fontId="64" fillId="0" borderId="17" xfId="0" applyFont="1" applyBorder="1" applyAlignment="1">
      <alignment horizontal="center" wrapText="1"/>
    </xf>
    <xf numFmtId="43" fontId="70" fillId="0" borderId="0" xfId="1" applyFont="1" applyFill="1" applyBorder="1" applyAlignment="1"/>
    <xf numFmtId="43" fontId="64" fillId="0" borderId="63" xfId="1" applyFont="1" applyFill="1" applyBorder="1"/>
    <xf numFmtId="43" fontId="43" fillId="0" borderId="64" xfId="1" applyFont="1" applyFill="1" applyBorder="1" applyAlignment="1">
      <alignment vertical="top"/>
    </xf>
    <xf numFmtId="0" fontId="43" fillId="2" borderId="1" xfId="0" applyFont="1" applyFill="1" applyBorder="1" applyAlignment="1">
      <alignment horizontal="center"/>
    </xf>
    <xf numFmtId="43" fontId="43" fillId="2" borderId="1" xfId="1" applyFont="1" applyFill="1" applyBorder="1"/>
    <xf numFmtId="10" fontId="50" fillId="2" borderId="1" xfId="0" applyNumberFormat="1" applyFont="1" applyFill="1" applyBorder="1"/>
    <xf numFmtId="0" fontId="43" fillId="2" borderId="5" xfId="0" applyFont="1" applyFill="1" applyBorder="1" applyAlignment="1">
      <alignment horizontal="center"/>
    </xf>
    <xf numFmtId="43" fontId="43" fillId="2" borderId="80" xfId="1" applyFont="1" applyFill="1" applyBorder="1"/>
    <xf numFmtId="10" fontId="50" fillId="2" borderId="5" xfId="0" applyNumberFormat="1" applyFont="1" applyFill="1" applyBorder="1"/>
    <xf numFmtId="43" fontId="50" fillId="2" borderId="1" xfId="1" applyFont="1" applyFill="1" applyBorder="1"/>
    <xf numFmtId="43" fontId="50" fillId="2" borderId="1" xfId="0" applyNumberFormat="1" applyFont="1" applyFill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10" fontId="50" fillId="2" borderId="1" xfId="1" applyNumberFormat="1" applyFont="1" applyFill="1" applyBorder="1" applyAlignment="1">
      <alignment horizontal="right" vertical="center"/>
    </xf>
    <xf numFmtId="165" fontId="49" fillId="2" borderId="1" xfId="1" applyNumberFormat="1" applyFont="1" applyFill="1" applyBorder="1" applyAlignment="1">
      <alignment vertical="center"/>
    </xf>
    <xf numFmtId="0" fontId="43" fillId="2" borderId="13" xfId="0" applyFont="1" applyFill="1" applyBorder="1"/>
    <xf numFmtId="0" fontId="49" fillId="2" borderId="3" xfId="0" applyFont="1" applyFill="1" applyBorder="1"/>
    <xf numFmtId="0" fontId="64" fillId="2" borderId="1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/>
    </xf>
    <xf numFmtId="0" fontId="64" fillId="2" borderId="3" xfId="0" applyFont="1" applyFill="1" applyBorder="1" applyAlignment="1">
      <alignment horizontal="center"/>
    </xf>
    <xf numFmtId="165" fontId="64" fillId="2" borderId="1" xfId="1" applyNumberFormat="1" applyFont="1" applyFill="1" applyBorder="1" applyAlignment="1">
      <alignment horizontal="right" vertical="center"/>
    </xf>
    <xf numFmtId="170" fontId="64" fillId="2" borderId="1" xfId="1" applyNumberFormat="1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165" fontId="43" fillId="2" borderId="5" xfId="1" applyNumberFormat="1" applyFont="1" applyFill="1" applyBorder="1" applyAlignment="1">
      <alignment horizontal="right" vertical="center"/>
    </xf>
    <xf numFmtId="170" fontId="43" fillId="2" borderId="5" xfId="1" applyNumberFormat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right" vertical="center"/>
    </xf>
    <xf numFmtId="165" fontId="64" fillId="2" borderId="80" xfId="17" applyNumberFormat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left"/>
    </xf>
    <xf numFmtId="43" fontId="49" fillId="0" borderId="4" xfId="1" applyFont="1" applyFill="1" applyBorder="1" applyAlignment="1">
      <alignment horizontal="center" vertical="center"/>
    </xf>
    <xf numFmtId="43" fontId="49" fillId="0" borderId="5" xfId="1" applyFont="1" applyFill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0" xfId="2" applyFont="1" applyAlignment="1">
      <alignment horizontal="center"/>
    </xf>
    <xf numFmtId="0" fontId="49" fillId="0" borderId="1" xfId="3" applyFont="1" applyBorder="1" applyAlignment="1">
      <alignment horizontal="center" vertical="center"/>
    </xf>
    <xf numFmtId="0" fontId="49" fillId="0" borderId="46" xfId="3" applyFont="1" applyBorder="1" applyAlignment="1">
      <alignment horizontal="center" vertical="center"/>
    </xf>
    <xf numFmtId="0" fontId="49" fillId="0" borderId="41" xfId="3" applyFont="1" applyBorder="1" applyAlignment="1">
      <alignment horizontal="center" vertical="center"/>
    </xf>
    <xf numFmtId="0" fontId="49" fillId="0" borderId="39" xfId="3" applyFont="1" applyBorder="1" applyAlignment="1">
      <alignment horizontal="center" vertical="center"/>
    </xf>
    <xf numFmtId="0" fontId="49" fillId="0" borderId="33" xfId="3" applyFont="1" applyBorder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/>
    </xf>
    <xf numFmtId="0" fontId="43" fillId="0" borderId="88" xfId="0" applyFont="1" applyBorder="1" applyAlignment="1">
      <alignment horizontal="left"/>
    </xf>
    <xf numFmtId="0" fontId="49" fillId="0" borderId="46" xfId="0" applyFont="1" applyBorder="1" applyAlignment="1">
      <alignment horizontal="center"/>
    </xf>
    <xf numFmtId="0" fontId="49" fillId="0" borderId="41" xfId="0" applyFont="1" applyBorder="1" applyAlignment="1">
      <alignment horizontal="center"/>
    </xf>
    <xf numFmtId="0" fontId="43" fillId="2" borderId="2" xfId="0" applyFont="1" applyFill="1" applyBorder="1" applyAlignment="1">
      <alignment horizontal="right" vertical="center"/>
    </xf>
    <xf numFmtId="0" fontId="43" fillId="2" borderId="3" xfId="0" applyFont="1" applyFill="1" applyBorder="1" applyAlignment="1">
      <alignment horizontal="right" vertical="center"/>
    </xf>
    <xf numFmtId="0" fontId="51" fillId="2" borderId="2" xfId="0" applyFont="1" applyFill="1" applyBorder="1" applyAlignment="1">
      <alignment horizontal="center"/>
    </xf>
    <xf numFmtId="0" fontId="51" fillId="2" borderId="13" xfId="0" applyFont="1" applyFill="1" applyBorder="1" applyAlignment="1">
      <alignment horizontal="center"/>
    </xf>
    <xf numFmtId="0" fontId="43" fillId="2" borderId="5" xfId="0" applyFont="1" applyFill="1" applyBorder="1" applyAlignment="1">
      <alignment horizontal="left"/>
    </xf>
    <xf numFmtId="0" fontId="43" fillId="0" borderId="93" xfId="0" applyFont="1" applyBorder="1" applyAlignment="1">
      <alignment horizontal="left"/>
    </xf>
    <xf numFmtId="0" fontId="43" fillId="0" borderId="94" xfId="0" applyFont="1" applyBorder="1" applyAlignment="1">
      <alignment horizontal="left"/>
    </xf>
    <xf numFmtId="43" fontId="64" fillId="0" borderId="0" xfId="0" applyNumberFormat="1" applyFont="1" applyAlignment="1">
      <alignment horizontal="left" vertical="top" wrapText="1"/>
    </xf>
    <xf numFmtId="0" fontId="64" fillId="0" borderId="2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0" xfId="0" applyFont="1" applyAlignment="1">
      <alignment horizontal="left" vertical="top" wrapText="1"/>
    </xf>
    <xf numFmtId="0" fontId="64" fillId="0" borderId="0" xfId="0" applyFont="1" applyAlignment="1">
      <alignment horizontal="center" vertical="top"/>
    </xf>
    <xf numFmtId="0" fontId="43" fillId="0" borderId="72" xfId="0" applyFont="1" applyBorder="1" applyAlignment="1">
      <alignment horizontal="left" vertical="center"/>
    </xf>
    <xf numFmtId="0" fontId="43" fillId="0" borderId="73" xfId="0" applyFont="1" applyBorder="1" applyAlignment="1">
      <alignment horizontal="left" vertical="center"/>
    </xf>
    <xf numFmtId="0" fontId="43" fillId="0" borderId="8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64" fillId="2" borderId="3" xfId="0" applyFont="1" applyFill="1" applyBorder="1" applyAlignment="1">
      <alignment horizontal="center" vertical="center"/>
    </xf>
    <xf numFmtId="0" fontId="43" fillId="0" borderId="46" xfId="0" applyFont="1" applyBorder="1" applyAlignment="1">
      <alignment horizontal="left" vertical="center"/>
    </xf>
    <xf numFmtId="0" fontId="43" fillId="0" borderId="41" xfId="0" applyFont="1" applyBorder="1" applyAlignment="1">
      <alignment horizontal="left" vertical="center"/>
    </xf>
    <xf numFmtId="0" fontId="64" fillId="14" borderId="93" xfId="0" applyFont="1" applyFill="1" applyBorder="1" applyAlignment="1">
      <alignment horizontal="center" vertical="center"/>
    </xf>
    <xf numFmtId="0" fontId="64" fillId="14" borderId="94" xfId="0" applyFont="1" applyFill="1" applyBorder="1" applyAlignment="1">
      <alignment horizontal="center" vertical="center"/>
    </xf>
    <xf numFmtId="0" fontId="43" fillId="0" borderId="93" xfId="0" applyFont="1" applyBorder="1" applyAlignment="1">
      <alignment horizontal="left" vertical="center"/>
    </xf>
    <xf numFmtId="0" fontId="43" fillId="0" borderId="94" xfId="0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3" fillId="0" borderId="33" xfId="0" applyFont="1" applyBorder="1" applyAlignment="1">
      <alignment horizontal="left" vertical="center"/>
    </xf>
    <xf numFmtId="0" fontId="43" fillId="2" borderId="39" xfId="0" applyFont="1" applyFill="1" applyBorder="1" applyAlignment="1">
      <alignment horizontal="left" vertical="center"/>
    </xf>
    <xf numFmtId="0" fontId="43" fillId="2" borderId="33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64" fillId="0" borderId="75" xfId="0" applyFont="1" applyBorder="1" applyAlignment="1">
      <alignment horizontal="right"/>
    </xf>
    <xf numFmtId="0" fontId="64" fillId="0" borderId="76" xfId="0" applyFont="1" applyBorder="1" applyAlignment="1">
      <alignment horizontal="right"/>
    </xf>
    <xf numFmtId="0" fontId="43" fillId="0" borderId="98" xfId="0" applyFont="1" applyBorder="1" applyAlignment="1">
      <alignment horizontal="left" vertical="center"/>
    </xf>
    <xf numFmtId="0" fontId="43" fillId="0" borderId="99" xfId="0" applyFont="1" applyBorder="1" applyAlignment="1">
      <alignment horizontal="left" vertical="center"/>
    </xf>
    <xf numFmtId="0" fontId="64" fillId="0" borderId="0" xfId="2" applyFont="1" applyAlignment="1">
      <alignment horizontal="center"/>
    </xf>
    <xf numFmtId="0" fontId="43" fillId="0" borderId="10" xfId="3" applyFont="1" applyBorder="1" applyAlignment="1">
      <alignment horizontal="center" vertical="center"/>
    </xf>
    <xf numFmtId="0" fontId="43" fillId="0" borderId="88" xfId="3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43" fontId="43" fillId="0" borderId="10" xfId="1" applyFont="1" applyFill="1" applyBorder="1" applyAlignment="1">
      <alignment horizontal="center" vertical="center"/>
    </xf>
    <xf numFmtId="43" fontId="43" fillId="0" borderId="32" xfId="1" applyFont="1" applyFill="1" applyBorder="1" applyAlignment="1">
      <alignment horizontal="center" vertical="center"/>
    </xf>
    <xf numFmtId="43" fontId="43" fillId="0" borderId="1" xfId="1" applyFont="1" applyFill="1" applyBorder="1" applyAlignment="1">
      <alignment horizontal="center" vertical="center" wrapText="1"/>
    </xf>
    <xf numFmtId="43" fontId="43" fillId="0" borderId="4" xfId="1" applyFont="1" applyFill="1" applyBorder="1" applyAlignment="1">
      <alignment horizontal="center" vertical="center"/>
    </xf>
    <xf numFmtId="43" fontId="43" fillId="0" borderId="5" xfId="1" applyFont="1" applyFill="1" applyBorder="1" applyAlignment="1">
      <alignment horizontal="center" vertical="center"/>
    </xf>
    <xf numFmtId="43" fontId="43" fillId="0" borderId="1" xfId="1" applyFont="1" applyFill="1" applyBorder="1" applyAlignment="1">
      <alignment horizontal="center" vertical="center"/>
    </xf>
    <xf numFmtId="43" fontId="64" fillId="0" borderId="1" xfId="1" applyFont="1" applyFill="1" applyBorder="1" applyAlignment="1">
      <alignment horizontal="center" vertical="center" wrapText="1"/>
    </xf>
    <xf numFmtId="0" fontId="64" fillId="0" borderId="10" xfId="3" applyFont="1" applyBorder="1" applyAlignment="1">
      <alignment horizontal="center" vertical="center"/>
    </xf>
    <xf numFmtId="0" fontId="64" fillId="0" borderId="88" xfId="3" applyFont="1" applyBorder="1" applyAlignment="1">
      <alignment horizontal="center" vertical="center"/>
    </xf>
    <xf numFmtId="43" fontId="64" fillId="0" borderId="4" xfId="1" applyFont="1" applyFill="1" applyBorder="1" applyAlignment="1">
      <alignment horizontal="center" vertical="center"/>
    </xf>
    <xf numFmtId="43" fontId="64" fillId="0" borderId="5" xfId="1" applyFont="1" applyFill="1" applyBorder="1" applyAlignment="1">
      <alignment horizontal="center" vertical="center"/>
    </xf>
    <xf numFmtId="43" fontId="64" fillId="0" borderId="1" xfId="1" applyFont="1" applyFill="1" applyBorder="1" applyAlignment="1">
      <alignment horizontal="center" vertical="center"/>
    </xf>
    <xf numFmtId="43" fontId="64" fillId="0" borderId="10" xfId="1" applyFont="1" applyFill="1" applyBorder="1" applyAlignment="1">
      <alignment horizontal="center" vertical="center"/>
    </xf>
    <xf numFmtId="43" fontId="64" fillId="0" borderId="32" xfId="1" applyFont="1" applyFill="1" applyBorder="1" applyAlignment="1">
      <alignment horizontal="center" vertical="center"/>
    </xf>
    <xf numFmtId="43" fontId="52" fillId="0" borderId="40" xfId="32" applyNumberFormat="1" applyFont="1" applyBorder="1" applyAlignment="1">
      <alignment horizontal="center"/>
    </xf>
    <xf numFmtId="43" fontId="52" fillId="0" borderId="0" xfId="32" applyNumberFormat="1" applyFont="1" applyBorder="1" applyAlignment="1">
      <alignment horizontal="center"/>
    </xf>
    <xf numFmtId="43" fontId="52" fillId="0" borderId="26" xfId="32" applyNumberFormat="1" applyFont="1" applyBorder="1" applyAlignment="1">
      <alignment horizontal="center"/>
    </xf>
    <xf numFmtId="17" fontId="53" fillId="0" borderId="102" xfId="41" quotePrefix="1" applyNumberFormat="1" applyFont="1" applyBorder="1" applyAlignment="1">
      <alignment horizontal="center"/>
    </xf>
    <xf numFmtId="0" fontId="52" fillId="8" borderId="103" xfId="41" applyFont="1" applyFill="1" applyBorder="1" applyAlignment="1">
      <alignment horizontal="center"/>
    </xf>
    <xf numFmtId="0" fontId="52" fillId="8" borderId="104" xfId="41" applyFont="1" applyFill="1" applyBorder="1" applyAlignment="1">
      <alignment horizontal="center"/>
    </xf>
    <xf numFmtId="43" fontId="52" fillId="8" borderId="103" xfId="32" applyNumberFormat="1" applyFont="1" applyFill="1" applyBorder="1" applyAlignment="1">
      <alignment horizontal="center"/>
    </xf>
    <xf numFmtId="43" fontId="52" fillId="8" borderId="104" xfId="32" applyNumberFormat="1" applyFont="1" applyFill="1" applyBorder="1" applyAlignment="1">
      <alignment horizontal="center"/>
    </xf>
    <xf numFmtId="43" fontId="52" fillId="8" borderId="105" xfId="32" applyNumberFormat="1" applyFont="1" applyFill="1" applyBorder="1" applyAlignment="1">
      <alignment horizontal="center"/>
    </xf>
    <xf numFmtId="43" fontId="53" fillId="0" borderId="40" xfId="32" applyNumberFormat="1" applyFont="1" applyBorder="1" applyAlignment="1">
      <alignment horizontal="left" vertical="top"/>
    </xf>
    <xf numFmtId="43" fontId="53" fillId="0" borderId="0" xfId="32" applyNumberFormat="1" applyFont="1" applyAlignment="1">
      <alignment horizontal="left" vertical="top"/>
    </xf>
    <xf numFmtId="43" fontId="52" fillId="0" borderId="0" xfId="32" applyNumberFormat="1" applyFont="1" applyAlignment="1">
      <alignment vertical="center"/>
    </xf>
    <xf numFmtId="0" fontId="14" fillId="0" borderId="12" xfId="7" applyFont="1" applyBorder="1" applyAlignment="1">
      <alignment horizontal="left"/>
    </xf>
    <xf numFmtId="0" fontId="14" fillId="0" borderId="14" xfId="7" applyFont="1" applyBorder="1" applyAlignment="1">
      <alignment horizontal="left"/>
    </xf>
    <xf numFmtId="0" fontId="14" fillId="0" borderId="15" xfId="7" applyFont="1" applyBorder="1" applyAlignment="1">
      <alignment horizontal="left"/>
    </xf>
    <xf numFmtId="0" fontId="17" fillId="0" borderId="32" xfId="7" applyFont="1" applyBorder="1" applyAlignment="1">
      <alignment horizontal="left"/>
    </xf>
    <xf numFmtId="0" fontId="17" fillId="0" borderId="31" xfId="7" applyFont="1" applyBorder="1" applyAlignment="1">
      <alignment horizontal="left"/>
    </xf>
    <xf numFmtId="4" fontId="18" fillId="4" borderId="46" xfId="7" applyNumberFormat="1" applyFont="1" applyFill="1" applyBorder="1" applyAlignment="1">
      <alignment horizontal="center"/>
    </xf>
    <xf numFmtId="4" fontId="18" fillId="4" borderId="41" xfId="7" applyNumberFormat="1" applyFont="1" applyFill="1" applyBorder="1" applyAlignment="1">
      <alignment horizontal="center"/>
    </xf>
    <xf numFmtId="4" fontId="18" fillId="4" borderId="40" xfId="7" applyNumberFormat="1" applyFont="1" applyFill="1" applyBorder="1" applyAlignment="1">
      <alignment horizontal="center"/>
    </xf>
    <xf numFmtId="4" fontId="18" fillId="4" borderId="26" xfId="7" applyNumberFormat="1" applyFont="1" applyFill="1" applyBorder="1" applyAlignment="1">
      <alignment horizontal="center"/>
    </xf>
    <xf numFmtId="3" fontId="18" fillId="4" borderId="13" xfId="7" applyNumberFormat="1" applyFont="1" applyFill="1" applyBorder="1" applyAlignment="1">
      <alignment horizontal="center"/>
    </xf>
    <xf numFmtId="3" fontId="18" fillId="4" borderId="3" xfId="7" applyNumberFormat="1" applyFont="1" applyFill="1" applyBorder="1" applyAlignment="1">
      <alignment horizontal="center"/>
    </xf>
    <xf numFmtId="168" fontId="18" fillId="4" borderId="2" xfId="7" applyNumberFormat="1" applyFont="1" applyFill="1" applyBorder="1" applyAlignment="1">
      <alignment horizontal="center"/>
    </xf>
    <xf numFmtId="168" fontId="18" fillId="4" borderId="3" xfId="7" applyNumberFormat="1" applyFont="1" applyFill="1" applyBorder="1" applyAlignment="1">
      <alignment horizontal="center"/>
    </xf>
    <xf numFmtId="0" fontId="18" fillId="4" borderId="40" xfId="7" applyFont="1" applyFill="1" applyBorder="1" applyAlignment="1">
      <alignment horizontal="center"/>
    </xf>
    <xf numFmtId="0" fontId="18" fillId="4" borderId="0" xfId="7" applyFont="1" applyFill="1" applyAlignment="1">
      <alignment horizontal="center"/>
    </xf>
    <xf numFmtId="3" fontId="18" fillId="6" borderId="13" xfId="7" applyNumberFormat="1" applyFont="1" applyFill="1" applyBorder="1" applyAlignment="1">
      <alignment horizontal="center"/>
    </xf>
    <xf numFmtId="3" fontId="18" fillId="6" borderId="3" xfId="7" applyNumberFormat="1" applyFont="1" applyFill="1" applyBorder="1" applyAlignment="1">
      <alignment horizontal="center"/>
    </xf>
    <xf numFmtId="168" fontId="18" fillId="6" borderId="46" xfId="7" applyNumberFormat="1" applyFont="1" applyFill="1" applyBorder="1" applyAlignment="1">
      <alignment horizontal="center"/>
    </xf>
    <xf numFmtId="168" fontId="18" fillId="6" borderId="42" xfId="7" applyNumberFormat="1" applyFont="1" applyFill="1" applyBorder="1" applyAlignment="1">
      <alignment horizontal="center"/>
    </xf>
    <xf numFmtId="4" fontId="18" fillId="6" borderId="46" xfId="7" applyNumberFormat="1" applyFont="1" applyFill="1" applyBorder="1" applyAlignment="1">
      <alignment horizontal="center"/>
    </xf>
    <xf numFmtId="4" fontId="18" fillId="6" borderId="41" xfId="7" applyNumberFormat="1" applyFont="1" applyFill="1" applyBorder="1" applyAlignment="1">
      <alignment horizontal="center"/>
    </xf>
    <xf numFmtId="4" fontId="18" fillId="6" borderId="40" xfId="7" applyNumberFormat="1" applyFont="1" applyFill="1" applyBorder="1" applyAlignment="1">
      <alignment horizontal="center"/>
    </xf>
    <xf numFmtId="4" fontId="18" fillId="6" borderId="26" xfId="7" applyNumberFormat="1" applyFont="1" applyFill="1" applyBorder="1" applyAlignment="1">
      <alignment horizontal="center"/>
    </xf>
    <xf numFmtId="0" fontId="18" fillId="6" borderId="40" xfId="7" applyFont="1" applyFill="1" applyBorder="1" applyAlignment="1">
      <alignment horizontal="center"/>
    </xf>
    <xf numFmtId="0" fontId="18" fillId="6" borderId="0" xfId="7" applyFont="1" applyFill="1" applyAlignment="1">
      <alignment horizontal="center"/>
    </xf>
    <xf numFmtId="3" fontId="18" fillId="7" borderId="13" xfId="7" applyNumberFormat="1" applyFont="1" applyFill="1" applyBorder="1" applyAlignment="1">
      <alignment horizontal="center"/>
    </xf>
    <xf numFmtId="3" fontId="18" fillId="7" borderId="3" xfId="7" applyNumberFormat="1" applyFont="1" applyFill="1" applyBorder="1" applyAlignment="1">
      <alignment horizontal="center"/>
    </xf>
    <xf numFmtId="168" fontId="18" fillId="7" borderId="2" xfId="7" applyNumberFormat="1" applyFont="1" applyFill="1" applyBorder="1" applyAlignment="1">
      <alignment horizontal="center"/>
    </xf>
    <xf numFmtId="168" fontId="18" fillId="7" borderId="3" xfId="7" applyNumberFormat="1" applyFont="1" applyFill="1" applyBorder="1" applyAlignment="1">
      <alignment horizontal="center"/>
    </xf>
    <xf numFmtId="4" fontId="18" fillId="7" borderId="46" xfId="7" applyNumberFormat="1" applyFont="1" applyFill="1" applyBorder="1" applyAlignment="1">
      <alignment horizontal="center"/>
    </xf>
    <xf numFmtId="4" fontId="18" fillId="7" borderId="41" xfId="7" applyNumberFormat="1" applyFont="1" applyFill="1" applyBorder="1" applyAlignment="1">
      <alignment horizontal="center"/>
    </xf>
    <xf numFmtId="4" fontId="14" fillId="0" borderId="2" xfId="7" applyNumberFormat="1" applyFont="1" applyBorder="1" applyAlignment="1">
      <alignment horizontal="center"/>
    </xf>
    <xf numFmtId="4" fontId="14" fillId="0" borderId="13" xfId="7" applyNumberFormat="1" applyFont="1" applyBorder="1" applyAlignment="1">
      <alignment horizontal="center"/>
    </xf>
    <xf numFmtId="4" fontId="14" fillId="0" borderId="3" xfId="7" applyNumberFormat="1" applyFont="1" applyBorder="1" applyAlignment="1">
      <alignment horizontal="center"/>
    </xf>
    <xf numFmtId="4" fontId="18" fillId="7" borderId="40" xfId="7" applyNumberFormat="1" applyFont="1" applyFill="1" applyBorder="1" applyAlignment="1">
      <alignment horizontal="center"/>
    </xf>
    <xf numFmtId="4" fontId="18" fillId="7" borderId="26" xfId="7" applyNumberFormat="1" applyFont="1" applyFill="1" applyBorder="1" applyAlignment="1">
      <alignment horizontal="center"/>
    </xf>
    <xf numFmtId="0" fontId="18" fillId="7" borderId="40" xfId="7" applyFont="1" applyFill="1" applyBorder="1" applyAlignment="1">
      <alignment horizontal="center"/>
    </xf>
    <xf numFmtId="0" fontId="18" fillId="7" borderId="0" xfId="7" applyFont="1" applyFill="1" applyAlignment="1">
      <alignment horizontal="center"/>
    </xf>
    <xf numFmtId="0" fontId="24" fillId="0" borderId="2" xfId="9" applyFont="1" applyBorder="1" applyAlignment="1">
      <alignment horizontal="center" vertical="center"/>
    </xf>
    <xf numFmtId="0" fontId="24" fillId="0" borderId="13" xfId="9" applyFont="1" applyBorder="1" applyAlignment="1">
      <alignment horizontal="center" vertical="center"/>
    </xf>
    <xf numFmtId="0" fontId="24" fillId="0" borderId="3" xfId="9" applyFont="1" applyBorder="1" applyAlignment="1">
      <alignment horizontal="center" vertical="center"/>
    </xf>
    <xf numFmtId="0" fontId="24" fillId="0" borderId="2" xfId="9" applyFont="1" applyBorder="1" applyAlignment="1">
      <alignment horizontal="center"/>
    </xf>
    <xf numFmtId="0" fontId="24" fillId="0" borderId="3" xfId="9" applyFont="1" applyBorder="1" applyAlignment="1">
      <alignment horizontal="center"/>
    </xf>
    <xf numFmtId="0" fontId="24" fillId="0" borderId="13" xfId="9" applyFont="1" applyBorder="1" applyAlignment="1">
      <alignment horizontal="center"/>
    </xf>
    <xf numFmtId="0" fontId="29" fillId="0" borderId="2" xfId="9" applyFont="1" applyBorder="1" applyAlignment="1">
      <alignment horizontal="center"/>
    </xf>
    <xf numFmtId="0" fontId="29" fillId="0" borderId="13" xfId="9" applyFont="1" applyBorder="1" applyAlignment="1">
      <alignment horizontal="center"/>
    </xf>
    <xf numFmtId="0" fontId="29" fillId="0" borderId="3" xfId="9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/>
    </xf>
    <xf numFmtId="0" fontId="33" fillId="7" borderId="1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/>
    </xf>
    <xf numFmtId="0" fontId="9" fillId="6" borderId="41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6" borderId="3" xfId="0" applyFont="1" applyFill="1" applyBorder="1" applyAlignment="1">
      <alignment horizontal="center" vertical="center"/>
    </xf>
    <xf numFmtId="43" fontId="10" fillId="2" borderId="81" xfId="1" applyFont="1" applyFill="1" applyBorder="1" applyAlignment="1">
      <alignment horizontal="center" vertical="center"/>
    </xf>
    <xf numFmtId="43" fontId="10" fillId="2" borderId="17" xfId="1" applyFont="1" applyFill="1" applyBorder="1" applyAlignment="1">
      <alignment horizontal="center" vertical="center"/>
    </xf>
    <xf numFmtId="43" fontId="10" fillId="2" borderId="80" xfId="1" applyFont="1" applyFill="1" applyBorder="1" applyAlignment="1">
      <alignment horizontal="center" vertical="center"/>
    </xf>
    <xf numFmtId="43" fontId="43" fillId="0" borderId="79" xfId="1" applyFont="1" applyFill="1" applyBorder="1" applyAlignment="1">
      <alignment horizontal="center" vertical="center"/>
    </xf>
    <xf numFmtId="43" fontId="43" fillId="0" borderId="0" xfId="1" applyFont="1" applyFill="1" applyBorder="1" applyAlignment="1">
      <alignment horizontal="center" vertical="center"/>
    </xf>
    <xf numFmtId="43" fontId="43" fillId="0" borderId="7" xfId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33" fillId="4" borderId="1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</cellXfs>
  <cellStyles count="44">
    <cellStyle name="Comma" xfId="1" builtinId="3"/>
    <cellStyle name="Comma 10" xfId="28"/>
    <cellStyle name="Comma 10 2 2" xfId="18"/>
    <cellStyle name="Comma 2" xfId="10"/>
    <cellStyle name="Comma 2 2" xfId="16"/>
    <cellStyle name="Comma 2 4" xfId="12"/>
    <cellStyle name="Comma 3" xfId="20"/>
    <cellStyle name="Comma 3 4" xfId="40"/>
    <cellStyle name="Comma 36" xfId="23"/>
    <cellStyle name="Comma 4" xfId="14"/>
    <cellStyle name="Comma 47" xfId="35"/>
    <cellStyle name="Comma 5" xfId="8"/>
    <cellStyle name="Comma 5 2" xfId="17"/>
    <cellStyle name="Comma_20100427-STR-ARC" xfId="4"/>
    <cellStyle name="Normal" xfId="0" builtinId="0"/>
    <cellStyle name="Normal 10" xfId="27"/>
    <cellStyle name="Normal 10 2" xfId="36"/>
    <cellStyle name="Normal 2" xfId="3"/>
    <cellStyle name="Normal 2 3" xfId="11"/>
    <cellStyle name="Normal 3" xfId="15"/>
    <cellStyle name="Normal 35" xfId="22"/>
    <cellStyle name="Normal 37" xfId="24"/>
    <cellStyle name="Normal 39" xfId="26"/>
    <cellStyle name="Normal 4" xfId="7"/>
    <cellStyle name="Normal 4 2" xfId="21"/>
    <cellStyle name="Normal 5" xfId="9"/>
    <cellStyle name="Normal 5 2" xfId="13"/>
    <cellStyle name="Normal 9" xfId="38"/>
    <cellStyle name="Normal_boq ชลประทาน" xfId="6"/>
    <cellStyle name="Normal_BOQ แยกชั้น" xfId="39"/>
    <cellStyle name="Normal_BOQ-Structure" xfId="19"/>
    <cellStyle name="Normal_Vacboq01_prapai" xfId="37"/>
    <cellStyle name="เครื่องหมายจุลภาค 10" xfId="25"/>
    <cellStyle name="เครื่องหมายจุลภาค 2 2" xfId="32"/>
    <cellStyle name="เครื่องหมายจุลภาค 2 2 2" xfId="34"/>
    <cellStyle name="เครื่องหมายจุลภาค 2 3 2" xfId="33"/>
    <cellStyle name="เครื่องหมายจุลภาค 6" xfId="29"/>
    <cellStyle name="เครื่องหมายจุลภาค 7" xfId="43"/>
    <cellStyle name="ปกติ 2" xfId="31"/>
    <cellStyle name="ปกติ 2 2" xfId="41"/>
    <cellStyle name="ปกติ 2 3" xfId="42"/>
    <cellStyle name="ปกติ_ARCHITECTURE 2" xfId="2"/>
    <cellStyle name="ปกติ_BOQ.Blank Form" xfId="5"/>
    <cellStyle name="ปกติ_E431418E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2</xdr:row>
      <xdr:rowOff>238125</xdr:rowOff>
    </xdr:from>
    <xdr:to>
      <xdr:col>10</xdr:col>
      <xdr:colOff>542925</xdr:colOff>
      <xdr:row>3</xdr:row>
      <xdr:rowOff>190500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0DA3A67-B9E7-4A9A-8FF1-F5A7BD0AB429}"/>
            </a:ext>
          </a:extLst>
        </xdr:cNvPr>
        <xdr:cNvSpPr txBox="1">
          <a:spLocks noChangeArrowheads="1"/>
        </xdr:cNvSpPr>
      </xdr:nvSpPr>
      <xdr:spPr bwMode="auto">
        <a:xfrm>
          <a:off x="12399645" y="786765"/>
          <a:ext cx="8153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1924049</xdr:colOff>
      <xdr:row>2</xdr:row>
      <xdr:rowOff>249555</xdr:rowOff>
    </xdr:from>
    <xdr:to>
      <xdr:col>7</xdr:col>
      <xdr:colOff>140567</xdr:colOff>
      <xdr:row>3</xdr:row>
      <xdr:rowOff>220980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49833E3A-C2A5-4DED-8500-D5946166C914}"/>
            </a:ext>
          </a:extLst>
        </xdr:cNvPr>
        <xdr:cNvSpPr txBox="1">
          <a:spLocks noChangeArrowheads="1"/>
        </xdr:cNvSpPr>
      </xdr:nvSpPr>
      <xdr:spPr bwMode="auto">
        <a:xfrm>
          <a:off x="8187689" y="798195"/>
          <a:ext cx="1950318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6</xdr:col>
      <xdr:colOff>438150</xdr:colOff>
      <xdr:row>3</xdr:row>
      <xdr:rowOff>228600</xdr:rowOff>
    </xdr:from>
    <xdr:to>
      <xdr:col>6</xdr:col>
      <xdr:colOff>704850</xdr:colOff>
      <xdr:row>4</xdr:row>
      <xdr:rowOff>66675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115F5880-9DF5-4F9F-A0F1-65E04805F1B1}"/>
            </a:ext>
          </a:extLst>
        </xdr:cNvPr>
        <xdr:cNvSpPr>
          <a:spLocks noChangeArrowheads="1"/>
        </xdr:cNvSpPr>
      </xdr:nvSpPr>
      <xdr:spPr bwMode="auto">
        <a:xfrm>
          <a:off x="8629650" y="1043940"/>
          <a:ext cx="266700" cy="10477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456975</xdr:colOff>
      <xdr:row>35</xdr:row>
      <xdr:rowOff>272863</xdr:rowOff>
    </xdr:from>
    <xdr:to>
      <xdr:col>20</xdr:col>
      <xdr:colOff>192970</xdr:colOff>
      <xdr:row>38</xdr:row>
      <xdr:rowOff>225271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B7074A8-C6A3-48B6-B10E-667144CBD386}"/>
            </a:ext>
          </a:extLst>
        </xdr:cNvPr>
        <xdr:cNvSpPr txBox="1">
          <a:spLocks noChangeArrowheads="1"/>
        </xdr:cNvSpPr>
      </xdr:nvSpPr>
      <xdr:spPr bwMode="auto">
        <a:xfrm>
          <a:off x="19651755" y="10552243"/>
          <a:ext cx="1366675" cy="760128"/>
        </a:xfrm>
        <a:prstGeom prst="rect">
          <a:avLst/>
        </a:prstGeom>
        <a:solidFill>
          <a:srgbClr val="9999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lnSpc>
              <a:spcPts val="1400"/>
            </a:lnSpc>
            <a:defRPr sz="1000"/>
          </a:pPr>
          <a:r>
            <a:rPr lang="th-TH" sz="1400" b="0" i="0" strike="noStrike">
              <a:solidFill>
                <a:srgbClr val="000000"/>
              </a:solidFill>
              <a:latin typeface="Arial"/>
            </a:rPr>
            <a:t>มีปัญหาปรึกษา</a:t>
          </a:r>
        </a:p>
        <a:p>
          <a:pPr algn="l" rtl="1">
            <a:lnSpc>
              <a:spcPts val="1400"/>
            </a:lnSpc>
            <a:defRPr sz="1000"/>
          </a:pPr>
          <a:r>
            <a:rPr lang="th-TH" sz="1400" b="0" i="0" strike="noStrike">
              <a:solidFill>
                <a:srgbClr val="000000"/>
              </a:solidFill>
              <a:latin typeface="Arial"/>
            </a:rPr>
            <a:t>สุรสิทธิ์ </a:t>
          </a:r>
        </a:p>
        <a:p>
          <a:pPr algn="l" rtl="1">
            <a:lnSpc>
              <a:spcPts val="1400"/>
            </a:lnSpc>
            <a:defRPr sz="1000"/>
          </a:pPr>
          <a:r>
            <a:rPr lang="th-TH" sz="1400" b="0" i="0" strike="noStrike">
              <a:solidFill>
                <a:srgbClr val="0000FF"/>
              </a:solidFill>
              <a:latin typeface="Arial"/>
            </a:rPr>
            <a:t>089-213-0502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view="pageBreakPreview" zoomScale="44" zoomScaleNormal="120" zoomScaleSheetLayoutView="44" zoomScalePageLayoutView="120" workbookViewId="0">
      <selection activeCell="F23" sqref="F23:F26"/>
    </sheetView>
  </sheetViews>
  <sheetFormatPr defaultColWidth="8.85546875" defaultRowHeight="27.75"/>
  <cols>
    <col min="1" max="1" width="13.85546875" style="495" customWidth="1"/>
    <col min="2" max="2" width="11.7109375" style="495" customWidth="1"/>
    <col min="3" max="3" width="83.7109375" style="495" customWidth="1"/>
    <col min="4" max="4" width="30.7109375" style="499" customWidth="1"/>
    <col min="5" max="5" width="30.7109375" style="495" customWidth="1"/>
    <col min="6" max="6" width="26.140625" style="495" customWidth="1"/>
    <col min="7" max="16384" width="8.85546875" style="495"/>
  </cols>
  <sheetData>
    <row r="1" spans="1:5" s="477" customFormat="1">
      <c r="A1" s="966"/>
      <c r="B1" s="966"/>
      <c r="C1" s="966"/>
      <c r="E1" s="478"/>
    </row>
    <row r="2" spans="1:5" s="477" customFormat="1" ht="26.25" customHeight="1">
      <c r="A2" s="972" t="s">
        <v>399</v>
      </c>
      <c r="B2" s="972"/>
      <c r="C2" s="972"/>
      <c r="D2" s="972"/>
      <c r="E2" s="972"/>
    </row>
    <row r="3" spans="1:5" s="477" customFormat="1" ht="30" customHeight="1">
      <c r="A3" s="479" t="s">
        <v>400</v>
      </c>
      <c r="B3" s="480" t="s">
        <v>1379</v>
      </c>
      <c r="D3" s="481"/>
      <c r="E3" s="482"/>
    </row>
    <row r="4" spans="1:5" s="477" customFormat="1" ht="30" customHeight="1">
      <c r="A4" s="483" t="s">
        <v>401</v>
      </c>
      <c r="B4" s="484" t="s">
        <v>581</v>
      </c>
      <c r="D4" s="481"/>
      <c r="E4" s="485"/>
    </row>
    <row r="5" spans="1:5" s="489" customFormat="1" ht="30" customHeight="1">
      <c r="A5" s="483" t="s">
        <v>402</v>
      </c>
      <c r="B5" s="486" t="s">
        <v>406</v>
      </c>
      <c r="C5" s="486"/>
      <c r="D5" s="487"/>
      <c r="E5" s="488"/>
    </row>
    <row r="6" spans="1:5" s="489" customFormat="1" ht="30" customHeight="1">
      <c r="A6" s="483" t="s">
        <v>403</v>
      </c>
      <c r="B6" s="487"/>
      <c r="C6" s="487" t="s">
        <v>580</v>
      </c>
      <c r="D6" s="487"/>
      <c r="E6" s="488"/>
    </row>
    <row r="7" spans="1:5" s="489" customFormat="1" ht="30" customHeight="1">
      <c r="A7" s="483" t="s">
        <v>404</v>
      </c>
      <c r="B7" s="487"/>
      <c r="C7" s="487" t="s">
        <v>405</v>
      </c>
      <c r="D7" s="487"/>
      <c r="E7" s="488"/>
    </row>
    <row r="8" spans="1:5" s="489" customFormat="1" ht="30" customHeight="1">
      <c r="A8" s="483" t="s">
        <v>398</v>
      </c>
      <c r="B8" s="490"/>
      <c r="C8" s="491"/>
      <c r="D8" s="490"/>
      <c r="E8" s="485"/>
    </row>
    <row r="9" spans="1:5" s="489" customFormat="1" ht="20.100000000000001" customHeight="1">
      <c r="A9" s="490"/>
      <c r="B9" s="490"/>
      <c r="C9" s="490"/>
      <c r="D9" s="490"/>
      <c r="E9" s="488"/>
    </row>
    <row r="10" spans="1:5" s="489" customFormat="1" ht="24" customHeight="1">
      <c r="A10" s="967" t="s">
        <v>4</v>
      </c>
      <c r="B10" s="968" t="s">
        <v>5</v>
      </c>
      <c r="C10" s="969"/>
      <c r="D10" s="962" t="s">
        <v>407</v>
      </c>
      <c r="E10" s="964" t="s">
        <v>11</v>
      </c>
    </row>
    <row r="11" spans="1:5" s="489" customFormat="1">
      <c r="A11" s="967"/>
      <c r="B11" s="970"/>
      <c r="C11" s="971"/>
      <c r="D11" s="963"/>
      <c r="E11" s="965"/>
    </row>
    <row r="12" spans="1:5">
      <c r="A12" s="492"/>
      <c r="B12" s="978"/>
      <c r="C12" s="979"/>
      <c r="D12" s="493"/>
      <c r="E12" s="494"/>
    </row>
    <row r="13" spans="1:5">
      <c r="A13" s="505">
        <v>1</v>
      </c>
      <c r="B13" s="976" t="s">
        <v>656</v>
      </c>
      <c r="C13" s="976"/>
      <c r="D13" s="500"/>
      <c r="E13" s="496"/>
    </row>
    <row r="14" spans="1:5">
      <c r="A14" s="506">
        <v>2</v>
      </c>
      <c r="B14" s="977" t="s">
        <v>18</v>
      </c>
      <c r="C14" s="977"/>
      <c r="D14" s="501"/>
      <c r="E14" s="497"/>
    </row>
    <row r="15" spans="1:5">
      <c r="A15" s="506">
        <v>3</v>
      </c>
      <c r="B15" s="977" t="s">
        <v>236</v>
      </c>
      <c r="C15" s="977"/>
      <c r="D15" s="501"/>
      <c r="E15" s="497"/>
    </row>
    <row r="16" spans="1:5">
      <c r="A16" s="506">
        <v>4</v>
      </c>
      <c r="B16" s="977" t="s">
        <v>595</v>
      </c>
      <c r="C16" s="977"/>
      <c r="D16" s="501"/>
      <c r="E16" s="497"/>
    </row>
    <row r="17" spans="1:5">
      <c r="A17" s="506">
        <v>5</v>
      </c>
      <c r="B17" s="977" t="s">
        <v>648</v>
      </c>
      <c r="C17" s="977"/>
      <c r="D17" s="501"/>
      <c r="E17" s="497"/>
    </row>
    <row r="18" spans="1:5">
      <c r="A18" s="506">
        <v>6</v>
      </c>
      <c r="B18" s="977" t="s">
        <v>649</v>
      </c>
      <c r="C18" s="977"/>
      <c r="D18" s="501"/>
      <c r="E18" s="497"/>
    </row>
    <row r="19" spans="1:5">
      <c r="A19" s="506">
        <v>7</v>
      </c>
      <c r="B19" s="985" t="s">
        <v>703</v>
      </c>
      <c r="C19" s="986"/>
      <c r="D19" s="501"/>
      <c r="E19" s="497"/>
    </row>
    <row r="20" spans="1:5">
      <c r="A20" s="562">
        <v>8</v>
      </c>
      <c r="B20" s="502" t="str">
        <f>'ปร.5(ก)'!D18</f>
        <v>หมวดงานที่จอดรถยนต์และลานกิจกรรม</v>
      </c>
      <c r="C20" s="503"/>
      <c r="D20" s="563"/>
      <c r="E20" s="564"/>
    </row>
    <row r="21" spans="1:5">
      <c r="A21" s="938"/>
      <c r="B21" s="961" t="s">
        <v>1397</v>
      </c>
      <c r="C21" s="961"/>
      <c r="D21" s="939"/>
      <c r="E21" s="940"/>
    </row>
    <row r="22" spans="1:5">
      <c r="A22" s="941">
        <v>9</v>
      </c>
      <c r="B22" s="984" t="str">
        <f>'ปร.4 '!D21</f>
        <v>หมวดค่าใช้จ่ายพิเศษ</v>
      </c>
      <c r="C22" s="984"/>
      <c r="D22" s="942"/>
      <c r="E22" s="943"/>
    </row>
    <row r="23" spans="1:5">
      <c r="A23" s="938">
        <v>10</v>
      </c>
      <c r="B23" s="961" t="s">
        <v>238</v>
      </c>
      <c r="C23" s="961"/>
      <c r="D23" s="939"/>
      <c r="E23" s="944"/>
    </row>
    <row r="24" spans="1:5">
      <c r="A24" s="938"/>
      <c r="B24" s="961"/>
      <c r="C24" s="961"/>
      <c r="D24" s="939"/>
      <c r="E24" s="945"/>
    </row>
    <row r="25" spans="1:5">
      <c r="A25" s="938"/>
      <c r="B25" s="961" t="s">
        <v>1398</v>
      </c>
      <c r="C25" s="961"/>
      <c r="D25" s="939"/>
      <c r="E25" s="946"/>
    </row>
    <row r="26" spans="1:5">
      <c r="A26" s="973" t="s">
        <v>408</v>
      </c>
      <c r="B26" s="980" t="s">
        <v>1383</v>
      </c>
      <c r="C26" s="981"/>
      <c r="D26" s="939"/>
      <c r="E26" s="947"/>
    </row>
    <row r="27" spans="1:5" ht="30" customHeight="1">
      <c r="A27" s="974"/>
      <c r="B27" s="980" t="s">
        <v>409</v>
      </c>
      <c r="C27" s="981"/>
      <c r="D27" s="939"/>
      <c r="E27" s="948"/>
    </row>
    <row r="28" spans="1:5" ht="30" customHeight="1">
      <c r="A28" s="975"/>
      <c r="B28" s="982"/>
      <c r="C28" s="983"/>
      <c r="D28" s="949"/>
      <c r="E28" s="950"/>
    </row>
    <row r="29" spans="1:5" ht="31.5" customHeight="1">
      <c r="D29" s="495"/>
    </row>
    <row r="31" spans="1:5">
      <c r="D31" s="495"/>
    </row>
    <row r="32" spans="1:5">
      <c r="D32" s="495"/>
    </row>
    <row r="33" spans="1:5">
      <c r="D33" s="495"/>
    </row>
    <row r="34" spans="1:5">
      <c r="D34" s="495"/>
    </row>
    <row r="35" spans="1:5">
      <c r="D35" s="495"/>
    </row>
    <row r="36" spans="1:5">
      <c r="D36" s="495"/>
    </row>
    <row r="37" spans="1:5">
      <c r="D37" s="495"/>
    </row>
    <row r="38" spans="1:5">
      <c r="D38" s="495"/>
    </row>
    <row r="39" spans="1:5">
      <c r="A39" s="551"/>
      <c r="B39" s="552"/>
      <c r="C39" s="553"/>
      <c r="D39" s="498"/>
      <c r="E39" s="498"/>
    </row>
    <row r="40" spans="1:5">
      <c r="A40" s="498"/>
      <c r="B40" s="498"/>
      <c r="C40" s="553"/>
      <c r="D40" s="495"/>
    </row>
    <row r="41" spans="1:5">
      <c r="C41" s="553"/>
    </row>
  </sheetData>
  <mergeCells count="23">
    <mergeCell ref="A26:A28"/>
    <mergeCell ref="B13:C13"/>
    <mergeCell ref="B14:C14"/>
    <mergeCell ref="B15:C15"/>
    <mergeCell ref="B12:C12"/>
    <mergeCell ref="B27:C27"/>
    <mergeCell ref="B28:C28"/>
    <mergeCell ref="B25:C25"/>
    <mergeCell ref="B26:C26"/>
    <mergeCell ref="B16:C16"/>
    <mergeCell ref="B17:C17"/>
    <mergeCell ref="B18:C18"/>
    <mergeCell ref="B22:C22"/>
    <mergeCell ref="B23:C23"/>
    <mergeCell ref="B24:C24"/>
    <mergeCell ref="B19:C19"/>
    <mergeCell ref="B21:C21"/>
    <mergeCell ref="D10:D11"/>
    <mergeCell ref="E10:E11"/>
    <mergeCell ref="A1:C1"/>
    <mergeCell ref="A10:A11"/>
    <mergeCell ref="B10:C11"/>
    <mergeCell ref="A2:E2"/>
  </mergeCells>
  <printOptions horizontalCentered="1"/>
  <pageMargins left="0.25" right="0.25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topLeftCell="A7" zoomScale="62" zoomScaleSheetLayoutView="62" workbookViewId="0">
      <selection activeCell="J10" sqref="J10:K21"/>
    </sheetView>
  </sheetViews>
  <sheetFormatPr defaultColWidth="21.140625" defaultRowHeight="24"/>
  <cols>
    <col min="1" max="2" width="16.85546875" style="565" customWidth="1"/>
    <col min="3" max="3" width="34.5703125" style="565" bestFit="1" customWidth="1"/>
    <col min="4" max="4" width="21.140625" style="565"/>
    <col min="5" max="5" width="39.28515625" style="565" customWidth="1"/>
    <col min="6" max="6" width="23" style="565" bestFit="1" customWidth="1"/>
    <col min="7" max="7" width="21.140625" style="565" bestFit="1" customWidth="1"/>
    <col min="8" max="8" width="23" style="565" bestFit="1" customWidth="1"/>
    <col min="9" max="9" width="24.140625" style="565" customWidth="1"/>
    <col min="10" max="10" width="10.140625" style="565" customWidth="1"/>
    <col min="11" max="11" width="11.28515625" style="565" customWidth="1"/>
    <col min="12" max="16384" width="21.140625" style="565"/>
  </cols>
  <sheetData>
    <row r="1" spans="1:11" ht="23.25" customHeight="1">
      <c r="I1" s="566" t="s">
        <v>410</v>
      </c>
    </row>
    <row r="2" spans="1:11" ht="27.75" customHeight="1">
      <c r="C2" s="991" t="s">
        <v>411</v>
      </c>
      <c r="D2" s="991"/>
      <c r="E2" s="991"/>
      <c r="F2" s="991"/>
      <c r="G2" s="991"/>
      <c r="H2" s="991"/>
      <c r="I2" s="991"/>
    </row>
    <row r="3" spans="1:11" s="567" customFormat="1" ht="27" customHeight="1">
      <c r="C3" s="568" t="s">
        <v>400</v>
      </c>
      <c r="D3" s="987" t="s">
        <v>1377</v>
      </c>
      <c r="E3" s="987"/>
    </row>
    <row r="4" spans="1:11" s="567" customFormat="1" ht="27" customHeight="1">
      <c r="C4" s="569" t="s">
        <v>401</v>
      </c>
      <c r="D4" s="990" t="str">
        <f>ปร.6!B4</f>
        <v xml:space="preserve">มหาวิทยาลัยเทคโนโลยีราชมงคลอีสาน ตำบลหนองระเวียง อำเภอเมืองนครราชสีมา จังหวัดนครราชสีมา </v>
      </c>
      <c r="E4" s="990"/>
      <c r="F4" s="990"/>
      <c r="G4" s="990"/>
      <c r="H4" s="990"/>
    </row>
    <row r="5" spans="1:11" s="567" customFormat="1" ht="27" customHeight="1">
      <c r="C5" s="569" t="s">
        <v>402</v>
      </c>
      <c r="D5" s="570" t="s">
        <v>406</v>
      </c>
    </row>
    <row r="6" spans="1:11" s="567" customFormat="1" ht="27" customHeight="1">
      <c r="C6" s="569" t="s">
        <v>403</v>
      </c>
      <c r="D6" s="570" t="str">
        <f>ปร.6!C6</f>
        <v xml:space="preserve">มหาวิทยาลัยเทคโนโลยีราชมงคลอีสาน </v>
      </c>
    </row>
    <row r="7" spans="1:11" s="567" customFormat="1" ht="27" customHeight="1">
      <c r="C7" s="569" t="s">
        <v>412</v>
      </c>
      <c r="D7" s="570" t="s">
        <v>413</v>
      </c>
    </row>
    <row r="8" spans="1:11" s="567" customFormat="1" ht="27" customHeight="1">
      <c r="C8" s="569" t="s">
        <v>398</v>
      </c>
      <c r="D8" s="569"/>
      <c r="E8" s="571"/>
    </row>
    <row r="9" spans="1:11" ht="21" customHeight="1">
      <c r="I9" s="572" t="s">
        <v>414</v>
      </c>
    </row>
    <row r="10" spans="1:11" s="573" customFormat="1" ht="22.5" customHeight="1">
      <c r="C10" s="574" t="s">
        <v>4</v>
      </c>
      <c r="D10" s="988" t="s">
        <v>5</v>
      </c>
      <c r="E10" s="989"/>
      <c r="F10" s="574" t="s">
        <v>415</v>
      </c>
      <c r="G10" s="574" t="s">
        <v>416</v>
      </c>
      <c r="H10" s="574" t="s">
        <v>407</v>
      </c>
      <c r="I10" s="574" t="s">
        <v>11</v>
      </c>
      <c r="J10" s="575"/>
      <c r="K10" s="576"/>
    </row>
    <row r="11" spans="1:11" s="573" customFormat="1" ht="22.5" customHeight="1">
      <c r="A11" s="577"/>
      <c r="B11" s="577"/>
      <c r="C11" s="554">
        <v>1</v>
      </c>
      <c r="D11" s="976" t="s">
        <v>656</v>
      </c>
      <c r="E11" s="976"/>
      <c r="F11" s="578"/>
      <c r="G11" s="579"/>
      <c r="H11" s="580">
        <f>F11*G11</f>
        <v>0</v>
      </c>
      <c r="I11" s="581"/>
      <c r="K11" s="577"/>
    </row>
    <row r="12" spans="1:11" s="573" customFormat="1" ht="22.5" customHeight="1">
      <c r="A12" s="577"/>
      <c r="B12" s="582"/>
      <c r="C12" s="583">
        <v>2</v>
      </c>
      <c r="D12" s="977" t="s">
        <v>18</v>
      </c>
      <c r="E12" s="977"/>
      <c r="F12" s="584"/>
      <c r="G12" s="585"/>
      <c r="H12" s="584">
        <f t="shared" ref="H12:H18" si="0">F12*G12</f>
        <v>0</v>
      </c>
      <c r="I12" s="586"/>
      <c r="K12" s="577"/>
    </row>
    <row r="13" spans="1:11" s="573" customFormat="1" ht="22.5" customHeight="1">
      <c r="A13" s="577"/>
      <c r="B13" s="582"/>
      <c r="C13" s="583">
        <v>3</v>
      </c>
      <c r="D13" s="977" t="s">
        <v>236</v>
      </c>
      <c r="E13" s="977"/>
      <c r="F13" s="584"/>
      <c r="G13" s="585"/>
      <c r="H13" s="584">
        <f t="shared" si="0"/>
        <v>0</v>
      </c>
      <c r="I13" s="586"/>
      <c r="K13" s="577"/>
    </row>
    <row r="14" spans="1:11" s="573" customFormat="1" ht="22.5" customHeight="1">
      <c r="A14" s="577"/>
      <c r="B14" s="577"/>
      <c r="C14" s="583">
        <v>4</v>
      </c>
      <c r="D14" s="994" t="s">
        <v>595</v>
      </c>
      <c r="E14" s="994"/>
      <c r="F14" s="584"/>
      <c r="G14" s="585"/>
      <c r="H14" s="584">
        <f t="shared" si="0"/>
        <v>0</v>
      </c>
      <c r="I14" s="586"/>
      <c r="K14" s="577"/>
    </row>
    <row r="15" spans="1:11" s="573" customFormat="1" ht="22.5" customHeight="1">
      <c r="A15" s="577"/>
      <c r="B15" s="577"/>
      <c r="C15" s="583">
        <v>5</v>
      </c>
      <c r="D15" s="977" t="s">
        <v>648</v>
      </c>
      <c r="E15" s="977"/>
      <c r="F15" s="584"/>
      <c r="G15" s="585"/>
      <c r="H15" s="584">
        <f t="shared" si="0"/>
        <v>0</v>
      </c>
      <c r="I15" s="586"/>
      <c r="K15" s="577"/>
    </row>
    <row r="16" spans="1:11" s="573" customFormat="1" ht="22.5" customHeight="1">
      <c r="A16" s="577"/>
      <c r="B16" s="577"/>
      <c r="C16" s="583">
        <v>6</v>
      </c>
      <c r="D16" s="977" t="s">
        <v>649</v>
      </c>
      <c r="E16" s="977"/>
      <c r="F16" s="584"/>
      <c r="G16" s="585"/>
      <c r="H16" s="584">
        <f t="shared" si="0"/>
        <v>0</v>
      </c>
      <c r="I16" s="586"/>
      <c r="K16" s="577"/>
    </row>
    <row r="17" spans="1:11" s="573" customFormat="1" ht="22.5" customHeight="1">
      <c r="A17" s="577"/>
      <c r="B17" s="577"/>
      <c r="C17" s="583">
        <v>7</v>
      </c>
      <c r="D17" s="977" t="s">
        <v>703</v>
      </c>
      <c r="E17" s="977"/>
      <c r="F17" s="584"/>
      <c r="G17" s="585"/>
      <c r="H17" s="584">
        <f t="shared" si="0"/>
        <v>0</v>
      </c>
      <c r="I17" s="586"/>
      <c r="K17" s="577"/>
    </row>
    <row r="18" spans="1:11" s="573" customFormat="1" ht="22.5" customHeight="1">
      <c r="A18" s="577"/>
      <c r="B18" s="577"/>
      <c r="C18" s="588">
        <v>8</v>
      </c>
      <c r="D18" s="502" t="str">
        <f>'ปร.4 '!D20</f>
        <v>หมวดงานที่จอดรถยนต์และลานกิจกรรม</v>
      </c>
      <c r="E18" s="503"/>
      <c r="F18" s="589"/>
      <c r="G18" s="590"/>
      <c r="H18" s="589">
        <f t="shared" si="0"/>
        <v>0</v>
      </c>
      <c r="I18" s="591"/>
      <c r="K18" s="577"/>
    </row>
    <row r="19" spans="1:11" s="569" customFormat="1" ht="22.5" customHeight="1">
      <c r="A19" s="931"/>
      <c r="B19" s="931"/>
      <c r="C19" s="951"/>
      <c r="D19" s="952" t="s">
        <v>1396</v>
      </c>
      <c r="E19" s="953"/>
      <c r="F19" s="954"/>
      <c r="G19" s="955"/>
      <c r="H19" s="954">
        <f>SUM(H11:H18)</f>
        <v>0</v>
      </c>
      <c r="I19" s="932"/>
      <c r="K19" s="931"/>
    </row>
    <row r="20" spans="1:11" s="573" customFormat="1" ht="22.5" customHeight="1">
      <c r="A20" s="577"/>
      <c r="B20" s="577"/>
      <c r="C20" s="956">
        <v>9</v>
      </c>
      <c r="D20" s="1005" t="str">
        <f>'ปร.4 '!D21</f>
        <v>หมวดค่าใช้จ่ายพิเศษ</v>
      </c>
      <c r="E20" s="1006"/>
      <c r="F20" s="957"/>
      <c r="G20" s="958">
        <v>0</v>
      </c>
      <c r="H20" s="957">
        <f>F20</f>
        <v>0</v>
      </c>
      <c r="I20" s="594"/>
      <c r="K20" s="577"/>
    </row>
    <row r="21" spans="1:11" s="573" customFormat="1" ht="22.5" customHeight="1">
      <c r="A21" s="595"/>
      <c r="B21" s="595"/>
      <c r="C21" s="959"/>
      <c r="D21" s="995" t="s">
        <v>1399</v>
      </c>
      <c r="E21" s="996"/>
      <c r="F21" s="960"/>
      <c r="G21" s="954"/>
      <c r="H21" s="960">
        <f>+H19+H20</f>
        <v>0</v>
      </c>
      <c r="I21" s="596"/>
    </row>
    <row r="22" spans="1:11" s="573" customFormat="1" ht="22.5" customHeight="1">
      <c r="C22" s="597"/>
      <c r="D22" s="997"/>
      <c r="E22" s="998"/>
      <c r="F22" s="598"/>
      <c r="G22" s="598"/>
      <c r="H22" s="598"/>
      <c r="I22" s="599"/>
    </row>
    <row r="23" spans="1:11" s="573" customFormat="1" ht="22.5" customHeight="1">
      <c r="C23" s="600"/>
      <c r="D23" s="999" t="s">
        <v>1405</v>
      </c>
      <c r="E23" s="1000"/>
      <c r="F23" s="584"/>
      <c r="G23" s="584"/>
      <c r="H23" s="584"/>
      <c r="I23" s="584"/>
    </row>
    <row r="24" spans="1:11" s="573" customFormat="1" ht="22.5" customHeight="1">
      <c r="C24" s="600"/>
      <c r="D24" s="1001" t="s">
        <v>417</v>
      </c>
      <c r="E24" s="1002"/>
      <c r="F24" s="584"/>
      <c r="G24" s="584"/>
      <c r="H24" s="584"/>
      <c r="I24" s="584"/>
    </row>
    <row r="25" spans="1:11" s="573" customFormat="1" ht="22.5" customHeight="1">
      <c r="C25" s="600"/>
      <c r="D25" s="1001" t="s">
        <v>1395</v>
      </c>
      <c r="E25" s="1002"/>
      <c r="F25" s="584"/>
      <c r="G25" s="584"/>
      <c r="H25" s="584"/>
      <c r="I25" s="584"/>
    </row>
    <row r="26" spans="1:11" s="573" customFormat="1" ht="22.5" customHeight="1">
      <c r="C26" s="556"/>
      <c r="D26" s="1003" t="s">
        <v>784</v>
      </c>
      <c r="E26" s="1004"/>
      <c r="F26" s="593"/>
      <c r="G26" s="593"/>
      <c r="H26" s="593"/>
      <c r="I26" s="593"/>
    </row>
    <row r="27" spans="1:11" s="573" customFormat="1" ht="22.5" customHeight="1" thickBot="1">
      <c r="C27" s="601"/>
      <c r="D27" s="992" t="s">
        <v>418</v>
      </c>
      <c r="E27" s="993"/>
      <c r="F27" s="602"/>
      <c r="G27" s="602"/>
      <c r="H27" s="602"/>
      <c r="I27" s="602"/>
    </row>
    <row r="28" spans="1:11" ht="22.5" customHeight="1" thickTop="1"/>
    <row r="29" spans="1:11" ht="22.5" customHeight="1">
      <c r="E29" s="603"/>
      <c r="F29" s="604"/>
      <c r="G29" s="572"/>
      <c r="H29" s="605"/>
      <c r="I29" s="572"/>
    </row>
    <row r="30" spans="1:11" ht="22.5" customHeight="1"/>
    <row r="31" spans="1:11" ht="28.5" customHeight="1"/>
    <row r="32" spans="1:11" ht="28.5" customHeight="1"/>
  </sheetData>
  <mergeCells count="19">
    <mergeCell ref="D12:E12"/>
    <mergeCell ref="D13:E13"/>
    <mergeCell ref="D27:E27"/>
    <mergeCell ref="D14:E14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20:E20"/>
    <mergeCell ref="D3:E3"/>
    <mergeCell ref="D10:E10"/>
    <mergeCell ref="D11:E11"/>
    <mergeCell ref="D4:H4"/>
    <mergeCell ref="C2:I2"/>
  </mergeCells>
  <printOptions horizontalCentered="1"/>
  <pageMargins left="0.25" right="0.25" top="0.75" bottom="0.75" header="0.3" footer="0.3"/>
  <pageSetup paperSize="9" scale="53" fitToHeight="0" orientation="portrait" r:id="rId1"/>
  <rowBreaks count="1" manualBreakCount="1">
    <brk id="30" min="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10" zoomScale="59" zoomScaleSheetLayoutView="59" workbookViewId="0">
      <selection activeCell="D13" sqref="D13:F13"/>
    </sheetView>
  </sheetViews>
  <sheetFormatPr defaultColWidth="9" defaultRowHeight="24"/>
  <cols>
    <col min="1" max="1" width="9.42578125" style="565" customWidth="1"/>
    <col min="2" max="2" width="12" style="565" customWidth="1"/>
    <col min="3" max="3" width="9" style="565" customWidth="1"/>
    <col min="4" max="4" width="14.28515625" style="565" customWidth="1"/>
    <col min="5" max="5" width="14.140625" style="565" customWidth="1"/>
    <col min="6" max="6" width="15.140625" style="565" customWidth="1"/>
    <col min="7" max="7" width="31.85546875" style="565" customWidth="1"/>
    <col min="8" max="16384" width="9" style="565"/>
  </cols>
  <sheetData>
    <row r="1" spans="1:7" ht="24.75" customHeight="1">
      <c r="G1" s="572" t="s">
        <v>420</v>
      </c>
    </row>
    <row r="2" spans="1:7" ht="22.5" customHeight="1"/>
    <row r="3" spans="1:7" s="495" customFormat="1" ht="39" customHeight="1">
      <c r="A3" s="1007" t="s">
        <v>421</v>
      </c>
      <c r="B3" s="1007"/>
      <c r="C3" s="1007"/>
      <c r="D3" s="1007"/>
      <c r="E3" s="1007"/>
      <c r="F3" s="1007"/>
      <c r="G3" s="1007"/>
    </row>
    <row r="4" spans="1:7" s="495" customFormat="1" ht="30" customHeight="1">
      <c r="A4" s="606" t="s">
        <v>422</v>
      </c>
      <c r="B4" s="479" t="s">
        <v>693</v>
      </c>
      <c r="C4" s="479"/>
      <c r="D4" s="479"/>
      <c r="E4" s="479"/>
      <c r="F4" s="607"/>
      <c r="G4" s="607"/>
    </row>
    <row r="5" spans="1:7" s="498" customFormat="1" ht="30" customHeight="1">
      <c r="A5" s="606" t="s">
        <v>1378</v>
      </c>
      <c r="B5" s="608"/>
      <c r="C5" s="608"/>
    </row>
    <row r="6" spans="1:7" s="498" customFormat="1" ht="30" customHeight="1">
      <c r="A6" s="483" t="s">
        <v>401</v>
      </c>
      <c r="B6" s="479" t="str">
        <f>ปร.6!B4</f>
        <v xml:space="preserve">มหาวิทยาลัยเทคโนโลยีราชมงคลอีสาน ตำบลหนองระเวียง อำเภอเมืองนครราชสีมา จังหวัดนครราชสีมา </v>
      </c>
      <c r="C6" s="479"/>
      <c r="D6" s="609"/>
      <c r="E6" s="609"/>
    </row>
    <row r="7" spans="1:7" s="498" customFormat="1" ht="30" customHeight="1">
      <c r="A7" s="483" t="s">
        <v>402</v>
      </c>
      <c r="B7" s="483"/>
      <c r="C7" s="610" t="s">
        <v>406</v>
      </c>
    </row>
    <row r="8" spans="1:7" s="498" customFormat="1" ht="30" customHeight="1">
      <c r="A8" s="483" t="s">
        <v>403</v>
      </c>
      <c r="B8" s="479" t="str">
        <f>ปร.6!C6</f>
        <v xml:space="preserve">มหาวิทยาลัยเทคโนโลยีราชมงคลอีสาน </v>
      </c>
      <c r="D8" s="479"/>
      <c r="E8" s="479"/>
      <c r="F8" s="479"/>
      <c r="G8" s="479"/>
    </row>
    <row r="9" spans="1:7" s="498" customFormat="1" ht="30" customHeight="1">
      <c r="A9" s="483" t="s">
        <v>412</v>
      </c>
      <c r="B9" s="483"/>
      <c r="C9" s="610" t="s">
        <v>423</v>
      </c>
    </row>
    <row r="10" spans="1:7" s="498" customFormat="1" ht="30" customHeight="1">
      <c r="A10" s="483" t="s">
        <v>398</v>
      </c>
      <c r="B10" s="483"/>
      <c r="C10" s="611"/>
    </row>
    <row r="11" spans="1:7" ht="21.75" customHeight="1">
      <c r="G11" s="572" t="s">
        <v>414</v>
      </c>
    </row>
    <row r="12" spans="1:7" s="573" customFormat="1" ht="22.5" customHeight="1">
      <c r="A12" s="574" t="s">
        <v>4</v>
      </c>
      <c r="B12" s="988" t="s">
        <v>5</v>
      </c>
      <c r="C12" s="989"/>
      <c r="D12" s="574" t="s">
        <v>424</v>
      </c>
      <c r="E12" s="574" t="s">
        <v>425</v>
      </c>
      <c r="F12" s="574" t="s">
        <v>407</v>
      </c>
      <c r="G12" s="574" t="s">
        <v>11</v>
      </c>
    </row>
    <row r="13" spans="1:7" s="573" customFormat="1" ht="22.5" customHeight="1">
      <c r="A13" s="555">
        <v>10</v>
      </c>
      <c r="B13" s="997" t="s">
        <v>692</v>
      </c>
      <c r="C13" s="998"/>
      <c r="D13" s="578"/>
      <c r="E13" s="578"/>
      <c r="F13" s="578"/>
      <c r="G13" s="554"/>
    </row>
    <row r="14" spans="1:7" s="573" customFormat="1" ht="22.5" customHeight="1">
      <c r="A14" s="583"/>
      <c r="B14" s="1001"/>
      <c r="C14" s="1002"/>
      <c r="D14" s="584"/>
      <c r="E14" s="584"/>
      <c r="F14" s="584">
        <f t="shared" ref="F14" si="0">D14*E14</f>
        <v>0</v>
      </c>
      <c r="G14" s="583"/>
    </row>
    <row r="15" spans="1:7" s="573" customFormat="1" ht="22.5" customHeight="1">
      <c r="A15" s="583"/>
      <c r="B15" s="1001"/>
      <c r="C15" s="1002"/>
      <c r="D15" s="584"/>
      <c r="E15" s="584"/>
      <c r="F15" s="584"/>
      <c r="G15" s="583"/>
    </row>
    <row r="16" spans="1:7" s="573" customFormat="1" ht="22.5" customHeight="1">
      <c r="A16" s="583"/>
      <c r="B16" s="1001"/>
      <c r="C16" s="1002"/>
      <c r="D16" s="584"/>
      <c r="E16" s="584"/>
      <c r="F16" s="584"/>
      <c r="G16" s="583"/>
    </row>
    <row r="17" spans="1:7" s="573" customFormat="1">
      <c r="A17" s="583"/>
      <c r="B17" s="1001"/>
      <c r="C17" s="1002"/>
      <c r="D17" s="584"/>
      <c r="E17" s="584"/>
      <c r="F17" s="584"/>
      <c r="G17" s="583"/>
    </row>
    <row r="18" spans="1:7" s="573" customFormat="1">
      <c r="A18" s="583"/>
      <c r="B18" s="1001"/>
      <c r="C18" s="1002"/>
      <c r="D18" s="584"/>
      <c r="E18" s="584"/>
      <c r="F18" s="584"/>
      <c r="G18" s="583"/>
    </row>
    <row r="19" spans="1:7" s="573" customFormat="1">
      <c r="A19" s="600"/>
      <c r="B19" s="1001"/>
      <c r="C19" s="1002"/>
      <c r="D19" s="584"/>
      <c r="E19" s="584"/>
      <c r="F19" s="584"/>
      <c r="G19" s="584"/>
    </row>
    <row r="20" spans="1:7" s="573" customFormat="1">
      <c r="A20" s="600"/>
      <c r="B20" s="1001"/>
      <c r="C20" s="1002"/>
      <c r="D20" s="584"/>
      <c r="E20" s="584"/>
      <c r="F20" s="584"/>
      <c r="G20" s="584"/>
    </row>
    <row r="21" spans="1:7" s="573" customFormat="1">
      <c r="A21" s="583"/>
      <c r="B21" s="1001"/>
      <c r="C21" s="1002"/>
      <c r="D21" s="584"/>
      <c r="E21" s="584"/>
      <c r="F21" s="584"/>
      <c r="G21" s="584"/>
    </row>
    <row r="22" spans="1:7" s="573" customFormat="1" ht="24.75" thickBot="1">
      <c r="A22" s="612"/>
      <c r="B22" s="1010"/>
      <c r="C22" s="1011"/>
      <c r="D22" s="613"/>
      <c r="E22" s="613"/>
      <c r="F22" s="613"/>
      <c r="G22" s="613"/>
    </row>
    <row r="23" spans="1:7" ht="25.5" thickTop="1" thickBot="1">
      <c r="D23" s="1008" t="s">
        <v>419</v>
      </c>
      <c r="E23" s="1009"/>
      <c r="F23" s="614"/>
    </row>
    <row r="24" spans="1:7" ht="24.75" thickTop="1"/>
  </sheetData>
  <mergeCells count="13">
    <mergeCell ref="A3:G3"/>
    <mergeCell ref="B14:C14"/>
    <mergeCell ref="B12:C12"/>
    <mergeCell ref="B13:C13"/>
    <mergeCell ref="D23:E23"/>
    <mergeCell ref="B15:C15"/>
    <mergeCell ref="B21:C21"/>
    <mergeCell ref="B22:C22"/>
    <mergeCell ref="B17:C17"/>
    <mergeCell ref="B18:C18"/>
    <mergeCell ref="B19:C19"/>
    <mergeCell ref="B20:C20"/>
    <mergeCell ref="B16:C16"/>
  </mergeCells>
  <printOptions horizontalCentered="1"/>
  <pageMargins left="0.59055118110236227" right="0.11811023622047245" top="0.74803149606299213" bottom="0.74803149606299213" header="0.31496062992125984" footer="0.31496062992125984"/>
  <pageSetup paperSize="9" scale="70" fitToWidth="0" fitToHeight="0" orientation="portrait" r:id="rId1"/>
  <colBreaks count="1" manualBreakCount="1">
    <brk id="7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2439"/>
  <sheetViews>
    <sheetView view="pageBreakPreview" topLeftCell="A627" zoomScale="46" zoomScaleNormal="55" zoomScaleSheetLayoutView="46" zoomScalePageLayoutView="25" workbookViewId="0">
      <selection activeCell="N269" sqref="N269"/>
    </sheetView>
  </sheetViews>
  <sheetFormatPr defaultColWidth="8.85546875" defaultRowHeight="24"/>
  <cols>
    <col min="1" max="2" width="3.7109375" style="565" customWidth="1"/>
    <col min="3" max="3" width="8.140625" style="565" customWidth="1"/>
    <col min="4" max="4" width="68.42578125" style="565" customWidth="1"/>
    <col min="5" max="5" width="17.140625" style="775" customWidth="1"/>
    <col min="6" max="6" width="9.140625" style="572" customWidth="1"/>
    <col min="7" max="7" width="19.7109375" style="779" customWidth="1"/>
    <col min="8" max="8" width="21.140625" style="605" customWidth="1"/>
    <col min="9" max="9" width="19.85546875" style="605" customWidth="1"/>
    <col min="10" max="10" width="21.42578125" style="605" customWidth="1"/>
    <col min="11" max="11" width="21.140625" style="605" customWidth="1"/>
    <col min="12" max="12" width="35.42578125" style="783" customWidth="1"/>
    <col min="13" max="13" width="15.7109375" style="565" customWidth="1"/>
    <col min="14" max="14" width="15.42578125" style="565" bestFit="1" customWidth="1"/>
    <col min="15" max="15" width="10.140625" style="565" bestFit="1" customWidth="1"/>
    <col min="16" max="16" width="11.140625" style="565" bestFit="1" customWidth="1"/>
    <col min="17" max="17" width="12.140625" style="565" bestFit="1" customWidth="1"/>
    <col min="18" max="18" width="13.140625" style="565" customWidth="1"/>
    <col min="19" max="16384" width="8.85546875" style="565"/>
  </cols>
  <sheetData>
    <row r="1" spans="3:13" s="615" customFormat="1" ht="30" customHeight="1">
      <c r="C1" s="1012" t="s">
        <v>0</v>
      </c>
      <c r="D1" s="1012"/>
      <c r="E1" s="1012"/>
      <c r="F1" s="1012"/>
      <c r="G1" s="1012"/>
      <c r="H1" s="1012"/>
      <c r="I1" s="1012"/>
      <c r="J1" s="1012"/>
      <c r="K1" s="1012"/>
      <c r="L1" s="1012"/>
    </row>
    <row r="2" spans="3:13" s="615" customFormat="1" ht="30" customHeight="1">
      <c r="C2" s="616" t="s">
        <v>1379</v>
      </c>
      <c r="D2" s="616"/>
      <c r="E2" s="617"/>
      <c r="F2" s="618"/>
      <c r="L2" s="619"/>
    </row>
    <row r="3" spans="3:13" s="615" customFormat="1" ht="30" customHeight="1">
      <c r="C3" s="620" t="s">
        <v>1</v>
      </c>
      <c r="D3" s="620"/>
      <c r="E3" s="617"/>
      <c r="F3" s="618"/>
      <c r="G3" s="621"/>
      <c r="H3" s="621"/>
      <c r="I3" s="621"/>
      <c r="J3" s="621"/>
      <c r="K3" s="621"/>
      <c r="L3" s="622"/>
    </row>
    <row r="4" spans="3:13" s="615" customFormat="1" ht="30" customHeight="1">
      <c r="C4" s="623" t="s">
        <v>582</v>
      </c>
      <c r="D4" s="623"/>
      <c r="E4" s="617"/>
      <c r="F4" s="618"/>
      <c r="H4" s="622"/>
      <c r="I4" s="621"/>
      <c r="J4" s="621"/>
      <c r="K4" s="624"/>
      <c r="L4" s="625"/>
    </row>
    <row r="5" spans="3:13" s="573" customFormat="1" ht="30" customHeight="1">
      <c r="C5" s="626" t="s">
        <v>3</v>
      </c>
      <c r="D5" s="626"/>
      <c r="E5" s="617"/>
      <c r="F5" s="575"/>
      <c r="L5" s="627"/>
    </row>
    <row r="6" spans="3:13" s="573" customFormat="1">
      <c r="C6" s="628"/>
      <c r="D6" s="628"/>
      <c r="E6" s="629"/>
      <c r="F6" s="630"/>
      <c r="G6" s="628"/>
      <c r="H6" s="628"/>
      <c r="I6" s="628"/>
      <c r="J6" s="631"/>
      <c r="K6" s="631"/>
      <c r="L6" s="628"/>
    </row>
    <row r="7" spans="3:13" s="573" customFormat="1">
      <c r="C7" s="1013" t="s">
        <v>4</v>
      </c>
      <c r="D7" s="1013" t="s">
        <v>5</v>
      </c>
      <c r="E7" s="1019" t="s">
        <v>6</v>
      </c>
      <c r="F7" s="1021" t="s">
        <v>7</v>
      </c>
      <c r="G7" s="1016" t="s">
        <v>8</v>
      </c>
      <c r="H7" s="1016"/>
      <c r="I7" s="1016" t="s">
        <v>9</v>
      </c>
      <c r="J7" s="1017"/>
      <c r="K7" s="1018" t="s">
        <v>10</v>
      </c>
      <c r="L7" s="1015" t="s">
        <v>11</v>
      </c>
      <c r="M7" s="576"/>
    </row>
    <row r="8" spans="3:13" s="573" customFormat="1">
      <c r="C8" s="1014"/>
      <c r="D8" s="1014"/>
      <c r="E8" s="1020"/>
      <c r="F8" s="1021"/>
      <c r="G8" s="635" t="s">
        <v>12</v>
      </c>
      <c r="H8" s="636" t="s">
        <v>13</v>
      </c>
      <c r="I8" s="637" t="s">
        <v>12</v>
      </c>
      <c r="J8" s="636" t="s">
        <v>13</v>
      </c>
      <c r="K8" s="1018"/>
      <c r="L8" s="1015"/>
    </row>
    <row r="9" spans="3:13" s="573" customFormat="1">
      <c r="C9" s="634"/>
      <c r="D9" s="634"/>
      <c r="E9" s="638"/>
      <c r="F9" s="638"/>
      <c r="G9" s="639"/>
      <c r="H9" s="638"/>
      <c r="I9" s="639"/>
      <c r="J9" s="638"/>
      <c r="K9" s="640"/>
      <c r="L9" s="641"/>
    </row>
    <row r="10" spans="3:13" s="573" customFormat="1">
      <c r="C10" s="642"/>
      <c r="D10" s="643" t="s">
        <v>426</v>
      </c>
      <c r="E10" s="644"/>
      <c r="F10" s="645"/>
      <c r="G10" s="646"/>
      <c r="H10" s="647"/>
      <c r="I10" s="646"/>
      <c r="J10" s="647"/>
      <c r="K10" s="645"/>
      <c r="L10" s="648" t="s">
        <v>789</v>
      </c>
    </row>
    <row r="11" spans="3:13" s="573" customFormat="1">
      <c r="C11" s="583">
        <v>1</v>
      </c>
      <c r="D11" s="557" t="s">
        <v>656</v>
      </c>
      <c r="E11" s="649">
        <v>1</v>
      </c>
      <c r="F11" s="650" t="s">
        <v>41</v>
      </c>
      <c r="G11" s="646"/>
      <c r="H11" s="645"/>
      <c r="I11" s="651"/>
      <c r="J11" s="645"/>
      <c r="K11" s="645"/>
      <c r="L11" s="648"/>
    </row>
    <row r="12" spans="3:13" s="573" customFormat="1">
      <c r="C12" s="583">
        <v>2</v>
      </c>
      <c r="D12" s="557" t="s">
        <v>783</v>
      </c>
      <c r="E12" s="649"/>
      <c r="F12" s="650"/>
      <c r="G12" s="646"/>
      <c r="H12" s="645"/>
      <c r="I12" s="646"/>
      <c r="J12" s="645"/>
      <c r="K12" s="645"/>
      <c r="L12" s="648"/>
    </row>
    <row r="13" spans="3:13" s="573" customFormat="1">
      <c r="C13" s="583"/>
      <c r="D13" s="557" t="s">
        <v>800</v>
      </c>
      <c r="E13" s="649">
        <v>1</v>
      </c>
      <c r="F13" s="650" t="s">
        <v>41</v>
      </c>
      <c r="G13" s="646"/>
      <c r="H13" s="645"/>
      <c r="I13" s="651"/>
      <c r="J13" s="645"/>
      <c r="K13" s="645"/>
      <c r="L13" s="648"/>
    </row>
    <row r="14" spans="3:13" s="573" customFormat="1">
      <c r="C14" s="583"/>
      <c r="D14" s="557" t="s">
        <v>801</v>
      </c>
      <c r="E14" s="649">
        <v>1</v>
      </c>
      <c r="F14" s="650" t="s">
        <v>41</v>
      </c>
      <c r="G14" s="646"/>
      <c r="H14" s="645"/>
      <c r="I14" s="651"/>
      <c r="J14" s="645"/>
      <c r="K14" s="645"/>
      <c r="L14" s="648"/>
    </row>
    <row r="15" spans="3:13" s="573" customFormat="1">
      <c r="C15" s="583">
        <v>3</v>
      </c>
      <c r="D15" s="557" t="s">
        <v>236</v>
      </c>
      <c r="E15" s="649">
        <v>1</v>
      </c>
      <c r="F15" s="650" t="s">
        <v>41</v>
      </c>
      <c r="G15" s="646"/>
      <c r="H15" s="645"/>
      <c r="I15" s="651"/>
      <c r="J15" s="645"/>
      <c r="K15" s="645"/>
      <c r="L15" s="648"/>
      <c r="M15" s="595"/>
    </row>
    <row r="16" spans="3:13" s="573" customFormat="1">
      <c r="C16" s="583">
        <v>4</v>
      </c>
      <c r="D16" s="557" t="s">
        <v>50</v>
      </c>
      <c r="E16" s="649">
        <v>1</v>
      </c>
      <c r="F16" s="650" t="s">
        <v>41</v>
      </c>
      <c r="G16" s="646"/>
      <c r="H16" s="645"/>
      <c r="I16" s="651"/>
      <c r="J16" s="645"/>
      <c r="K16" s="645"/>
      <c r="L16" s="648"/>
    </row>
    <row r="17" spans="3:12" s="573" customFormat="1">
      <c r="C17" s="583">
        <v>5</v>
      </c>
      <c r="D17" s="557" t="s">
        <v>648</v>
      </c>
      <c r="E17" s="649">
        <v>1</v>
      </c>
      <c r="F17" s="650" t="s">
        <v>41</v>
      </c>
      <c r="G17" s="646"/>
      <c r="H17" s="645"/>
      <c r="I17" s="651"/>
      <c r="J17" s="645"/>
      <c r="K17" s="645"/>
      <c r="L17" s="648"/>
    </row>
    <row r="18" spans="3:12" s="573" customFormat="1">
      <c r="C18" s="583">
        <v>6</v>
      </c>
      <c r="D18" s="557" t="s">
        <v>237</v>
      </c>
      <c r="E18" s="649">
        <v>1</v>
      </c>
      <c r="F18" s="650" t="s">
        <v>41</v>
      </c>
      <c r="G18" s="652"/>
      <c r="H18" s="645"/>
      <c r="I18" s="651"/>
      <c r="J18" s="645"/>
      <c r="K18" s="645"/>
      <c r="L18" s="648"/>
    </row>
    <row r="19" spans="3:12" s="573" customFormat="1">
      <c r="C19" s="583">
        <v>7</v>
      </c>
      <c r="D19" s="557" t="s">
        <v>703</v>
      </c>
      <c r="E19" s="649">
        <v>1</v>
      </c>
      <c r="F19" s="650" t="s">
        <v>41</v>
      </c>
      <c r="G19" s="652"/>
      <c r="H19" s="645"/>
      <c r="I19" s="651"/>
      <c r="J19" s="645"/>
      <c r="K19" s="645"/>
      <c r="L19" s="648"/>
    </row>
    <row r="20" spans="3:12" s="573" customFormat="1">
      <c r="C20" s="583">
        <v>8</v>
      </c>
      <c r="D20" s="557" t="s">
        <v>1391</v>
      </c>
      <c r="E20" s="649">
        <v>1</v>
      </c>
      <c r="F20" s="650" t="s">
        <v>41</v>
      </c>
      <c r="G20" s="653"/>
      <c r="H20" s="645"/>
      <c r="I20" s="651"/>
      <c r="J20" s="645"/>
      <c r="K20" s="645"/>
      <c r="L20" s="648"/>
    </row>
    <row r="21" spans="3:12" s="573" customFormat="1">
      <c r="C21" s="583">
        <v>9</v>
      </c>
      <c r="D21" s="557" t="s">
        <v>989</v>
      </c>
      <c r="E21" s="649">
        <v>1</v>
      </c>
      <c r="F21" s="650" t="s">
        <v>41</v>
      </c>
      <c r="G21" s="653"/>
      <c r="H21" s="645"/>
      <c r="I21" s="651"/>
      <c r="J21" s="645"/>
      <c r="K21" s="645"/>
      <c r="L21" s="648"/>
    </row>
    <row r="22" spans="3:12" s="573" customFormat="1">
      <c r="C22" s="583"/>
      <c r="D22" s="557"/>
      <c r="E22" s="649"/>
      <c r="F22" s="650"/>
      <c r="G22" s="646"/>
      <c r="H22" s="645"/>
      <c r="I22" s="646"/>
      <c r="J22" s="645"/>
      <c r="K22" s="645"/>
      <c r="L22" s="648"/>
    </row>
    <row r="23" spans="3:12">
      <c r="C23" s="654"/>
      <c r="D23" s="592" t="s">
        <v>1298</v>
      </c>
      <c r="E23" s="655"/>
      <c r="F23" s="656"/>
      <c r="G23" s="657"/>
      <c r="H23" s="658"/>
      <c r="I23" s="659"/>
      <c r="J23" s="658"/>
      <c r="K23" s="660"/>
      <c r="L23" s="661"/>
    </row>
    <row r="24" spans="3:12">
      <c r="C24" s="662"/>
      <c r="D24" s="662"/>
      <c r="E24" s="632"/>
      <c r="F24" s="632"/>
      <c r="G24" s="663"/>
      <c r="H24" s="632"/>
      <c r="I24" s="663"/>
      <c r="J24" s="632"/>
      <c r="K24" s="633"/>
      <c r="L24" s="664"/>
    </row>
    <row r="25" spans="3:12">
      <c r="C25" s="665">
        <v>1</v>
      </c>
      <c r="D25" s="665" t="s">
        <v>656</v>
      </c>
      <c r="E25" s="666"/>
      <c r="F25" s="665"/>
      <c r="G25" s="667"/>
      <c r="H25" s="463"/>
      <c r="I25" s="667"/>
      <c r="J25" s="463"/>
      <c r="K25" s="463"/>
      <c r="L25" s="668"/>
    </row>
    <row r="26" spans="3:12">
      <c r="C26" s="506">
        <v>1.1000000000000001</v>
      </c>
      <c r="D26" s="557" t="s">
        <v>14</v>
      </c>
      <c r="E26" s="649"/>
      <c r="F26" s="506"/>
      <c r="G26" s="652"/>
      <c r="H26" s="501"/>
      <c r="I26" s="652"/>
      <c r="J26" s="501"/>
      <c r="K26" s="501"/>
      <c r="L26" s="669"/>
    </row>
    <row r="27" spans="3:12">
      <c r="C27" s="506"/>
      <c r="D27" s="557" t="s">
        <v>690</v>
      </c>
      <c r="E27" s="649">
        <v>3965</v>
      </c>
      <c r="F27" s="506" t="s">
        <v>738</v>
      </c>
      <c r="G27" s="652"/>
      <c r="H27" s="501"/>
      <c r="I27" s="652"/>
      <c r="J27" s="501"/>
      <c r="K27" s="501"/>
      <c r="L27" s="669"/>
    </row>
    <row r="28" spans="3:12">
      <c r="C28" s="506"/>
      <c r="D28" s="557" t="s">
        <v>1244</v>
      </c>
      <c r="E28" s="649">
        <v>1</v>
      </c>
      <c r="F28" s="506" t="s">
        <v>603</v>
      </c>
      <c r="G28" s="652"/>
      <c r="H28" s="501"/>
      <c r="I28" s="652"/>
      <c r="J28" s="501"/>
      <c r="K28" s="501"/>
      <c r="L28" s="669"/>
    </row>
    <row r="29" spans="3:12">
      <c r="C29" s="506"/>
      <c r="D29" s="557" t="s">
        <v>701</v>
      </c>
      <c r="E29" s="649">
        <v>1000</v>
      </c>
      <c r="F29" s="506" t="s">
        <v>691</v>
      </c>
      <c r="G29" s="652"/>
      <c r="H29" s="501"/>
      <c r="I29" s="652"/>
      <c r="J29" s="501"/>
      <c r="K29" s="501"/>
      <c r="L29" s="669"/>
    </row>
    <row r="30" spans="3:12">
      <c r="C30" s="506"/>
      <c r="D30" s="557"/>
      <c r="E30" s="649"/>
      <c r="F30" s="506"/>
      <c r="G30" s="652"/>
      <c r="H30" s="501"/>
      <c r="I30" s="652"/>
      <c r="J30" s="501"/>
      <c r="K30" s="501"/>
      <c r="L30" s="669"/>
    </row>
    <row r="31" spans="3:12">
      <c r="C31" s="506">
        <v>1.2</v>
      </c>
      <c r="D31" s="642" t="s">
        <v>737</v>
      </c>
      <c r="E31" s="644"/>
      <c r="F31" s="645"/>
      <c r="G31" s="646"/>
      <c r="H31" s="501"/>
      <c r="I31" s="646"/>
      <c r="J31" s="501"/>
      <c r="K31" s="501"/>
      <c r="L31" s="669"/>
    </row>
    <row r="32" spans="3:12">
      <c r="C32" s="506" t="s">
        <v>694</v>
      </c>
      <c r="D32" s="670" t="s">
        <v>596</v>
      </c>
      <c r="E32" s="671"/>
      <c r="F32" s="672"/>
      <c r="G32" s="673"/>
      <c r="H32" s="501"/>
      <c r="I32" s="673"/>
      <c r="J32" s="501"/>
      <c r="K32" s="501"/>
      <c r="L32" s="669" t="s">
        <v>1387</v>
      </c>
    </row>
    <row r="33" spans="3:12">
      <c r="C33" s="506"/>
      <c r="D33" s="670" t="s">
        <v>1330</v>
      </c>
      <c r="E33" s="672"/>
      <c r="F33" s="672"/>
      <c r="G33" s="673"/>
      <c r="H33" s="501"/>
      <c r="I33" s="673"/>
      <c r="J33" s="501"/>
      <c r="K33" s="501"/>
      <c r="L33" s="669"/>
    </row>
    <row r="34" spans="3:12">
      <c r="C34" s="506"/>
      <c r="D34" s="670" t="s">
        <v>1329</v>
      </c>
      <c r="E34" s="501">
        <v>227</v>
      </c>
      <c r="F34" s="672" t="s">
        <v>15</v>
      </c>
      <c r="G34" s="652"/>
      <c r="H34" s="501"/>
      <c r="I34" s="652"/>
      <c r="J34" s="501"/>
      <c r="K34" s="501"/>
      <c r="L34" s="669" t="s">
        <v>1387</v>
      </c>
    </row>
    <row r="35" spans="3:12">
      <c r="C35" s="506"/>
      <c r="D35" s="670" t="s">
        <v>638</v>
      </c>
      <c r="E35" s="501">
        <v>1</v>
      </c>
      <c r="F35" s="672" t="s">
        <v>603</v>
      </c>
      <c r="G35" s="652"/>
      <c r="H35" s="501"/>
      <c r="I35" s="652"/>
      <c r="J35" s="501"/>
      <c r="K35" s="501"/>
      <c r="L35" s="669"/>
    </row>
    <row r="36" spans="3:12">
      <c r="C36" s="506"/>
      <c r="D36" s="670" t="s">
        <v>639</v>
      </c>
      <c r="E36" s="501">
        <v>1</v>
      </c>
      <c r="F36" s="672" t="s">
        <v>603</v>
      </c>
      <c r="G36" s="652"/>
      <c r="H36" s="501"/>
      <c r="I36" s="652"/>
      <c r="J36" s="501"/>
      <c r="K36" s="501"/>
      <c r="L36" s="669"/>
    </row>
    <row r="37" spans="3:12">
      <c r="C37" s="506"/>
      <c r="D37" s="670" t="s">
        <v>640</v>
      </c>
      <c r="E37" s="501">
        <v>1</v>
      </c>
      <c r="F37" s="672" t="s">
        <v>603</v>
      </c>
      <c r="G37" s="652"/>
      <c r="H37" s="501"/>
      <c r="I37" s="652"/>
      <c r="J37" s="501"/>
      <c r="K37" s="501"/>
      <c r="L37" s="669"/>
    </row>
    <row r="38" spans="3:12">
      <c r="C38" s="506"/>
      <c r="D38" s="670" t="s">
        <v>641</v>
      </c>
      <c r="E38" s="672"/>
      <c r="F38" s="672"/>
      <c r="G38" s="673"/>
      <c r="H38" s="501"/>
      <c r="I38" s="673"/>
      <c r="J38" s="501"/>
      <c r="K38" s="501"/>
      <c r="L38" s="669"/>
    </row>
    <row r="39" spans="3:12">
      <c r="C39" s="506"/>
      <c r="D39" s="670" t="s">
        <v>1329</v>
      </c>
      <c r="E39" s="501">
        <v>5</v>
      </c>
      <c r="F39" s="506" t="s">
        <v>16</v>
      </c>
      <c r="G39" s="652"/>
      <c r="H39" s="501"/>
      <c r="I39" s="652"/>
      <c r="J39" s="501"/>
      <c r="K39" s="501"/>
      <c r="L39" s="669" t="s">
        <v>1387</v>
      </c>
    </row>
    <row r="40" spans="3:12">
      <c r="C40" s="506"/>
      <c r="D40" s="670" t="s">
        <v>635</v>
      </c>
      <c r="E40" s="501"/>
      <c r="F40" s="649"/>
      <c r="G40" s="652"/>
      <c r="H40" s="501"/>
      <c r="I40" s="652"/>
      <c r="J40" s="501"/>
      <c r="K40" s="501"/>
      <c r="L40" s="669"/>
    </row>
    <row r="41" spans="3:12">
      <c r="C41" s="506"/>
      <c r="D41" s="670" t="s">
        <v>1329</v>
      </c>
      <c r="E41" s="501">
        <v>3</v>
      </c>
      <c r="F41" s="506" t="s">
        <v>16</v>
      </c>
      <c r="G41" s="652"/>
      <c r="H41" s="501"/>
      <c r="I41" s="652"/>
      <c r="J41" s="501"/>
      <c r="K41" s="501"/>
      <c r="L41" s="669"/>
    </row>
    <row r="42" spans="3:12">
      <c r="C42" s="506"/>
      <c r="D42" s="670" t="s">
        <v>636</v>
      </c>
      <c r="E42" s="501"/>
      <c r="F42" s="649"/>
      <c r="G42" s="652"/>
      <c r="H42" s="501"/>
      <c r="I42" s="652"/>
      <c r="J42" s="501"/>
      <c r="K42" s="501"/>
      <c r="L42" s="669"/>
    </row>
    <row r="43" spans="3:12">
      <c r="C43" s="506"/>
      <c r="D43" s="670" t="s">
        <v>1329</v>
      </c>
      <c r="E43" s="501">
        <v>4</v>
      </c>
      <c r="F43" s="506" t="s">
        <v>16</v>
      </c>
      <c r="G43" s="652"/>
      <c r="H43" s="501"/>
      <c r="I43" s="652"/>
      <c r="J43" s="501"/>
      <c r="K43" s="501"/>
      <c r="L43" s="669" t="s">
        <v>1387</v>
      </c>
    </row>
    <row r="44" spans="3:12">
      <c r="C44" s="506"/>
      <c r="D44" s="670" t="s">
        <v>642</v>
      </c>
      <c r="E44" s="501"/>
      <c r="F44" s="649"/>
      <c r="G44" s="652"/>
      <c r="H44" s="501"/>
      <c r="I44" s="652"/>
      <c r="J44" s="501"/>
      <c r="K44" s="501"/>
      <c r="L44" s="669"/>
    </row>
    <row r="45" spans="3:12">
      <c r="C45" s="506"/>
      <c r="D45" s="670" t="s">
        <v>1331</v>
      </c>
      <c r="E45" s="501">
        <v>8</v>
      </c>
      <c r="F45" s="506" t="s">
        <v>16</v>
      </c>
      <c r="G45" s="652"/>
      <c r="H45" s="501"/>
      <c r="I45" s="652"/>
      <c r="J45" s="501"/>
      <c r="K45" s="501"/>
      <c r="L45" s="669" t="s">
        <v>1387</v>
      </c>
    </row>
    <row r="46" spans="3:12">
      <c r="C46" s="506"/>
      <c r="D46" s="670" t="s">
        <v>643</v>
      </c>
      <c r="E46" s="501"/>
      <c r="F46" s="649" t="s">
        <v>2</v>
      </c>
      <c r="G46" s="652"/>
      <c r="H46" s="501"/>
      <c r="I46" s="652"/>
      <c r="J46" s="501"/>
      <c r="K46" s="501"/>
      <c r="L46" s="669"/>
    </row>
    <row r="47" spans="3:12">
      <c r="C47" s="506"/>
      <c r="D47" s="670" t="s">
        <v>644</v>
      </c>
      <c r="E47" s="501">
        <v>5</v>
      </c>
      <c r="F47" s="506" t="s">
        <v>16</v>
      </c>
      <c r="G47" s="652"/>
      <c r="H47" s="501"/>
      <c r="I47" s="652"/>
      <c r="J47" s="501"/>
      <c r="K47" s="501"/>
      <c r="L47" s="669" t="s">
        <v>1387</v>
      </c>
    </row>
    <row r="48" spans="3:12">
      <c r="C48" s="506"/>
      <c r="D48" s="670" t="s">
        <v>1323</v>
      </c>
      <c r="E48" s="501">
        <v>1</v>
      </c>
      <c r="F48" s="506" t="s">
        <v>16</v>
      </c>
      <c r="G48" s="652"/>
      <c r="H48" s="501"/>
      <c r="I48" s="652"/>
      <c r="J48" s="501"/>
      <c r="K48" s="501"/>
      <c r="L48" s="669" t="s">
        <v>1387</v>
      </c>
    </row>
    <row r="49" spans="3:12">
      <c r="C49" s="506">
        <v>1.3</v>
      </c>
      <c r="D49" s="501" t="s">
        <v>645</v>
      </c>
      <c r="E49" s="501"/>
      <c r="F49" s="649"/>
      <c r="G49" s="652"/>
      <c r="H49" s="501"/>
      <c r="I49" s="652"/>
      <c r="J49" s="501"/>
      <c r="K49" s="501"/>
      <c r="L49" s="669"/>
    </row>
    <row r="50" spans="3:12">
      <c r="C50" s="506"/>
      <c r="D50" s="501" t="s">
        <v>1252</v>
      </c>
      <c r="E50" s="501">
        <v>110</v>
      </c>
      <c r="F50" s="649" t="s">
        <v>40</v>
      </c>
      <c r="G50" s="652"/>
      <c r="H50" s="501"/>
      <c r="I50" s="652"/>
      <c r="J50" s="501"/>
      <c r="K50" s="501"/>
      <c r="L50" s="669" t="s">
        <v>1387</v>
      </c>
    </row>
    <row r="51" spans="3:12">
      <c r="C51" s="506"/>
      <c r="D51" s="501" t="s">
        <v>1251</v>
      </c>
      <c r="E51" s="501">
        <v>75</v>
      </c>
      <c r="F51" s="649" t="s">
        <v>40</v>
      </c>
      <c r="G51" s="652"/>
      <c r="H51" s="501"/>
      <c r="I51" s="652"/>
      <c r="J51" s="501"/>
      <c r="K51" s="501"/>
      <c r="L51" s="669" t="s">
        <v>1387</v>
      </c>
    </row>
    <row r="52" spans="3:12">
      <c r="C52" s="506"/>
      <c r="D52" s="501" t="s">
        <v>1322</v>
      </c>
      <c r="E52" s="501">
        <v>75</v>
      </c>
      <c r="F52" s="649" t="s">
        <v>15</v>
      </c>
      <c r="G52" s="652"/>
      <c r="H52" s="501"/>
      <c r="I52" s="652"/>
      <c r="J52" s="501"/>
      <c r="K52" s="501"/>
      <c r="L52" s="669" t="s">
        <v>958</v>
      </c>
    </row>
    <row r="53" spans="3:12">
      <c r="C53" s="506"/>
      <c r="D53" s="501" t="s">
        <v>1332</v>
      </c>
      <c r="E53" s="501">
        <v>75</v>
      </c>
      <c r="F53" s="649" t="s">
        <v>15</v>
      </c>
      <c r="G53" s="652"/>
      <c r="H53" s="501"/>
      <c r="I53" s="652"/>
      <c r="J53" s="501"/>
      <c r="K53" s="501"/>
      <c r="L53" s="669" t="s">
        <v>1387</v>
      </c>
    </row>
    <row r="54" spans="3:12">
      <c r="C54" s="506"/>
      <c r="D54" s="501" t="s">
        <v>1245</v>
      </c>
      <c r="E54" s="501">
        <v>1</v>
      </c>
      <c r="F54" s="649" t="s">
        <v>603</v>
      </c>
      <c r="G54" s="652"/>
      <c r="H54" s="501"/>
      <c r="I54" s="652"/>
      <c r="J54" s="501"/>
      <c r="K54" s="501"/>
      <c r="L54" s="669"/>
    </row>
    <row r="55" spans="3:12">
      <c r="C55" s="506"/>
      <c r="D55" s="501" t="s">
        <v>646</v>
      </c>
      <c r="E55" s="501">
        <v>1</v>
      </c>
      <c r="F55" s="649" t="s">
        <v>603</v>
      </c>
      <c r="G55" s="652"/>
      <c r="H55" s="501"/>
      <c r="I55" s="652"/>
      <c r="J55" s="501"/>
      <c r="K55" s="501"/>
      <c r="L55" s="669"/>
    </row>
    <row r="56" spans="3:12">
      <c r="C56" s="506" t="s">
        <v>702</v>
      </c>
      <c r="D56" s="501" t="s">
        <v>647</v>
      </c>
      <c r="E56" s="501"/>
      <c r="F56" s="649"/>
      <c r="G56" s="652"/>
      <c r="H56" s="501"/>
      <c r="I56" s="652"/>
      <c r="J56" s="501"/>
      <c r="K56" s="501"/>
      <c r="L56" s="669"/>
    </row>
    <row r="57" spans="3:12">
      <c r="C57" s="674"/>
      <c r="D57" s="675" t="s">
        <v>1246</v>
      </c>
      <c r="E57" s="675">
        <v>225</v>
      </c>
      <c r="F57" s="676" t="s">
        <v>15</v>
      </c>
      <c r="G57" s="677"/>
      <c r="H57" s="675"/>
      <c r="I57" s="677"/>
      <c r="J57" s="675"/>
      <c r="K57" s="675"/>
      <c r="L57" s="678" t="s">
        <v>958</v>
      </c>
    </row>
    <row r="58" spans="3:12">
      <c r="C58" s="665" t="s">
        <v>744</v>
      </c>
      <c r="D58" s="463" t="s">
        <v>1110</v>
      </c>
      <c r="E58" s="463"/>
      <c r="F58" s="666"/>
      <c r="G58" s="667"/>
      <c r="H58" s="463"/>
      <c r="I58" s="667"/>
      <c r="J58" s="463"/>
      <c r="K58" s="463"/>
      <c r="L58" s="668"/>
    </row>
    <row r="59" spans="3:12">
      <c r="C59" s="506"/>
      <c r="D59" s="501" t="s">
        <v>1247</v>
      </c>
      <c r="E59" s="501">
        <v>15</v>
      </c>
      <c r="F59" s="649" t="s">
        <v>16</v>
      </c>
      <c r="G59" s="652"/>
      <c r="H59" s="501"/>
      <c r="I59" s="652"/>
      <c r="J59" s="501"/>
      <c r="K59" s="501"/>
      <c r="L59" s="669" t="s">
        <v>958</v>
      </c>
    </row>
    <row r="60" spans="3:12">
      <c r="C60" s="506"/>
      <c r="D60" s="501"/>
      <c r="E60" s="501"/>
      <c r="F60" s="649"/>
      <c r="G60" s="652"/>
      <c r="H60" s="501"/>
      <c r="I60" s="652"/>
      <c r="J60" s="501"/>
      <c r="K60" s="501"/>
      <c r="L60" s="669"/>
    </row>
    <row r="61" spans="3:12">
      <c r="C61" s="506">
        <v>1.4</v>
      </c>
      <c r="D61" s="501" t="s">
        <v>621</v>
      </c>
      <c r="E61" s="501"/>
      <c r="F61" s="649"/>
      <c r="G61" s="652"/>
      <c r="H61" s="501"/>
      <c r="I61" s="652"/>
      <c r="J61" s="501"/>
      <c r="K61" s="501"/>
      <c r="L61" s="669"/>
    </row>
    <row r="62" spans="3:12">
      <c r="C62" s="506"/>
      <c r="D62" s="501" t="s">
        <v>1077</v>
      </c>
      <c r="E62" s="644"/>
      <c r="F62" s="679"/>
      <c r="G62" s="680"/>
      <c r="H62" s="501"/>
      <c r="I62" s="680"/>
      <c r="J62" s="501"/>
      <c r="K62" s="501"/>
      <c r="L62" s="669"/>
    </row>
    <row r="63" spans="3:12">
      <c r="C63" s="506"/>
      <c r="D63" s="501" t="s">
        <v>612</v>
      </c>
      <c r="E63" s="501">
        <v>247.5</v>
      </c>
      <c r="F63" s="649" t="s">
        <v>15</v>
      </c>
      <c r="G63" s="652"/>
      <c r="H63" s="501"/>
      <c r="I63" s="652"/>
      <c r="J63" s="501"/>
      <c r="K63" s="501"/>
      <c r="L63" s="669" t="s">
        <v>1387</v>
      </c>
    </row>
    <row r="64" spans="3:12">
      <c r="C64" s="506"/>
      <c r="D64" s="501" t="s">
        <v>1248</v>
      </c>
      <c r="E64" s="501">
        <v>1</v>
      </c>
      <c r="F64" s="649" t="s">
        <v>603</v>
      </c>
      <c r="G64" s="652"/>
      <c r="H64" s="501"/>
      <c r="I64" s="652"/>
      <c r="J64" s="501"/>
      <c r="K64" s="501"/>
      <c r="L64" s="669"/>
    </row>
    <row r="65" spans="3:12">
      <c r="C65" s="506"/>
      <c r="D65" s="501" t="s">
        <v>620</v>
      </c>
      <c r="E65" s="501">
        <v>1</v>
      </c>
      <c r="F65" s="649" t="s">
        <v>603</v>
      </c>
      <c r="G65" s="652"/>
      <c r="H65" s="501"/>
      <c r="I65" s="652"/>
      <c r="J65" s="501"/>
      <c r="K65" s="501"/>
      <c r="L65" s="669"/>
    </row>
    <row r="66" spans="3:12">
      <c r="C66" s="506"/>
      <c r="D66" s="501"/>
      <c r="E66" s="501"/>
      <c r="F66" s="649"/>
      <c r="G66" s="652"/>
      <c r="H66" s="501"/>
      <c r="I66" s="652"/>
      <c r="J66" s="501"/>
      <c r="K66" s="501"/>
      <c r="L66" s="669"/>
    </row>
    <row r="67" spans="3:12">
      <c r="C67" s="506">
        <v>1.5</v>
      </c>
      <c r="D67" s="681" t="s">
        <v>624</v>
      </c>
      <c r="E67" s="501"/>
      <c r="F67" s="649"/>
      <c r="G67" s="652"/>
      <c r="H67" s="501"/>
      <c r="I67" s="652"/>
      <c r="J67" s="501"/>
      <c r="K67" s="501"/>
      <c r="L67" s="669"/>
    </row>
    <row r="68" spans="3:12">
      <c r="C68" s="506"/>
      <c r="D68" s="501" t="s">
        <v>1333</v>
      </c>
      <c r="E68" s="501">
        <v>1</v>
      </c>
      <c r="F68" s="649" t="s">
        <v>633</v>
      </c>
      <c r="G68" s="652"/>
      <c r="H68" s="501"/>
      <c r="I68" s="652"/>
      <c r="J68" s="501"/>
      <c r="K68" s="501"/>
      <c r="L68" s="669" t="s">
        <v>1387</v>
      </c>
    </row>
    <row r="69" spans="3:12">
      <c r="C69" s="506"/>
      <c r="D69" s="501"/>
      <c r="E69" s="501"/>
      <c r="F69" s="649"/>
      <c r="G69" s="652"/>
      <c r="H69" s="501"/>
      <c r="I69" s="652"/>
      <c r="J69" s="501"/>
      <c r="K69" s="501"/>
      <c r="L69" s="669"/>
    </row>
    <row r="70" spans="3:12">
      <c r="C70" s="506">
        <v>1.6</v>
      </c>
      <c r="D70" s="642" t="s">
        <v>657</v>
      </c>
      <c r="E70" s="644"/>
      <c r="F70" s="645"/>
      <c r="G70" s="646"/>
      <c r="H70" s="501"/>
      <c r="I70" s="646"/>
      <c r="J70" s="501"/>
      <c r="K70" s="501"/>
      <c r="L70" s="669"/>
    </row>
    <row r="71" spans="3:12">
      <c r="C71" s="506"/>
      <c r="D71" s="557" t="s">
        <v>658</v>
      </c>
      <c r="E71" s="649"/>
      <c r="F71" s="650"/>
      <c r="G71" s="646"/>
      <c r="H71" s="501"/>
      <c r="I71" s="646"/>
      <c r="J71" s="501"/>
      <c r="K71" s="501"/>
      <c r="L71" s="669"/>
    </row>
    <row r="72" spans="3:12">
      <c r="C72" s="506"/>
      <c r="D72" s="557" t="s">
        <v>1249</v>
      </c>
      <c r="E72" s="649">
        <v>2</v>
      </c>
      <c r="F72" s="650" t="s">
        <v>16</v>
      </c>
      <c r="G72" s="652"/>
      <c r="H72" s="501"/>
      <c r="I72" s="646"/>
      <c r="J72" s="501"/>
      <c r="K72" s="501"/>
      <c r="L72" s="669" t="s">
        <v>1344</v>
      </c>
    </row>
    <row r="73" spans="3:12">
      <c r="C73" s="506"/>
      <c r="D73" s="557" t="s">
        <v>1206</v>
      </c>
      <c r="E73" s="682">
        <v>2</v>
      </c>
      <c r="F73" s="506" t="s">
        <v>16</v>
      </c>
      <c r="G73" s="653"/>
      <c r="H73" s="501"/>
      <c r="I73" s="652"/>
      <c r="J73" s="501"/>
      <c r="K73" s="501"/>
      <c r="L73" s="669" t="s">
        <v>1344</v>
      </c>
    </row>
    <row r="74" spans="3:12">
      <c r="C74" s="506"/>
      <c r="D74" s="557" t="s">
        <v>1325</v>
      </c>
      <c r="E74" s="682">
        <v>2</v>
      </c>
      <c r="F74" s="506" t="s">
        <v>16</v>
      </c>
      <c r="G74" s="653"/>
      <c r="H74" s="501"/>
      <c r="I74" s="652"/>
      <c r="J74" s="501"/>
      <c r="K74" s="501"/>
      <c r="L74" s="669" t="s">
        <v>1344</v>
      </c>
    </row>
    <row r="75" spans="3:12">
      <c r="C75" s="506"/>
      <c r="D75" s="557" t="s">
        <v>659</v>
      </c>
      <c r="E75" s="682">
        <v>4</v>
      </c>
      <c r="F75" s="506" t="s">
        <v>16</v>
      </c>
      <c r="G75" s="653"/>
      <c r="H75" s="501"/>
      <c r="I75" s="652"/>
      <c r="J75" s="501"/>
      <c r="K75" s="501"/>
      <c r="L75" s="669" t="s">
        <v>1344</v>
      </c>
    </row>
    <row r="76" spans="3:12">
      <c r="C76" s="506"/>
      <c r="D76" s="683" t="s">
        <v>1365</v>
      </c>
      <c r="E76" s="682">
        <v>200</v>
      </c>
      <c r="F76" s="684" t="s">
        <v>49</v>
      </c>
      <c r="G76" s="653"/>
      <c r="H76" s="501"/>
      <c r="I76" s="652"/>
      <c r="J76" s="501"/>
      <c r="K76" s="501"/>
      <c r="L76" s="669" t="s">
        <v>1344</v>
      </c>
    </row>
    <row r="77" spans="3:12">
      <c r="C77" s="506"/>
      <c r="D77" s="683" t="s">
        <v>660</v>
      </c>
      <c r="E77" s="649">
        <v>2</v>
      </c>
      <c r="F77" s="506" t="s">
        <v>16</v>
      </c>
      <c r="G77" s="652"/>
      <c r="H77" s="501"/>
      <c r="I77" s="652"/>
      <c r="J77" s="501"/>
      <c r="K77" s="501"/>
      <c r="L77" s="669" t="s">
        <v>1344</v>
      </c>
    </row>
    <row r="78" spans="3:12">
      <c r="C78" s="506"/>
      <c r="D78" s="683" t="s">
        <v>1250</v>
      </c>
      <c r="E78" s="649">
        <v>2</v>
      </c>
      <c r="F78" s="506" t="s">
        <v>16</v>
      </c>
      <c r="G78" s="652"/>
      <c r="H78" s="501"/>
      <c r="I78" s="652"/>
      <c r="J78" s="501"/>
      <c r="K78" s="501"/>
      <c r="L78" s="669" t="s">
        <v>1344</v>
      </c>
    </row>
    <row r="79" spans="3:12">
      <c r="C79" s="506"/>
      <c r="D79" s="683" t="s">
        <v>1364</v>
      </c>
      <c r="E79" s="649"/>
      <c r="F79" s="506"/>
      <c r="G79" s="652"/>
      <c r="H79" s="501"/>
      <c r="I79" s="685"/>
      <c r="J79" s="501"/>
      <c r="K79" s="501"/>
      <c r="L79" s="669"/>
    </row>
    <row r="80" spans="3:12">
      <c r="C80" s="506"/>
      <c r="D80" s="683" t="s">
        <v>1326</v>
      </c>
      <c r="E80" s="649"/>
      <c r="F80" s="506"/>
      <c r="G80" s="652"/>
      <c r="H80" s="501"/>
      <c r="I80" s="685"/>
      <c r="J80" s="501"/>
      <c r="K80" s="501"/>
      <c r="L80" s="669"/>
    </row>
    <row r="81" spans="3:12">
      <c r="C81" s="506"/>
      <c r="D81" s="683" t="s">
        <v>1120</v>
      </c>
      <c r="E81" s="649"/>
      <c r="F81" s="506"/>
      <c r="G81" s="652"/>
      <c r="H81" s="501"/>
      <c r="I81" s="685"/>
      <c r="J81" s="501"/>
      <c r="K81" s="501"/>
      <c r="L81" s="669"/>
    </row>
    <row r="82" spans="3:12">
      <c r="C82" s="506"/>
      <c r="D82" s="683" t="s">
        <v>1121</v>
      </c>
      <c r="E82" s="649">
        <v>3</v>
      </c>
      <c r="F82" s="506" t="s">
        <v>16</v>
      </c>
      <c r="G82" s="652"/>
      <c r="H82" s="501"/>
      <c r="I82" s="685"/>
      <c r="J82" s="501"/>
      <c r="K82" s="501"/>
      <c r="L82" s="669" t="s">
        <v>1344</v>
      </c>
    </row>
    <row r="83" spans="3:12" ht="31.15" customHeight="1">
      <c r="C83" s="506"/>
      <c r="D83" s="683" t="s">
        <v>1122</v>
      </c>
      <c r="E83" s="649">
        <v>3</v>
      </c>
      <c r="F83" s="506" t="s">
        <v>16</v>
      </c>
      <c r="G83" s="652"/>
      <c r="H83" s="501"/>
      <c r="I83" s="685"/>
      <c r="J83" s="501"/>
      <c r="K83" s="501"/>
      <c r="L83" s="669" t="s">
        <v>1344</v>
      </c>
    </row>
    <row r="84" spans="3:12">
      <c r="C84" s="506"/>
      <c r="D84" s="557"/>
      <c r="E84" s="649"/>
      <c r="F84" s="506"/>
      <c r="G84" s="652"/>
      <c r="H84" s="501"/>
      <c r="I84" s="652"/>
      <c r="J84" s="501"/>
      <c r="K84" s="501"/>
      <c r="L84" s="669"/>
    </row>
    <row r="85" spans="3:12">
      <c r="C85" s="506"/>
      <c r="D85" s="506" t="s">
        <v>661</v>
      </c>
      <c r="E85" s="649"/>
      <c r="F85" s="506"/>
      <c r="G85" s="652"/>
      <c r="H85" s="501"/>
      <c r="I85" s="686"/>
      <c r="J85" s="501"/>
      <c r="K85" s="687"/>
      <c r="L85" s="669"/>
    </row>
    <row r="86" spans="3:12">
      <c r="C86" s="506"/>
      <c r="D86" s="557"/>
      <c r="E86" s="649"/>
      <c r="F86" s="506"/>
      <c r="G86" s="652"/>
      <c r="H86" s="501">
        <f t="shared" ref="H86:H89" si="0">G86*E86</f>
        <v>0</v>
      </c>
      <c r="I86" s="652"/>
      <c r="J86" s="501">
        <f t="shared" ref="J86:J89" si="1">I86*E86</f>
        <v>0</v>
      </c>
      <c r="K86" s="501">
        <f t="shared" ref="K86:K89" si="2">J86+H86</f>
        <v>0</v>
      </c>
      <c r="L86" s="669"/>
    </row>
    <row r="87" spans="3:12">
      <c r="C87" s="506">
        <v>2</v>
      </c>
      <c r="D87" s="557" t="s">
        <v>788</v>
      </c>
      <c r="E87" s="649"/>
      <c r="F87" s="506"/>
      <c r="G87" s="652"/>
      <c r="H87" s="501">
        <f t="shared" si="0"/>
        <v>0</v>
      </c>
      <c r="I87" s="652"/>
      <c r="J87" s="501">
        <f t="shared" si="1"/>
        <v>0</v>
      </c>
      <c r="K87" s="501">
        <f t="shared" si="2"/>
        <v>0</v>
      </c>
      <c r="L87" s="669"/>
    </row>
    <row r="88" spans="3:12">
      <c r="C88" s="506">
        <v>2.1</v>
      </c>
      <c r="D88" s="557" t="s">
        <v>802</v>
      </c>
      <c r="E88" s="649"/>
      <c r="F88" s="506"/>
      <c r="G88" s="652"/>
      <c r="H88" s="501">
        <f t="shared" si="0"/>
        <v>0</v>
      </c>
      <c r="I88" s="652"/>
      <c r="J88" s="501">
        <f t="shared" si="1"/>
        <v>0</v>
      </c>
      <c r="K88" s="501">
        <f t="shared" si="2"/>
        <v>0</v>
      </c>
      <c r="L88" s="669"/>
    </row>
    <row r="89" spans="3:12">
      <c r="C89" s="506" t="s">
        <v>745</v>
      </c>
      <c r="D89" s="557" t="s">
        <v>662</v>
      </c>
      <c r="E89" s="649"/>
      <c r="F89" s="506"/>
      <c r="G89" s="652"/>
      <c r="H89" s="501">
        <f t="shared" si="0"/>
        <v>0</v>
      </c>
      <c r="I89" s="652"/>
      <c r="J89" s="501">
        <f t="shared" si="1"/>
        <v>0</v>
      </c>
      <c r="K89" s="501">
        <f t="shared" si="2"/>
        <v>0</v>
      </c>
      <c r="L89" s="669"/>
    </row>
    <row r="90" spans="3:12">
      <c r="C90" s="674"/>
      <c r="D90" s="558" t="s">
        <v>1328</v>
      </c>
      <c r="E90" s="676">
        <v>199</v>
      </c>
      <c r="F90" s="674" t="s">
        <v>663</v>
      </c>
      <c r="G90" s="677"/>
      <c r="H90" s="675"/>
      <c r="I90" s="677"/>
      <c r="J90" s="675"/>
      <c r="K90" s="675"/>
      <c r="L90" s="669" t="s">
        <v>1344</v>
      </c>
    </row>
    <row r="91" spans="3:12">
      <c r="C91" s="665"/>
      <c r="D91" s="688" t="s">
        <v>664</v>
      </c>
      <c r="E91" s="666">
        <v>199</v>
      </c>
      <c r="F91" s="665" t="s">
        <v>663</v>
      </c>
      <c r="G91" s="667"/>
      <c r="H91" s="463"/>
      <c r="I91" s="667"/>
      <c r="J91" s="463"/>
      <c r="K91" s="463"/>
      <c r="L91" s="669" t="s">
        <v>958</v>
      </c>
    </row>
    <row r="92" spans="3:12">
      <c r="C92" s="506"/>
      <c r="D92" s="557" t="s">
        <v>1265</v>
      </c>
      <c r="E92" s="649">
        <v>199</v>
      </c>
      <c r="F92" s="506" t="s">
        <v>663</v>
      </c>
      <c r="G92" s="652"/>
      <c r="H92" s="501"/>
      <c r="I92" s="652"/>
      <c r="J92" s="501"/>
      <c r="K92" s="501"/>
      <c r="L92" s="669" t="s">
        <v>1344</v>
      </c>
    </row>
    <row r="93" spans="3:12">
      <c r="C93" s="506"/>
      <c r="D93" s="587" t="s">
        <v>1252</v>
      </c>
      <c r="E93" s="649">
        <v>593</v>
      </c>
      <c r="F93" s="506" t="s">
        <v>40</v>
      </c>
      <c r="G93" s="652"/>
      <c r="H93" s="501"/>
      <c r="I93" s="652"/>
      <c r="J93" s="501"/>
      <c r="K93" s="501"/>
      <c r="L93" s="669" t="s">
        <v>1387</v>
      </c>
    </row>
    <row r="94" spans="3:12">
      <c r="C94" s="506"/>
      <c r="D94" s="587" t="s">
        <v>1251</v>
      </c>
      <c r="E94" s="649">
        <v>307.5</v>
      </c>
      <c r="F94" s="506" t="s">
        <v>40</v>
      </c>
      <c r="G94" s="652"/>
      <c r="H94" s="501"/>
      <c r="I94" s="652"/>
      <c r="J94" s="501"/>
      <c r="K94" s="501"/>
      <c r="L94" s="669" t="s">
        <v>1387</v>
      </c>
    </row>
    <row r="95" spans="3:12">
      <c r="C95" s="506"/>
      <c r="D95" s="587" t="s">
        <v>665</v>
      </c>
      <c r="E95" s="649">
        <v>190.5</v>
      </c>
      <c r="F95" s="506" t="s">
        <v>40</v>
      </c>
      <c r="G95" s="652"/>
      <c r="H95" s="501"/>
      <c r="I95" s="652"/>
      <c r="J95" s="501"/>
      <c r="K95" s="501"/>
      <c r="L95" s="669" t="s">
        <v>958</v>
      </c>
    </row>
    <row r="96" spans="3:12">
      <c r="C96" s="506"/>
      <c r="D96" s="587" t="s">
        <v>1321</v>
      </c>
      <c r="E96" s="649">
        <v>543</v>
      </c>
      <c r="F96" s="506" t="s">
        <v>17</v>
      </c>
      <c r="G96" s="652"/>
      <c r="H96" s="501"/>
      <c r="I96" s="652"/>
      <c r="J96" s="501"/>
      <c r="K96" s="501"/>
      <c r="L96" s="669" t="s">
        <v>1387</v>
      </c>
    </row>
    <row r="97" spans="2:16">
      <c r="C97" s="506"/>
      <c r="D97" s="587" t="s">
        <v>667</v>
      </c>
      <c r="E97" s="649">
        <v>272</v>
      </c>
      <c r="F97" s="506" t="s">
        <v>20</v>
      </c>
      <c r="G97" s="652"/>
      <c r="H97" s="501"/>
      <c r="I97" s="652"/>
      <c r="J97" s="501"/>
      <c r="K97" s="501"/>
      <c r="L97" s="669" t="s">
        <v>1387</v>
      </c>
    </row>
    <row r="98" spans="2:16">
      <c r="C98" s="506"/>
      <c r="D98" s="587" t="s">
        <v>668</v>
      </c>
      <c r="E98" s="649">
        <v>59</v>
      </c>
      <c r="F98" s="506" t="s">
        <v>40</v>
      </c>
      <c r="G98" s="652"/>
      <c r="H98" s="501"/>
      <c r="I98" s="652"/>
      <c r="J98" s="501"/>
      <c r="K98" s="501"/>
      <c r="L98" s="669" t="s">
        <v>1387</v>
      </c>
    </row>
    <row r="99" spans="2:16">
      <c r="C99" s="506"/>
      <c r="D99" s="587" t="s">
        <v>669</v>
      </c>
      <c r="E99" s="649">
        <v>118</v>
      </c>
      <c r="F99" s="506" t="s">
        <v>40</v>
      </c>
      <c r="G99" s="652"/>
      <c r="H99" s="501"/>
      <c r="I99" s="652"/>
      <c r="J99" s="501"/>
      <c r="K99" s="501"/>
      <c r="L99" s="669" t="s">
        <v>1387</v>
      </c>
    </row>
    <row r="100" spans="2:16">
      <c r="C100" s="506"/>
      <c r="D100" s="587" t="s">
        <v>670</v>
      </c>
      <c r="E100" s="649"/>
      <c r="F100" s="506"/>
      <c r="G100" s="652"/>
      <c r="H100" s="501"/>
      <c r="I100" s="652"/>
      <c r="J100" s="501"/>
      <c r="K100" s="501"/>
      <c r="L100" s="669"/>
    </row>
    <row r="101" spans="2:16">
      <c r="C101" s="506"/>
      <c r="D101" s="689" t="s">
        <v>671</v>
      </c>
      <c r="E101" s="649">
        <v>4136</v>
      </c>
      <c r="F101" s="506" t="s">
        <v>20</v>
      </c>
      <c r="G101" s="652"/>
      <c r="H101" s="501"/>
      <c r="I101" s="652"/>
      <c r="J101" s="501"/>
      <c r="K101" s="501"/>
      <c r="L101" s="669" t="s">
        <v>1387</v>
      </c>
      <c r="M101" s="690"/>
    </row>
    <row r="102" spans="2:16">
      <c r="C102" s="506"/>
      <c r="D102" s="689" t="s">
        <v>672</v>
      </c>
      <c r="E102" s="649">
        <v>566</v>
      </c>
      <c r="F102" s="506" t="s">
        <v>20</v>
      </c>
      <c r="G102" s="652"/>
      <c r="H102" s="501"/>
      <c r="I102" s="652"/>
      <c r="J102" s="501"/>
      <c r="K102" s="501"/>
      <c r="L102" s="669" t="s">
        <v>1387</v>
      </c>
    </row>
    <row r="103" spans="2:16">
      <c r="C103" s="506"/>
      <c r="D103" s="689" t="s">
        <v>674</v>
      </c>
      <c r="E103" s="649">
        <v>17032.5</v>
      </c>
      <c r="F103" s="506" t="s">
        <v>20</v>
      </c>
      <c r="G103" s="652"/>
      <c r="H103" s="501"/>
      <c r="I103" s="652"/>
      <c r="J103" s="501"/>
      <c r="K103" s="501"/>
      <c r="L103" s="669" t="s">
        <v>1387</v>
      </c>
      <c r="P103" s="605"/>
    </row>
    <row r="104" spans="2:16">
      <c r="C104" s="506"/>
      <c r="D104" s="689" t="s">
        <v>675</v>
      </c>
      <c r="E104" s="649">
        <v>7967</v>
      </c>
      <c r="F104" s="506" t="s">
        <v>20</v>
      </c>
      <c r="G104" s="652"/>
      <c r="H104" s="501"/>
      <c r="I104" s="652"/>
      <c r="J104" s="501"/>
      <c r="K104" s="501"/>
      <c r="L104" s="669" t="s">
        <v>1387</v>
      </c>
    </row>
    <row r="105" spans="2:16">
      <c r="C105" s="506"/>
      <c r="D105" s="587" t="s">
        <v>676</v>
      </c>
      <c r="E105" s="649">
        <v>884</v>
      </c>
      <c r="F105" s="506" t="s">
        <v>20</v>
      </c>
      <c r="G105" s="652"/>
      <c r="H105" s="501"/>
      <c r="I105" s="652"/>
      <c r="J105" s="501"/>
      <c r="K105" s="501"/>
      <c r="L105" s="669" t="s">
        <v>1387</v>
      </c>
    </row>
    <row r="106" spans="2:16">
      <c r="C106" s="506"/>
      <c r="D106" s="587" t="s">
        <v>1111</v>
      </c>
      <c r="E106" s="649">
        <v>2</v>
      </c>
      <c r="F106" s="506" t="s">
        <v>663</v>
      </c>
      <c r="G106" s="652"/>
      <c r="H106" s="501"/>
      <c r="I106" s="652"/>
      <c r="J106" s="501"/>
      <c r="K106" s="501"/>
      <c r="L106" s="669" t="s">
        <v>1387</v>
      </c>
    </row>
    <row r="107" spans="2:16">
      <c r="C107" s="506"/>
      <c r="D107" s="587" t="s">
        <v>1112</v>
      </c>
      <c r="E107" s="649">
        <v>199</v>
      </c>
      <c r="F107" s="506" t="s">
        <v>663</v>
      </c>
      <c r="G107" s="652"/>
      <c r="H107" s="501"/>
      <c r="I107" s="652"/>
      <c r="J107" s="501"/>
      <c r="K107" s="501"/>
      <c r="L107" s="669" t="s">
        <v>1387</v>
      </c>
    </row>
    <row r="108" spans="2:16">
      <c r="C108" s="506" t="s">
        <v>746</v>
      </c>
      <c r="D108" s="557" t="s">
        <v>797</v>
      </c>
      <c r="E108" s="649"/>
      <c r="F108" s="506"/>
      <c r="G108" s="652"/>
      <c r="H108" s="501"/>
      <c r="I108" s="652"/>
      <c r="J108" s="501"/>
      <c r="K108" s="501"/>
      <c r="L108" s="669"/>
    </row>
    <row r="109" spans="2:16">
      <c r="C109" s="506"/>
      <c r="D109" s="587" t="s">
        <v>665</v>
      </c>
      <c r="E109" s="649">
        <v>742</v>
      </c>
      <c r="F109" s="506" t="s">
        <v>40</v>
      </c>
      <c r="G109" s="652"/>
      <c r="H109" s="501"/>
      <c r="I109" s="652"/>
      <c r="J109" s="501"/>
      <c r="K109" s="501"/>
      <c r="L109" s="669" t="s">
        <v>958</v>
      </c>
    </row>
    <row r="110" spans="2:16">
      <c r="C110" s="506"/>
      <c r="D110" s="587" t="s">
        <v>677</v>
      </c>
      <c r="E110" s="649">
        <v>1148</v>
      </c>
      <c r="F110" s="506" t="s">
        <v>40</v>
      </c>
      <c r="G110" s="652"/>
      <c r="H110" s="501"/>
      <c r="I110" s="652"/>
      <c r="J110" s="501"/>
      <c r="K110" s="501"/>
      <c r="L110" s="669" t="s">
        <v>958</v>
      </c>
    </row>
    <row r="111" spans="2:16">
      <c r="C111" s="506"/>
      <c r="D111" s="587" t="s">
        <v>678</v>
      </c>
      <c r="E111" s="649">
        <v>4557.76</v>
      </c>
      <c r="F111" s="506" t="s">
        <v>17</v>
      </c>
      <c r="G111" s="652"/>
      <c r="H111" s="501"/>
      <c r="I111" s="652"/>
      <c r="J111" s="501"/>
      <c r="K111" s="501"/>
      <c r="L111" s="669" t="s">
        <v>1344</v>
      </c>
    </row>
    <row r="112" spans="2:16">
      <c r="B112" s="691"/>
      <c r="C112" s="506"/>
      <c r="D112" s="587" t="s">
        <v>1321</v>
      </c>
      <c r="E112" s="649">
        <v>7003</v>
      </c>
      <c r="F112" s="506" t="s">
        <v>17</v>
      </c>
      <c r="G112" s="652"/>
      <c r="H112" s="501"/>
      <c r="I112" s="652"/>
      <c r="J112" s="501"/>
      <c r="K112" s="501"/>
      <c r="L112" s="669" t="s">
        <v>1387</v>
      </c>
    </row>
    <row r="113" spans="2:13">
      <c r="B113" s="691"/>
      <c r="C113" s="506"/>
      <c r="D113" s="587" t="s">
        <v>667</v>
      </c>
      <c r="E113" s="649">
        <v>4203</v>
      </c>
      <c r="F113" s="506" t="s">
        <v>20</v>
      </c>
      <c r="G113" s="652"/>
      <c r="H113" s="501"/>
      <c r="I113" s="652"/>
      <c r="J113" s="501"/>
      <c r="K113" s="501"/>
      <c r="L113" s="669"/>
    </row>
    <row r="114" spans="2:13">
      <c r="B114" s="691"/>
      <c r="C114" s="506"/>
      <c r="D114" s="587" t="s">
        <v>670</v>
      </c>
      <c r="E114" s="649"/>
      <c r="F114" s="506"/>
      <c r="G114" s="652"/>
      <c r="H114" s="501"/>
      <c r="I114" s="652"/>
      <c r="J114" s="501"/>
      <c r="K114" s="501"/>
      <c r="L114" s="669"/>
    </row>
    <row r="115" spans="2:13">
      <c r="B115" s="691"/>
      <c r="C115" s="506"/>
      <c r="D115" s="689" t="s">
        <v>747</v>
      </c>
      <c r="E115" s="649">
        <v>1689</v>
      </c>
      <c r="F115" s="506" t="s">
        <v>20</v>
      </c>
      <c r="G115" s="652"/>
      <c r="H115" s="501"/>
      <c r="I115" s="652"/>
      <c r="J115" s="501"/>
      <c r="K115" s="501"/>
      <c r="L115" s="669" t="s">
        <v>1387</v>
      </c>
      <c r="M115" s="690"/>
    </row>
    <row r="116" spans="2:13">
      <c r="B116" s="691"/>
      <c r="C116" s="506"/>
      <c r="D116" s="689" t="s">
        <v>671</v>
      </c>
      <c r="E116" s="649">
        <v>32103</v>
      </c>
      <c r="F116" s="506" t="s">
        <v>20</v>
      </c>
      <c r="G116" s="652"/>
      <c r="H116" s="501"/>
      <c r="I116" s="652"/>
      <c r="J116" s="501"/>
      <c r="K116" s="501"/>
      <c r="L116" s="669" t="s">
        <v>1387</v>
      </c>
    </row>
    <row r="117" spans="2:13">
      <c r="B117" s="691"/>
      <c r="C117" s="506"/>
      <c r="D117" s="689" t="s">
        <v>672</v>
      </c>
      <c r="E117" s="649">
        <v>26081</v>
      </c>
      <c r="F117" s="506" t="s">
        <v>20</v>
      </c>
      <c r="G117" s="652"/>
      <c r="H117" s="501"/>
      <c r="I117" s="652"/>
      <c r="J117" s="501"/>
      <c r="K117" s="501"/>
      <c r="L117" s="669" t="s">
        <v>1387</v>
      </c>
    </row>
    <row r="118" spans="2:13">
      <c r="B118" s="691"/>
      <c r="C118" s="506"/>
      <c r="D118" s="689" t="s">
        <v>673</v>
      </c>
      <c r="E118" s="649">
        <v>15105</v>
      </c>
      <c r="F118" s="506" t="s">
        <v>20</v>
      </c>
      <c r="G118" s="652"/>
      <c r="H118" s="501"/>
      <c r="I118" s="652"/>
      <c r="J118" s="501"/>
      <c r="K118" s="501"/>
      <c r="L118" s="669" t="s">
        <v>1387</v>
      </c>
    </row>
    <row r="119" spans="2:13">
      <c r="B119" s="691"/>
      <c r="C119" s="506"/>
      <c r="D119" s="689" t="s">
        <v>674</v>
      </c>
      <c r="E119" s="649">
        <v>37790</v>
      </c>
      <c r="F119" s="506" t="s">
        <v>20</v>
      </c>
      <c r="G119" s="652"/>
      <c r="H119" s="501"/>
      <c r="I119" s="652"/>
      <c r="J119" s="501"/>
      <c r="K119" s="501"/>
      <c r="L119" s="669" t="s">
        <v>1387</v>
      </c>
    </row>
    <row r="120" spans="2:13">
      <c r="B120" s="691"/>
      <c r="C120" s="506"/>
      <c r="D120" s="689" t="s">
        <v>675</v>
      </c>
      <c r="E120" s="649">
        <v>7508</v>
      </c>
      <c r="F120" s="506" t="s">
        <v>20</v>
      </c>
      <c r="G120" s="652"/>
      <c r="H120" s="501"/>
      <c r="I120" s="652"/>
      <c r="J120" s="501"/>
      <c r="K120" s="501"/>
      <c r="L120" s="669" t="s">
        <v>1387</v>
      </c>
    </row>
    <row r="121" spans="2:13">
      <c r="C121" s="506"/>
      <c r="D121" s="587" t="s">
        <v>676</v>
      </c>
      <c r="E121" s="649">
        <v>4340</v>
      </c>
      <c r="F121" s="506" t="s">
        <v>20</v>
      </c>
      <c r="G121" s="652"/>
      <c r="H121" s="501"/>
      <c r="I121" s="652"/>
      <c r="J121" s="501"/>
      <c r="K121" s="501"/>
      <c r="L121" s="669" t="s">
        <v>1387</v>
      </c>
    </row>
    <row r="122" spans="2:13">
      <c r="C122" s="506"/>
      <c r="D122" s="587" t="s">
        <v>1253</v>
      </c>
      <c r="E122" s="649">
        <v>252</v>
      </c>
      <c r="F122" s="506" t="s">
        <v>15</v>
      </c>
      <c r="G122" s="652"/>
      <c r="H122" s="501"/>
      <c r="I122" s="652"/>
      <c r="J122" s="501"/>
      <c r="K122" s="501"/>
      <c r="L122" s="669" t="s">
        <v>958</v>
      </c>
    </row>
    <row r="123" spans="2:13">
      <c r="C123" s="674"/>
      <c r="D123" s="692" t="s">
        <v>1081</v>
      </c>
      <c r="E123" s="676">
        <v>12</v>
      </c>
      <c r="F123" s="674" t="s">
        <v>15</v>
      </c>
      <c r="G123" s="677"/>
      <c r="H123" s="675"/>
      <c r="I123" s="677"/>
      <c r="J123" s="675"/>
      <c r="K123" s="675"/>
      <c r="L123" s="669" t="s">
        <v>1387</v>
      </c>
    </row>
    <row r="124" spans="2:13">
      <c r="C124" s="665"/>
      <c r="D124" s="693" t="s">
        <v>866</v>
      </c>
      <c r="E124" s="666">
        <v>1568</v>
      </c>
      <c r="F124" s="665" t="s">
        <v>17</v>
      </c>
      <c r="G124" s="667"/>
      <c r="H124" s="463"/>
      <c r="I124" s="667"/>
      <c r="J124" s="463"/>
      <c r="K124" s="463"/>
      <c r="L124" s="668"/>
    </row>
    <row r="125" spans="2:13">
      <c r="C125" s="506"/>
      <c r="D125" s="583" t="s">
        <v>171</v>
      </c>
      <c r="E125" s="649"/>
      <c r="F125" s="506"/>
      <c r="G125" s="652"/>
      <c r="H125" s="501"/>
      <c r="I125" s="652"/>
      <c r="J125" s="501"/>
      <c r="K125" s="501"/>
      <c r="L125" s="669"/>
    </row>
    <row r="126" spans="2:13" s="567" customFormat="1">
      <c r="C126" s="506"/>
      <c r="D126" s="587"/>
      <c r="E126" s="649"/>
      <c r="F126" s="506"/>
      <c r="G126" s="652"/>
      <c r="H126" s="501"/>
      <c r="I126" s="652"/>
      <c r="J126" s="501"/>
      <c r="K126" s="501"/>
      <c r="L126" s="669"/>
      <c r="M126" s="565"/>
    </row>
    <row r="127" spans="2:13">
      <c r="C127" s="506">
        <v>2.2000000000000002</v>
      </c>
      <c r="D127" s="587" t="s">
        <v>803</v>
      </c>
      <c r="E127" s="649"/>
      <c r="F127" s="506"/>
      <c r="G127" s="652"/>
      <c r="H127" s="501"/>
      <c r="I127" s="652"/>
      <c r="J127" s="501"/>
      <c r="K127" s="501"/>
      <c r="L127" s="669"/>
    </row>
    <row r="128" spans="2:13">
      <c r="B128" s="691"/>
      <c r="C128" s="506"/>
      <c r="D128" s="689" t="s">
        <v>1067</v>
      </c>
      <c r="E128" s="649">
        <v>1327</v>
      </c>
      <c r="F128" s="506" t="s">
        <v>20</v>
      </c>
      <c r="G128" s="652"/>
      <c r="H128" s="501"/>
      <c r="I128" s="652"/>
      <c r="J128" s="501"/>
      <c r="K128" s="501"/>
      <c r="L128" s="669" t="s">
        <v>1387</v>
      </c>
    </row>
    <row r="129" spans="2:12">
      <c r="B129" s="691"/>
      <c r="C129" s="506"/>
      <c r="D129" s="689" t="s">
        <v>1068</v>
      </c>
      <c r="E129" s="649">
        <v>4850</v>
      </c>
      <c r="F129" s="506" t="s">
        <v>20</v>
      </c>
      <c r="G129" s="652"/>
      <c r="H129" s="501"/>
      <c r="I129" s="652"/>
      <c r="J129" s="501"/>
      <c r="K129" s="501"/>
      <c r="L129" s="669" t="s">
        <v>1387</v>
      </c>
    </row>
    <row r="130" spans="2:12">
      <c r="C130" s="506"/>
      <c r="D130" s="587" t="s">
        <v>1070</v>
      </c>
      <c r="E130" s="649">
        <v>331.5</v>
      </c>
      <c r="F130" s="506" t="s">
        <v>20</v>
      </c>
      <c r="G130" s="652"/>
      <c r="H130" s="501"/>
      <c r="I130" s="652"/>
      <c r="J130" s="501"/>
      <c r="K130" s="501"/>
      <c r="L130" s="669" t="s">
        <v>1387</v>
      </c>
    </row>
    <row r="131" spans="2:12">
      <c r="B131" s="691"/>
      <c r="C131" s="506"/>
      <c r="D131" s="689" t="s">
        <v>679</v>
      </c>
      <c r="E131" s="649">
        <v>1744</v>
      </c>
      <c r="F131" s="506" t="s">
        <v>20</v>
      </c>
      <c r="G131" s="652"/>
      <c r="H131" s="501"/>
      <c r="I131" s="652"/>
      <c r="J131" s="501"/>
      <c r="K131" s="501"/>
      <c r="L131" s="669" t="s">
        <v>1387</v>
      </c>
    </row>
    <row r="132" spans="2:12">
      <c r="B132" s="691"/>
      <c r="C132" s="506"/>
      <c r="D132" s="689" t="s">
        <v>1069</v>
      </c>
      <c r="E132" s="649">
        <v>1192</v>
      </c>
      <c r="F132" s="506" t="s">
        <v>20</v>
      </c>
      <c r="G132" s="652"/>
      <c r="H132" s="501"/>
      <c r="I132" s="652"/>
      <c r="J132" s="501"/>
      <c r="K132" s="501"/>
      <c r="L132" s="669" t="s">
        <v>1387</v>
      </c>
    </row>
    <row r="133" spans="2:12">
      <c r="B133" s="691"/>
      <c r="C133" s="506"/>
      <c r="D133" s="689" t="s">
        <v>804</v>
      </c>
      <c r="E133" s="649">
        <v>1</v>
      </c>
      <c r="F133" s="506" t="s">
        <v>603</v>
      </c>
      <c r="G133" s="652"/>
      <c r="H133" s="501"/>
      <c r="I133" s="652"/>
      <c r="J133" s="501"/>
      <c r="K133" s="501"/>
      <c r="L133" s="669"/>
    </row>
    <row r="134" spans="2:12">
      <c r="B134" s="691"/>
      <c r="C134" s="506"/>
      <c r="D134" s="689" t="s">
        <v>680</v>
      </c>
      <c r="E134" s="649">
        <v>1</v>
      </c>
      <c r="F134" s="506" t="s">
        <v>603</v>
      </c>
      <c r="G134" s="652"/>
      <c r="H134" s="501"/>
      <c r="I134" s="652"/>
      <c r="J134" s="501"/>
      <c r="K134" s="501"/>
      <c r="L134" s="669"/>
    </row>
    <row r="135" spans="2:12">
      <c r="C135" s="506"/>
      <c r="D135" s="587"/>
      <c r="E135" s="649"/>
      <c r="F135" s="506"/>
      <c r="G135" s="652"/>
      <c r="H135" s="501"/>
      <c r="I135" s="652"/>
      <c r="J135" s="501"/>
      <c r="K135" s="501"/>
      <c r="L135" s="669"/>
    </row>
    <row r="136" spans="2:12">
      <c r="C136" s="506"/>
      <c r="D136" s="583" t="s">
        <v>171</v>
      </c>
      <c r="E136" s="649"/>
      <c r="F136" s="506"/>
      <c r="G136" s="652"/>
      <c r="H136" s="501"/>
      <c r="I136" s="686"/>
      <c r="J136" s="501"/>
      <c r="K136" s="687"/>
      <c r="L136" s="669"/>
    </row>
    <row r="137" spans="2:12">
      <c r="C137" s="506"/>
      <c r="D137" s="506" t="s">
        <v>29</v>
      </c>
      <c r="E137" s="649"/>
      <c r="F137" s="506"/>
      <c r="G137" s="652"/>
      <c r="H137" s="501"/>
      <c r="I137" s="652"/>
      <c r="J137" s="501"/>
      <c r="K137" s="501"/>
      <c r="L137" s="669"/>
    </row>
    <row r="138" spans="2:12">
      <c r="C138" s="506"/>
      <c r="D138" s="557"/>
      <c r="E138" s="649"/>
      <c r="F138" s="506"/>
      <c r="G138" s="652"/>
      <c r="H138" s="501"/>
      <c r="I138" s="652"/>
      <c r="J138" s="501"/>
      <c r="K138" s="501"/>
      <c r="L138" s="669"/>
    </row>
    <row r="139" spans="2:12">
      <c r="C139" s="506">
        <v>3</v>
      </c>
      <c r="D139" s="506" t="s">
        <v>236</v>
      </c>
      <c r="E139" s="649"/>
      <c r="F139" s="506"/>
      <c r="G139" s="652"/>
      <c r="H139" s="501"/>
      <c r="I139" s="652"/>
      <c r="J139" s="501"/>
      <c r="K139" s="501"/>
      <c r="L139" s="669"/>
    </row>
    <row r="140" spans="2:12">
      <c r="C140" s="506">
        <v>3.1</v>
      </c>
      <c r="D140" s="557" t="s">
        <v>798</v>
      </c>
      <c r="E140" s="649"/>
      <c r="F140" s="506"/>
      <c r="G140" s="652"/>
      <c r="H140" s="501"/>
      <c r="I140" s="652"/>
      <c r="J140" s="501"/>
      <c r="K140" s="501"/>
      <c r="L140" s="669"/>
    </row>
    <row r="141" spans="2:12">
      <c r="C141" s="506" t="s">
        <v>695</v>
      </c>
      <c r="D141" s="683" t="s">
        <v>805</v>
      </c>
      <c r="E141" s="649"/>
      <c r="F141" s="506"/>
      <c r="G141" s="652"/>
      <c r="H141" s="501"/>
      <c r="I141" s="652"/>
      <c r="J141" s="501"/>
      <c r="K141" s="501"/>
      <c r="L141" s="669"/>
    </row>
    <row r="142" spans="2:12">
      <c r="C142" s="506"/>
      <c r="D142" s="557" t="s">
        <v>1071</v>
      </c>
      <c r="E142" s="649"/>
      <c r="F142" s="506"/>
      <c r="G142" s="652"/>
      <c r="H142" s="501"/>
      <c r="I142" s="652"/>
      <c r="J142" s="501"/>
      <c r="K142" s="501"/>
      <c r="L142" s="669"/>
    </row>
    <row r="143" spans="2:12">
      <c r="C143" s="506"/>
      <c r="D143" s="557" t="s">
        <v>1072</v>
      </c>
      <c r="E143" s="649">
        <v>230</v>
      </c>
      <c r="F143" s="506" t="s">
        <v>17</v>
      </c>
      <c r="G143" s="652"/>
      <c r="H143" s="501"/>
      <c r="I143" s="652"/>
      <c r="J143" s="501"/>
      <c r="K143" s="501"/>
      <c r="L143" s="669" t="s">
        <v>1387</v>
      </c>
    </row>
    <row r="144" spans="2:12">
      <c r="C144" s="506"/>
      <c r="D144" s="557" t="s">
        <v>1073</v>
      </c>
      <c r="E144" s="649">
        <v>18</v>
      </c>
      <c r="F144" s="506" t="s">
        <v>15</v>
      </c>
      <c r="G144" s="652"/>
      <c r="H144" s="501"/>
      <c r="I144" s="652"/>
      <c r="J144" s="501"/>
      <c r="K144" s="501"/>
      <c r="L144" s="669" t="s">
        <v>1387</v>
      </c>
    </row>
    <row r="145" spans="3:12">
      <c r="C145" s="506"/>
      <c r="D145" s="557" t="s">
        <v>1074</v>
      </c>
      <c r="E145" s="649">
        <v>67</v>
      </c>
      <c r="F145" s="506" t="s">
        <v>15</v>
      </c>
      <c r="G145" s="652"/>
      <c r="H145" s="501"/>
      <c r="I145" s="652"/>
      <c r="J145" s="501"/>
      <c r="K145" s="501"/>
      <c r="L145" s="669" t="s">
        <v>1387</v>
      </c>
    </row>
    <row r="146" spans="3:12">
      <c r="C146" s="506"/>
      <c r="D146" s="557" t="s">
        <v>1234</v>
      </c>
      <c r="E146" s="649">
        <v>2</v>
      </c>
      <c r="F146" s="506" t="s">
        <v>16</v>
      </c>
      <c r="G146" s="652"/>
      <c r="H146" s="501"/>
      <c r="I146" s="652"/>
      <c r="J146" s="501"/>
      <c r="K146" s="501"/>
      <c r="L146" s="669" t="s">
        <v>1387</v>
      </c>
    </row>
    <row r="147" spans="3:12">
      <c r="C147" s="506"/>
      <c r="D147" s="557" t="s">
        <v>687</v>
      </c>
      <c r="E147" s="649">
        <v>1</v>
      </c>
      <c r="F147" s="506" t="s">
        <v>41</v>
      </c>
      <c r="G147" s="652"/>
      <c r="H147" s="501"/>
      <c r="I147" s="652"/>
      <c r="J147" s="501"/>
      <c r="K147" s="501"/>
      <c r="L147" s="669" t="s">
        <v>1387</v>
      </c>
    </row>
    <row r="148" spans="3:12">
      <c r="C148" s="506"/>
      <c r="D148" s="557" t="s">
        <v>1075</v>
      </c>
      <c r="E148" s="649"/>
      <c r="F148" s="506"/>
      <c r="G148" s="652"/>
      <c r="H148" s="501"/>
      <c r="I148" s="652"/>
      <c r="J148" s="501"/>
      <c r="K148" s="501"/>
      <c r="L148" s="694"/>
    </row>
    <row r="149" spans="3:12">
      <c r="C149" s="506"/>
      <c r="D149" s="557" t="s">
        <v>1072</v>
      </c>
      <c r="E149" s="649">
        <v>180</v>
      </c>
      <c r="F149" s="506" t="s">
        <v>17</v>
      </c>
      <c r="G149" s="652"/>
      <c r="H149" s="501"/>
      <c r="I149" s="652"/>
      <c r="J149" s="501"/>
      <c r="K149" s="501"/>
      <c r="L149" s="669" t="s">
        <v>1387</v>
      </c>
    </row>
    <row r="150" spans="3:12">
      <c r="C150" s="506"/>
      <c r="D150" s="557" t="s">
        <v>1076</v>
      </c>
      <c r="E150" s="649">
        <v>27</v>
      </c>
      <c r="F150" s="506" t="s">
        <v>15</v>
      </c>
      <c r="G150" s="652"/>
      <c r="H150" s="501"/>
      <c r="I150" s="652"/>
      <c r="J150" s="501"/>
      <c r="K150" s="501"/>
      <c r="L150" s="669" t="s">
        <v>1387</v>
      </c>
    </row>
    <row r="151" spans="3:12">
      <c r="C151" s="506"/>
      <c r="D151" s="557" t="s">
        <v>1074</v>
      </c>
      <c r="E151" s="649">
        <v>45</v>
      </c>
      <c r="F151" s="506" t="s">
        <v>15</v>
      </c>
      <c r="G151" s="652"/>
      <c r="H151" s="501"/>
      <c r="I151" s="652"/>
      <c r="J151" s="501"/>
      <c r="K151" s="501"/>
      <c r="L151" s="669" t="s">
        <v>1387</v>
      </c>
    </row>
    <row r="152" spans="3:12">
      <c r="C152" s="506"/>
      <c r="D152" s="557" t="s">
        <v>1234</v>
      </c>
      <c r="E152" s="649">
        <v>2</v>
      </c>
      <c r="F152" s="506" t="s">
        <v>16</v>
      </c>
      <c r="G152" s="652"/>
      <c r="H152" s="501"/>
      <c r="I152" s="652"/>
      <c r="J152" s="501"/>
      <c r="K152" s="501"/>
      <c r="L152" s="669" t="s">
        <v>1387</v>
      </c>
    </row>
    <row r="153" spans="3:12">
      <c r="C153" s="506"/>
      <c r="D153" s="557" t="s">
        <v>1266</v>
      </c>
      <c r="E153" s="649">
        <v>131</v>
      </c>
      <c r="F153" s="506" t="s">
        <v>17</v>
      </c>
      <c r="G153" s="652"/>
      <c r="H153" s="501"/>
      <c r="I153" s="652"/>
      <c r="J153" s="501"/>
      <c r="K153" s="501"/>
      <c r="L153" s="669" t="s">
        <v>1345</v>
      </c>
    </row>
    <row r="154" spans="3:12">
      <c r="C154" s="506"/>
      <c r="D154" s="557" t="s">
        <v>687</v>
      </c>
      <c r="E154" s="649">
        <v>1</v>
      </c>
      <c r="F154" s="506" t="s">
        <v>41</v>
      </c>
      <c r="G154" s="652"/>
      <c r="H154" s="501"/>
      <c r="I154" s="652"/>
      <c r="J154" s="501"/>
      <c r="K154" s="501"/>
      <c r="L154" s="694"/>
    </row>
    <row r="155" spans="3:12">
      <c r="C155" s="506" t="s">
        <v>696</v>
      </c>
      <c r="D155" s="557" t="s">
        <v>30</v>
      </c>
      <c r="E155" s="649"/>
      <c r="F155" s="506"/>
      <c r="G155" s="652"/>
      <c r="H155" s="501"/>
      <c r="I155" s="652"/>
      <c r="J155" s="501"/>
      <c r="K155" s="501"/>
      <c r="L155" s="694"/>
    </row>
    <row r="156" spans="3:12">
      <c r="C156" s="674"/>
      <c r="D156" s="558" t="s">
        <v>739</v>
      </c>
      <c r="E156" s="676">
        <v>1246</v>
      </c>
      <c r="F156" s="674" t="s">
        <v>17</v>
      </c>
      <c r="G156" s="677"/>
      <c r="H156" s="675"/>
      <c r="I156" s="677"/>
      <c r="J156" s="675"/>
      <c r="K156" s="675"/>
      <c r="L156" s="669" t="s">
        <v>1387</v>
      </c>
    </row>
    <row r="157" spans="3:12">
      <c r="C157" s="665"/>
      <c r="D157" s="688" t="s">
        <v>1114</v>
      </c>
      <c r="E157" s="666">
        <v>172</v>
      </c>
      <c r="F157" s="665" t="s">
        <v>17</v>
      </c>
      <c r="G157" s="667"/>
      <c r="H157" s="463"/>
      <c r="I157" s="667"/>
      <c r="J157" s="463"/>
      <c r="K157" s="463"/>
      <c r="L157" s="669" t="s">
        <v>1387</v>
      </c>
    </row>
    <row r="158" spans="3:12">
      <c r="C158" s="506"/>
      <c r="D158" s="557" t="s">
        <v>960</v>
      </c>
      <c r="E158" s="649">
        <v>2348</v>
      </c>
      <c r="F158" s="506" t="s">
        <v>17</v>
      </c>
      <c r="G158" s="652"/>
      <c r="H158" s="501"/>
      <c r="I158" s="652"/>
      <c r="J158" s="501"/>
      <c r="K158" s="501"/>
      <c r="L158" s="669" t="s">
        <v>1387</v>
      </c>
    </row>
    <row r="159" spans="3:12">
      <c r="C159" s="506"/>
      <c r="D159" s="557" t="s">
        <v>790</v>
      </c>
      <c r="E159" s="649">
        <v>939</v>
      </c>
      <c r="F159" s="506" t="s">
        <v>17</v>
      </c>
      <c r="G159" s="652"/>
      <c r="H159" s="501"/>
      <c r="I159" s="652"/>
      <c r="J159" s="501"/>
      <c r="K159" s="501"/>
      <c r="L159" s="669" t="s">
        <v>1387</v>
      </c>
    </row>
    <row r="160" spans="3:12">
      <c r="C160" s="506"/>
      <c r="D160" s="557" t="s">
        <v>1254</v>
      </c>
      <c r="E160" s="649">
        <v>595.35000000000014</v>
      </c>
      <c r="F160" s="506" t="s">
        <v>17</v>
      </c>
      <c r="G160" s="652"/>
      <c r="H160" s="501"/>
      <c r="I160" s="652"/>
      <c r="J160" s="501"/>
      <c r="K160" s="501"/>
      <c r="L160" s="669" t="s">
        <v>1387</v>
      </c>
    </row>
    <row r="161" spans="3:12">
      <c r="C161" s="506"/>
      <c r="D161" s="557" t="s">
        <v>1235</v>
      </c>
      <c r="E161" s="649">
        <v>185</v>
      </c>
      <c r="F161" s="506" t="s">
        <v>17</v>
      </c>
      <c r="G161" s="652"/>
      <c r="H161" s="501"/>
      <c r="I161" s="652"/>
      <c r="J161" s="501"/>
      <c r="K161" s="501"/>
      <c r="L161" s="669" t="s">
        <v>1387</v>
      </c>
    </row>
    <row r="162" spans="3:12">
      <c r="C162" s="506"/>
      <c r="D162" s="557" t="s">
        <v>791</v>
      </c>
      <c r="E162" s="649">
        <v>16</v>
      </c>
      <c r="F162" s="506" t="s">
        <v>17</v>
      </c>
      <c r="G162" s="652"/>
      <c r="H162" s="501"/>
      <c r="I162" s="652"/>
      <c r="J162" s="501"/>
      <c r="K162" s="501"/>
      <c r="L162" s="669" t="s">
        <v>1387</v>
      </c>
    </row>
    <row r="163" spans="3:12">
      <c r="C163" s="506"/>
      <c r="D163" s="557" t="s">
        <v>1113</v>
      </c>
      <c r="E163" s="649">
        <v>34</v>
      </c>
      <c r="F163" s="506" t="s">
        <v>17</v>
      </c>
      <c r="G163" s="652"/>
      <c r="H163" s="501"/>
      <c r="I163" s="652"/>
      <c r="J163" s="501"/>
      <c r="K163" s="501"/>
      <c r="L163" s="669" t="s">
        <v>1387</v>
      </c>
    </row>
    <row r="164" spans="3:12">
      <c r="C164" s="506"/>
      <c r="D164" s="695" t="s">
        <v>31</v>
      </c>
      <c r="E164" s="649">
        <v>4001</v>
      </c>
      <c r="F164" s="506" t="s">
        <v>17</v>
      </c>
      <c r="G164" s="652"/>
      <c r="H164" s="501"/>
      <c r="I164" s="652"/>
      <c r="J164" s="501"/>
      <c r="K164" s="501"/>
      <c r="L164" s="669" t="s">
        <v>1387</v>
      </c>
    </row>
    <row r="165" spans="3:12">
      <c r="C165" s="506"/>
      <c r="D165" s="695" t="s">
        <v>1207</v>
      </c>
      <c r="E165" s="649">
        <v>185</v>
      </c>
      <c r="F165" s="506" t="s">
        <v>17</v>
      </c>
      <c r="G165" s="652"/>
      <c r="H165" s="501"/>
      <c r="I165" s="652"/>
      <c r="J165" s="501"/>
      <c r="K165" s="501"/>
      <c r="L165" s="669" t="s">
        <v>1387</v>
      </c>
    </row>
    <row r="166" spans="3:12">
      <c r="C166" s="506"/>
      <c r="D166" s="695" t="s">
        <v>792</v>
      </c>
      <c r="E166" s="649">
        <v>79</v>
      </c>
      <c r="F166" s="506" t="s">
        <v>15</v>
      </c>
      <c r="G166" s="652"/>
      <c r="H166" s="501"/>
      <c r="I166" s="652"/>
      <c r="J166" s="501"/>
      <c r="K166" s="501"/>
      <c r="L166" s="669" t="s">
        <v>1387</v>
      </c>
    </row>
    <row r="167" spans="3:12">
      <c r="C167" s="506"/>
      <c r="D167" s="695" t="s">
        <v>1255</v>
      </c>
      <c r="E167" s="649">
        <v>1424</v>
      </c>
      <c r="F167" s="506" t="s">
        <v>15</v>
      </c>
      <c r="G167" s="652"/>
      <c r="H167" s="501"/>
      <c r="I167" s="652"/>
      <c r="J167" s="501"/>
      <c r="K167" s="501"/>
      <c r="L167" s="669" t="s">
        <v>1387</v>
      </c>
    </row>
    <row r="168" spans="3:12">
      <c r="C168" s="506"/>
      <c r="D168" s="695" t="s">
        <v>793</v>
      </c>
      <c r="E168" s="649">
        <v>20</v>
      </c>
      <c r="F168" s="506" t="s">
        <v>15</v>
      </c>
      <c r="G168" s="652"/>
      <c r="H168" s="501"/>
      <c r="I168" s="652"/>
      <c r="J168" s="501"/>
      <c r="K168" s="501"/>
      <c r="L168" s="669" t="s">
        <v>1387</v>
      </c>
    </row>
    <row r="169" spans="3:12">
      <c r="C169" s="506"/>
      <c r="D169" s="557"/>
      <c r="E169" s="649"/>
      <c r="F169" s="506"/>
      <c r="G169" s="652"/>
      <c r="H169" s="501"/>
      <c r="I169" s="652"/>
      <c r="J169" s="501"/>
      <c r="K169" s="501"/>
      <c r="L169" s="669"/>
    </row>
    <row r="170" spans="3:12">
      <c r="C170" s="506" t="s">
        <v>697</v>
      </c>
      <c r="D170" s="557" t="s">
        <v>32</v>
      </c>
      <c r="E170" s="649"/>
      <c r="F170" s="506"/>
      <c r="G170" s="652"/>
      <c r="H170" s="501"/>
      <c r="I170" s="652"/>
      <c r="J170" s="501"/>
      <c r="K170" s="501"/>
      <c r="L170" s="669"/>
    </row>
    <row r="171" spans="3:12">
      <c r="C171" s="506"/>
      <c r="D171" s="557" t="s">
        <v>33</v>
      </c>
      <c r="E171" s="649"/>
      <c r="F171" s="506"/>
      <c r="G171" s="652"/>
      <c r="H171" s="501"/>
      <c r="I171" s="652"/>
      <c r="J171" s="501"/>
      <c r="K171" s="501"/>
      <c r="L171" s="669"/>
    </row>
    <row r="172" spans="3:12">
      <c r="C172" s="506"/>
      <c r="D172" s="557" t="s">
        <v>1236</v>
      </c>
      <c r="E172" s="649">
        <v>6574.8</v>
      </c>
      <c r="F172" s="506" t="s">
        <v>17</v>
      </c>
      <c r="G172" s="652"/>
      <c r="H172" s="501"/>
      <c r="I172" s="652"/>
      <c r="J172" s="501"/>
      <c r="K172" s="501"/>
      <c r="L172" s="669" t="s">
        <v>1345</v>
      </c>
    </row>
    <row r="173" spans="3:12">
      <c r="C173" s="506"/>
      <c r="D173" s="557" t="s">
        <v>34</v>
      </c>
      <c r="E173" s="649">
        <v>4716.53</v>
      </c>
      <c r="F173" s="506" t="s">
        <v>15</v>
      </c>
      <c r="G173" s="652"/>
      <c r="H173" s="501"/>
      <c r="I173" s="652"/>
      <c r="J173" s="501"/>
      <c r="K173" s="501"/>
      <c r="L173" s="669" t="s">
        <v>1387</v>
      </c>
    </row>
    <row r="174" spans="3:12">
      <c r="C174" s="506"/>
      <c r="D174" s="683" t="s">
        <v>35</v>
      </c>
      <c r="E174" s="649"/>
      <c r="F174" s="506"/>
      <c r="G174" s="652"/>
      <c r="H174" s="501"/>
      <c r="I174" s="652"/>
      <c r="J174" s="501"/>
      <c r="K174" s="501"/>
      <c r="L174" s="669"/>
    </row>
    <row r="175" spans="3:12">
      <c r="C175" s="506"/>
      <c r="D175" s="557" t="s">
        <v>806</v>
      </c>
      <c r="E175" s="649">
        <v>13649.6</v>
      </c>
      <c r="F175" s="506" t="s">
        <v>17</v>
      </c>
      <c r="G175" s="652"/>
      <c r="H175" s="501"/>
      <c r="I175" s="652"/>
      <c r="J175" s="501"/>
      <c r="K175" s="501"/>
      <c r="L175" s="669" t="s">
        <v>958</v>
      </c>
    </row>
    <row r="176" spans="3:12">
      <c r="C176" s="506"/>
      <c r="D176" s="557" t="s">
        <v>869</v>
      </c>
      <c r="E176" s="649">
        <v>4094</v>
      </c>
      <c r="F176" s="506" t="s">
        <v>15</v>
      </c>
      <c r="G176" s="652"/>
      <c r="H176" s="501"/>
      <c r="I176" s="652"/>
      <c r="J176" s="501"/>
      <c r="K176" s="501"/>
      <c r="L176" s="669"/>
    </row>
    <row r="177" spans="3:12">
      <c r="C177" s="506"/>
      <c r="D177" s="557" t="s">
        <v>1115</v>
      </c>
      <c r="E177" s="649">
        <v>1259</v>
      </c>
      <c r="F177" s="506" t="s">
        <v>17</v>
      </c>
      <c r="G177" s="652"/>
      <c r="H177" s="501"/>
      <c r="I177" s="652"/>
      <c r="J177" s="501"/>
      <c r="K177" s="501"/>
      <c r="L177" s="669" t="s">
        <v>1387</v>
      </c>
    </row>
    <row r="178" spans="3:12">
      <c r="C178" s="506"/>
      <c r="D178" s="683"/>
      <c r="E178" s="649"/>
      <c r="F178" s="506"/>
      <c r="G178" s="652"/>
      <c r="H178" s="501"/>
      <c r="I178" s="652"/>
      <c r="J178" s="501"/>
      <c r="K178" s="501"/>
      <c r="L178" s="669"/>
    </row>
    <row r="179" spans="3:12">
      <c r="C179" s="506" t="s">
        <v>698</v>
      </c>
      <c r="D179" s="683" t="s">
        <v>36</v>
      </c>
      <c r="E179" s="649"/>
      <c r="F179" s="506"/>
      <c r="G179" s="652"/>
      <c r="H179" s="501"/>
      <c r="I179" s="652"/>
      <c r="J179" s="501"/>
      <c r="K179" s="501"/>
      <c r="L179" s="669"/>
    </row>
    <row r="180" spans="3:12">
      <c r="C180" s="506"/>
      <c r="D180" s="683" t="s">
        <v>704</v>
      </c>
      <c r="E180" s="649">
        <v>3578.35</v>
      </c>
      <c r="F180" s="506" t="s">
        <v>17</v>
      </c>
      <c r="G180" s="652"/>
      <c r="H180" s="501"/>
      <c r="I180" s="652"/>
      <c r="J180" s="501"/>
      <c r="K180" s="501"/>
      <c r="L180" s="669" t="s">
        <v>958</v>
      </c>
    </row>
    <row r="181" spans="3:12">
      <c r="C181" s="506"/>
      <c r="D181" s="683" t="s">
        <v>740</v>
      </c>
      <c r="E181" s="649">
        <v>10935.04</v>
      </c>
      <c r="F181" s="506" t="s">
        <v>17</v>
      </c>
      <c r="G181" s="652"/>
      <c r="H181" s="501"/>
      <c r="I181" s="652"/>
      <c r="J181" s="501"/>
      <c r="K181" s="501"/>
      <c r="L181" s="669" t="s">
        <v>958</v>
      </c>
    </row>
    <row r="182" spans="3:12">
      <c r="C182" s="506"/>
      <c r="D182" s="683"/>
      <c r="E182" s="649"/>
      <c r="F182" s="506"/>
      <c r="G182" s="652"/>
      <c r="H182" s="501"/>
      <c r="I182" s="652"/>
      <c r="J182" s="501"/>
      <c r="K182" s="501"/>
      <c r="L182" s="669"/>
    </row>
    <row r="183" spans="3:12">
      <c r="C183" s="506" t="s">
        <v>699</v>
      </c>
      <c r="D183" s="557" t="s">
        <v>37</v>
      </c>
      <c r="E183" s="649"/>
      <c r="F183" s="506"/>
      <c r="G183" s="652"/>
      <c r="H183" s="501"/>
      <c r="I183" s="652"/>
      <c r="J183" s="501"/>
      <c r="K183" s="501"/>
      <c r="L183" s="669"/>
    </row>
    <row r="184" spans="3:12">
      <c r="C184" s="506"/>
      <c r="D184" s="557" t="s">
        <v>794</v>
      </c>
      <c r="E184" s="649">
        <v>3777</v>
      </c>
      <c r="F184" s="506" t="s">
        <v>17</v>
      </c>
      <c r="G184" s="652"/>
      <c r="H184" s="501"/>
      <c r="I184" s="652"/>
      <c r="J184" s="501"/>
      <c r="K184" s="501"/>
      <c r="L184" s="669" t="s">
        <v>1387</v>
      </c>
    </row>
    <row r="185" spans="3:12">
      <c r="C185" s="506"/>
      <c r="D185" s="557" t="s">
        <v>795</v>
      </c>
      <c r="E185" s="649">
        <v>172</v>
      </c>
      <c r="F185" s="506" t="s">
        <v>17</v>
      </c>
      <c r="G185" s="652"/>
      <c r="H185" s="501"/>
      <c r="I185" s="652"/>
      <c r="J185" s="501"/>
      <c r="K185" s="501"/>
      <c r="L185" s="669" t="s">
        <v>1387</v>
      </c>
    </row>
    <row r="186" spans="3:12">
      <c r="C186" s="506"/>
      <c r="D186" s="557" t="s">
        <v>560</v>
      </c>
      <c r="E186" s="649">
        <v>34</v>
      </c>
      <c r="F186" s="506" t="s">
        <v>17</v>
      </c>
      <c r="G186" s="652"/>
      <c r="H186" s="501"/>
      <c r="I186" s="652"/>
      <c r="J186" s="501"/>
      <c r="K186" s="501"/>
      <c r="L186" s="669" t="s">
        <v>1387</v>
      </c>
    </row>
    <row r="187" spans="3:12">
      <c r="C187" s="506"/>
      <c r="D187" s="557" t="s">
        <v>796</v>
      </c>
      <c r="E187" s="649">
        <v>225</v>
      </c>
      <c r="F187" s="506" t="s">
        <v>17</v>
      </c>
      <c r="G187" s="652"/>
      <c r="H187" s="501"/>
      <c r="I187" s="652"/>
      <c r="J187" s="501"/>
      <c r="K187" s="501"/>
      <c r="L187" s="669" t="s">
        <v>1387</v>
      </c>
    </row>
    <row r="188" spans="3:12">
      <c r="C188" s="506"/>
      <c r="D188" s="557" t="s">
        <v>1361</v>
      </c>
      <c r="E188" s="649">
        <v>9</v>
      </c>
      <c r="F188" s="506" t="s">
        <v>16</v>
      </c>
      <c r="G188" s="652"/>
      <c r="H188" s="501"/>
      <c r="I188" s="652"/>
      <c r="J188" s="501"/>
      <c r="K188" s="501"/>
      <c r="L188" s="669" t="s">
        <v>1387</v>
      </c>
    </row>
    <row r="189" spans="3:12">
      <c r="C189" s="674"/>
      <c r="D189" s="696" t="s">
        <v>38</v>
      </c>
      <c r="E189" s="676">
        <v>4583</v>
      </c>
      <c r="F189" s="674" t="s">
        <v>17</v>
      </c>
      <c r="G189" s="677"/>
      <c r="H189" s="675"/>
      <c r="I189" s="677"/>
      <c r="J189" s="675"/>
      <c r="K189" s="675"/>
      <c r="L189" s="669" t="s">
        <v>958</v>
      </c>
    </row>
    <row r="190" spans="3:12">
      <c r="C190" s="665"/>
      <c r="D190" s="697"/>
      <c r="E190" s="666"/>
      <c r="F190" s="665"/>
      <c r="G190" s="667"/>
      <c r="H190" s="463"/>
      <c r="I190" s="667"/>
      <c r="J190" s="463"/>
      <c r="K190" s="463"/>
      <c r="L190" s="668"/>
    </row>
    <row r="191" spans="3:12">
      <c r="C191" s="506" t="s">
        <v>700</v>
      </c>
      <c r="D191" s="683" t="s">
        <v>799</v>
      </c>
      <c r="E191" s="649"/>
      <c r="F191" s="506"/>
      <c r="G191" s="652"/>
      <c r="H191" s="501"/>
      <c r="I191" s="652"/>
      <c r="J191" s="501"/>
      <c r="K191" s="501"/>
      <c r="L191" s="669"/>
    </row>
    <row r="192" spans="3:12">
      <c r="C192" s="506"/>
      <c r="D192" s="557" t="s">
        <v>1116</v>
      </c>
      <c r="E192" s="649">
        <v>36</v>
      </c>
      <c r="F192" s="506" t="s">
        <v>16</v>
      </c>
      <c r="G192" s="698"/>
      <c r="H192" s="501"/>
      <c r="I192" s="698"/>
      <c r="J192" s="501"/>
      <c r="K192" s="501"/>
      <c r="L192" s="669" t="s">
        <v>1387</v>
      </c>
    </row>
    <row r="193" spans="3:12">
      <c r="C193" s="506"/>
      <c r="D193" s="557" t="s">
        <v>536</v>
      </c>
      <c r="E193" s="649">
        <v>36</v>
      </c>
      <c r="F193" s="506" t="s">
        <v>28</v>
      </c>
      <c r="G193" s="698"/>
      <c r="H193" s="501"/>
      <c r="I193" s="698"/>
      <c r="J193" s="501"/>
      <c r="K193" s="501"/>
      <c r="L193" s="669" t="s">
        <v>1387</v>
      </c>
    </row>
    <row r="194" spans="3:12">
      <c r="C194" s="506"/>
      <c r="D194" s="557" t="s">
        <v>537</v>
      </c>
      <c r="E194" s="649">
        <v>36</v>
      </c>
      <c r="F194" s="506" t="s">
        <v>16</v>
      </c>
      <c r="G194" s="652"/>
      <c r="H194" s="501"/>
      <c r="I194" s="652"/>
      <c r="J194" s="501"/>
      <c r="K194" s="501"/>
      <c r="L194" s="669" t="s">
        <v>1387</v>
      </c>
    </row>
    <row r="195" spans="3:12">
      <c r="C195" s="506"/>
      <c r="D195" s="557" t="s">
        <v>576</v>
      </c>
      <c r="E195" s="649">
        <v>36</v>
      </c>
      <c r="F195" s="506" t="s">
        <v>16</v>
      </c>
      <c r="G195" s="652"/>
      <c r="H195" s="501"/>
      <c r="I195" s="652"/>
      <c r="J195" s="501"/>
      <c r="K195" s="501"/>
      <c r="L195" s="669" t="s">
        <v>1387</v>
      </c>
    </row>
    <row r="196" spans="3:12">
      <c r="C196" s="506"/>
      <c r="D196" s="557" t="s">
        <v>871</v>
      </c>
      <c r="E196" s="649">
        <v>3</v>
      </c>
      <c r="F196" s="506" t="s">
        <v>16</v>
      </c>
      <c r="G196" s="652"/>
      <c r="H196" s="501"/>
      <c r="I196" s="652"/>
      <c r="J196" s="501"/>
      <c r="K196" s="501"/>
      <c r="L196" s="669" t="s">
        <v>1387</v>
      </c>
    </row>
    <row r="197" spans="3:12">
      <c r="C197" s="506"/>
      <c r="D197" s="557" t="s">
        <v>538</v>
      </c>
      <c r="E197" s="644">
        <v>27</v>
      </c>
      <c r="F197" s="506" t="s">
        <v>16</v>
      </c>
      <c r="G197" s="699"/>
      <c r="H197" s="501"/>
      <c r="I197" s="699"/>
      <c r="J197" s="501"/>
      <c r="K197" s="501"/>
      <c r="L197" s="669" t="s">
        <v>1387</v>
      </c>
    </row>
    <row r="198" spans="3:12">
      <c r="C198" s="506"/>
      <c r="D198" s="557" t="s">
        <v>539</v>
      </c>
      <c r="E198" s="644">
        <v>30</v>
      </c>
      <c r="F198" s="506" t="s">
        <v>16</v>
      </c>
      <c r="G198" s="699"/>
      <c r="H198" s="501"/>
      <c r="I198" s="699"/>
      <c r="J198" s="501"/>
      <c r="K198" s="501"/>
      <c r="L198" s="669" t="s">
        <v>1387</v>
      </c>
    </row>
    <row r="199" spans="3:12">
      <c r="C199" s="506"/>
      <c r="D199" s="557" t="s">
        <v>540</v>
      </c>
      <c r="E199" s="644">
        <v>30</v>
      </c>
      <c r="F199" s="506" t="s">
        <v>16</v>
      </c>
      <c r="G199" s="699"/>
      <c r="H199" s="501"/>
      <c r="I199" s="699"/>
      <c r="J199" s="501"/>
      <c r="K199" s="501"/>
      <c r="L199" s="669" t="s">
        <v>1387</v>
      </c>
    </row>
    <row r="200" spans="3:12">
      <c r="C200" s="506"/>
      <c r="D200" s="557" t="s">
        <v>541</v>
      </c>
      <c r="E200" s="644">
        <v>30</v>
      </c>
      <c r="F200" s="506" t="s">
        <v>16</v>
      </c>
      <c r="G200" s="699"/>
      <c r="H200" s="501"/>
      <c r="I200" s="699"/>
      <c r="J200" s="501"/>
      <c r="K200" s="501"/>
      <c r="L200" s="669" t="s">
        <v>1387</v>
      </c>
    </row>
    <row r="201" spans="3:12">
      <c r="C201" s="506"/>
      <c r="D201" s="557" t="s">
        <v>542</v>
      </c>
      <c r="E201" s="644">
        <v>30</v>
      </c>
      <c r="F201" s="506" t="s">
        <v>16</v>
      </c>
      <c r="G201" s="699"/>
      <c r="H201" s="501"/>
      <c r="I201" s="699"/>
      <c r="J201" s="501"/>
      <c r="K201" s="501"/>
      <c r="L201" s="669" t="s">
        <v>1387</v>
      </c>
    </row>
    <row r="202" spans="3:12">
      <c r="C202" s="506"/>
      <c r="D202" s="557" t="s">
        <v>1240</v>
      </c>
      <c r="E202" s="649">
        <v>3</v>
      </c>
      <c r="F202" s="506" t="s">
        <v>16</v>
      </c>
      <c r="G202" s="652"/>
      <c r="H202" s="501"/>
      <c r="I202" s="652"/>
      <c r="J202" s="501"/>
      <c r="K202" s="501"/>
      <c r="L202" s="669"/>
    </row>
    <row r="203" spans="3:12">
      <c r="C203" s="506"/>
      <c r="D203" s="557" t="s">
        <v>1239</v>
      </c>
      <c r="E203" s="649">
        <v>3</v>
      </c>
      <c r="F203" s="506" t="s">
        <v>16</v>
      </c>
      <c r="G203" s="652"/>
      <c r="H203" s="501"/>
      <c r="I203" s="652"/>
      <c r="J203" s="501"/>
      <c r="K203" s="501"/>
      <c r="L203" s="669"/>
    </row>
    <row r="204" spans="3:12">
      <c r="C204" s="506"/>
      <c r="D204" s="557" t="s">
        <v>1241</v>
      </c>
      <c r="E204" s="649">
        <v>3</v>
      </c>
      <c r="F204" s="506" t="s">
        <v>16</v>
      </c>
      <c r="G204" s="652"/>
      <c r="H204" s="501"/>
      <c r="I204" s="652"/>
      <c r="J204" s="501"/>
      <c r="K204" s="501"/>
      <c r="L204" s="669"/>
    </row>
    <row r="205" spans="3:12">
      <c r="C205" s="506"/>
      <c r="D205" s="557" t="s">
        <v>1242</v>
      </c>
      <c r="E205" s="649">
        <v>6</v>
      </c>
      <c r="F205" s="506" t="s">
        <v>16</v>
      </c>
      <c r="G205" s="652"/>
      <c r="H205" s="501"/>
      <c r="I205" s="652"/>
      <c r="J205" s="501"/>
      <c r="K205" s="501"/>
      <c r="L205" s="669"/>
    </row>
    <row r="206" spans="3:12">
      <c r="C206" s="506"/>
      <c r="D206" s="557" t="s">
        <v>1243</v>
      </c>
      <c r="E206" s="649">
        <v>3</v>
      </c>
      <c r="F206" s="506" t="s">
        <v>16</v>
      </c>
      <c r="G206" s="652"/>
      <c r="H206" s="501"/>
      <c r="I206" s="652"/>
      <c r="J206" s="501"/>
      <c r="K206" s="501"/>
      <c r="L206" s="669"/>
    </row>
    <row r="207" spans="3:12">
      <c r="C207" s="506"/>
      <c r="D207" s="557" t="s">
        <v>1117</v>
      </c>
      <c r="E207" s="649">
        <v>14</v>
      </c>
      <c r="F207" s="506" t="s">
        <v>16</v>
      </c>
      <c r="G207" s="700"/>
      <c r="H207" s="501"/>
      <c r="I207" s="700"/>
      <c r="J207" s="501"/>
      <c r="K207" s="501"/>
      <c r="L207" s="669" t="s">
        <v>1387</v>
      </c>
    </row>
    <row r="208" spans="3:12">
      <c r="C208" s="506"/>
      <c r="D208" s="557" t="s">
        <v>573</v>
      </c>
      <c r="E208" s="649">
        <v>3</v>
      </c>
      <c r="F208" s="506" t="s">
        <v>16</v>
      </c>
      <c r="G208" s="652"/>
      <c r="H208" s="501"/>
      <c r="I208" s="652"/>
      <c r="J208" s="501"/>
      <c r="K208" s="501"/>
      <c r="L208" s="669" t="s">
        <v>1387</v>
      </c>
    </row>
    <row r="209" spans="3:23">
      <c r="C209" s="506"/>
      <c r="D209" s="557" t="s">
        <v>1237</v>
      </c>
      <c r="E209" s="649">
        <v>6</v>
      </c>
      <c r="F209" s="506" t="s">
        <v>16</v>
      </c>
      <c r="G209" s="652"/>
      <c r="H209" s="501"/>
      <c r="I209" s="652"/>
      <c r="J209" s="501"/>
      <c r="K209" s="501"/>
      <c r="L209" s="669" t="s">
        <v>1387</v>
      </c>
    </row>
    <row r="210" spans="3:23">
      <c r="C210" s="506"/>
      <c r="D210" s="557" t="s">
        <v>546</v>
      </c>
      <c r="E210" s="649">
        <v>12</v>
      </c>
      <c r="F210" s="506" t="s">
        <v>16</v>
      </c>
      <c r="G210" s="652"/>
      <c r="H210" s="501"/>
      <c r="I210" s="652"/>
      <c r="J210" s="501"/>
      <c r="K210" s="501"/>
      <c r="L210" s="669" t="s">
        <v>1387</v>
      </c>
    </row>
    <row r="211" spans="3:23">
      <c r="C211" s="506"/>
      <c r="D211" s="557" t="s">
        <v>547</v>
      </c>
      <c r="E211" s="649">
        <v>42</v>
      </c>
      <c r="F211" s="506" t="s">
        <v>16</v>
      </c>
      <c r="G211" s="652"/>
      <c r="H211" s="501"/>
      <c r="I211" s="652"/>
      <c r="J211" s="501"/>
      <c r="K211" s="501"/>
      <c r="L211" s="669" t="s">
        <v>1387</v>
      </c>
    </row>
    <row r="212" spans="3:23">
      <c r="C212" s="506"/>
      <c r="D212" s="557" t="s">
        <v>252</v>
      </c>
      <c r="E212" s="649">
        <v>9</v>
      </c>
      <c r="F212" s="506" t="s">
        <v>16</v>
      </c>
      <c r="G212" s="652"/>
      <c r="H212" s="501"/>
      <c r="I212" s="652"/>
      <c r="J212" s="501"/>
      <c r="K212" s="501"/>
      <c r="L212" s="669" t="s">
        <v>1387</v>
      </c>
    </row>
    <row r="213" spans="3:23">
      <c r="C213" s="506"/>
      <c r="D213" s="557" t="s">
        <v>43</v>
      </c>
      <c r="E213" s="649">
        <v>25.5</v>
      </c>
      <c r="F213" s="506" t="s">
        <v>17</v>
      </c>
      <c r="G213" s="652"/>
      <c r="H213" s="501"/>
      <c r="I213" s="652"/>
      <c r="J213" s="501"/>
      <c r="K213" s="501"/>
      <c r="L213" s="669" t="s">
        <v>1387</v>
      </c>
    </row>
    <row r="214" spans="3:23">
      <c r="C214" s="506"/>
      <c r="D214" s="557" t="s">
        <v>39</v>
      </c>
      <c r="E214" s="649">
        <v>33.5</v>
      </c>
      <c r="F214" s="506" t="s">
        <v>15</v>
      </c>
      <c r="G214" s="652"/>
      <c r="H214" s="501"/>
      <c r="I214" s="652"/>
      <c r="J214" s="501"/>
      <c r="K214" s="501"/>
      <c r="L214" s="669" t="s">
        <v>1387</v>
      </c>
    </row>
    <row r="215" spans="3:23">
      <c r="C215" s="506"/>
      <c r="D215" s="557" t="s">
        <v>870</v>
      </c>
      <c r="E215" s="649">
        <v>28.8</v>
      </c>
      <c r="F215" s="506" t="s">
        <v>15</v>
      </c>
      <c r="G215" s="652"/>
      <c r="H215" s="501"/>
      <c r="I215" s="652"/>
      <c r="J215" s="501"/>
      <c r="K215" s="501"/>
      <c r="L215" s="669" t="s">
        <v>1387</v>
      </c>
    </row>
    <row r="216" spans="3:23">
      <c r="C216" s="506"/>
      <c r="D216" s="557" t="s">
        <v>1238</v>
      </c>
      <c r="E216" s="649">
        <v>30</v>
      </c>
      <c r="F216" s="506" t="s">
        <v>16</v>
      </c>
      <c r="G216" s="652"/>
      <c r="H216" s="501"/>
      <c r="I216" s="652"/>
      <c r="J216" s="501"/>
      <c r="K216" s="501"/>
      <c r="L216" s="669" t="s">
        <v>1387</v>
      </c>
    </row>
    <row r="217" spans="3:23">
      <c r="C217" s="506"/>
      <c r="D217" s="557" t="s">
        <v>1287</v>
      </c>
      <c r="E217" s="649">
        <v>1</v>
      </c>
      <c r="F217" s="506" t="s">
        <v>16</v>
      </c>
      <c r="G217" s="652"/>
      <c r="H217" s="501"/>
      <c r="I217" s="652"/>
      <c r="J217" s="501"/>
      <c r="K217" s="501"/>
      <c r="L217" s="669" t="s">
        <v>1387</v>
      </c>
    </row>
    <row r="218" spans="3:23">
      <c r="C218" s="506"/>
      <c r="D218" s="683"/>
      <c r="E218" s="649"/>
      <c r="F218" s="506"/>
      <c r="G218" s="652"/>
      <c r="H218" s="501"/>
      <c r="I218" s="652"/>
      <c r="J218" s="501"/>
      <c r="K218" s="501"/>
      <c r="L218" s="669"/>
    </row>
    <row r="219" spans="3:23">
      <c r="C219" s="506" t="s">
        <v>1103</v>
      </c>
      <c r="D219" s="683" t="s">
        <v>44</v>
      </c>
      <c r="E219" s="649"/>
      <c r="F219" s="506"/>
      <c r="G219" s="652"/>
      <c r="H219" s="501"/>
      <c r="I219" s="652"/>
      <c r="J219" s="501"/>
      <c r="K219" s="501"/>
      <c r="L219" s="669"/>
      <c r="O219" s="572"/>
      <c r="P219" s="572"/>
      <c r="Q219" s="572"/>
      <c r="R219" s="572"/>
      <c r="S219" s="572"/>
      <c r="T219" s="572"/>
      <c r="U219" s="572"/>
      <c r="V219" s="572"/>
      <c r="W219" s="572"/>
    </row>
    <row r="220" spans="3:23">
      <c r="C220" s="506"/>
      <c r="D220" s="683" t="s">
        <v>204</v>
      </c>
      <c r="E220" s="649">
        <v>8</v>
      </c>
      <c r="F220" s="506" t="s">
        <v>16</v>
      </c>
      <c r="G220" s="652"/>
      <c r="H220" s="501"/>
      <c r="I220" s="652"/>
      <c r="J220" s="501"/>
      <c r="K220" s="501"/>
      <c r="L220" s="669" t="s">
        <v>1344</v>
      </c>
      <c r="O220" s="690"/>
      <c r="P220" s="690"/>
      <c r="Q220" s="690"/>
    </row>
    <row r="221" spans="3:23">
      <c r="C221" s="506"/>
      <c r="D221" s="683" t="s">
        <v>203</v>
      </c>
      <c r="E221" s="649">
        <v>2</v>
      </c>
      <c r="F221" s="506" t="s">
        <v>16</v>
      </c>
      <c r="G221" s="652"/>
      <c r="H221" s="501"/>
      <c r="I221" s="652"/>
      <c r="J221" s="501"/>
      <c r="K221" s="501"/>
      <c r="L221" s="669" t="s">
        <v>1344</v>
      </c>
      <c r="O221" s="690"/>
      <c r="P221" s="690"/>
      <c r="Q221" s="690"/>
    </row>
    <row r="222" spans="3:23">
      <c r="C222" s="506"/>
      <c r="D222" s="683" t="s">
        <v>202</v>
      </c>
      <c r="E222" s="649">
        <v>3</v>
      </c>
      <c r="F222" s="506" t="s">
        <v>16</v>
      </c>
      <c r="G222" s="652"/>
      <c r="H222" s="501"/>
      <c r="I222" s="652"/>
      <c r="J222" s="501"/>
      <c r="K222" s="501"/>
      <c r="L222" s="669" t="s">
        <v>1344</v>
      </c>
      <c r="O222" s="690"/>
      <c r="P222" s="690"/>
      <c r="Q222" s="690"/>
    </row>
    <row r="223" spans="3:23">
      <c r="C223" s="506"/>
      <c r="D223" s="683" t="s">
        <v>201</v>
      </c>
      <c r="E223" s="649">
        <v>6</v>
      </c>
      <c r="F223" s="506" t="s">
        <v>16</v>
      </c>
      <c r="G223" s="652"/>
      <c r="H223" s="501"/>
      <c r="I223" s="652"/>
      <c r="J223" s="501"/>
      <c r="K223" s="501"/>
      <c r="L223" s="669" t="s">
        <v>1344</v>
      </c>
      <c r="O223" s="690"/>
      <c r="P223" s="690"/>
      <c r="Q223" s="690"/>
    </row>
    <row r="224" spans="3:23">
      <c r="C224" s="506"/>
      <c r="D224" s="683" t="s">
        <v>432</v>
      </c>
      <c r="E224" s="649">
        <v>5</v>
      </c>
      <c r="F224" s="506" t="s">
        <v>16</v>
      </c>
      <c r="G224" s="652"/>
      <c r="H224" s="501"/>
      <c r="I224" s="652"/>
      <c r="J224" s="501"/>
      <c r="K224" s="501"/>
      <c r="L224" s="669" t="s">
        <v>1344</v>
      </c>
      <c r="O224" s="690"/>
      <c r="P224" s="690"/>
      <c r="Q224" s="690"/>
    </row>
    <row r="225" spans="3:17">
      <c r="C225" s="506"/>
      <c r="D225" s="683" t="s">
        <v>433</v>
      </c>
      <c r="E225" s="649">
        <v>6</v>
      </c>
      <c r="F225" s="506" t="s">
        <v>16</v>
      </c>
      <c r="G225" s="652"/>
      <c r="H225" s="501"/>
      <c r="I225" s="652"/>
      <c r="J225" s="501"/>
      <c r="K225" s="501"/>
      <c r="L225" s="669" t="s">
        <v>1344</v>
      </c>
      <c r="O225" s="690"/>
      <c r="P225" s="690"/>
      <c r="Q225" s="690"/>
    </row>
    <row r="226" spans="3:17">
      <c r="C226" s="506"/>
      <c r="D226" s="683" t="s">
        <v>434</v>
      </c>
      <c r="E226" s="649">
        <v>3</v>
      </c>
      <c r="F226" s="506" t="s">
        <v>16</v>
      </c>
      <c r="G226" s="652"/>
      <c r="H226" s="501"/>
      <c r="I226" s="652"/>
      <c r="J226" s="501"/>
      <c r="K226" s="501"/>
      <c r="L226" s="669" t="s">
        <v>1344</v>
      </c>
      <c r="O226" s="690"/>
      <c r="P226" s="690"/>
      <c r="Q226" s="690"/>
    </row>
    <row r="227" spans="3:17">
      <c r="C227" s="506"/>
      <c r="D227" s="683" t="s">
        <v>435</v>
      </c>
      <c r="E227" s="649">
        <v>5</v>
      </c>
      <c r="F227" s="506" t="s">
        <v>16</v>
      </c>
      <c r="G227" s="652"/>
      <c r="H227" s="501"/>
      <c r="I227" s="652"/>
      <c r="J227" s="501"/>
      <c r="K227" s="501"/>
      <c r="L227" s="669" t="s">
        <v>1344</v>
      </c>
      <c r="O227" s="690"/>
      <c r="P227" s="690"/>
      <c r="Q227" s="690"/>
    </row>
    <row r="228" spans="3:17">
      <c r="C228" s="506"/>
      <c r="D228" s="683" t="s">
        <v>436</v>
      </c>
      <c r="E228" s="649">
        <v>8</v>
      </c>
      <c r="F228" s="506" t="s">
        <v>16</v>
      </c>
      <c r="G228" s="652"/>
      <c r="H228" s="501"/>
      <c r="I228" s="652"/>
      <c r="J228" s="501"/>
      <c r="K228" s="501"/>
      <c r="L228" s="669" t="s">
        <v>1344</v>
      </c>
      <c r="O228" s="690"/>
      <c r="P228" s="690"/>
      <c r="Q228" s="690"/>
    </row>
    <row r="229" spans="3:17">
      <c r="C229" s="506"/>
      <c r="D229" s="683" t="s">
        <v>437</v>
      </c>
      <c r="E229" s="649">
        <v>2</v>
      </c>
      <c r="F229" s="506" t="s">
        <v>16</v>
      </c>
      <c r="G229" s="652"/>
      <c r="H229" s="501"/>
      <c r="I229" s="652"/>
      <c r="J229" s="501"/>
      <c r="K229" s="501"/>
      <c r="L229" s="669" t="s">
        <v>1344</v>
      </c>
      <c r="O229" s="690"/>
      <c r="P229" s="690"/>
      <c r="Q229" s="690"/>
    </row>
    <row r="230" spans="3:17">
      <c r="C230" s="506"/>
      <c r="D230" s="683" t="s">
        <v>200</v>
      </c>
      <c r="E230" s="649">
        <v>141</v>
      </c>
      <c r="F230" s="506" t="s">
        <v>16</v>
      </c>
      <c r="G230" s="652"/>
      <c r="H230" s="501"/>
      <c r="I230" s="652"/>
      <c r="J230" s="501"/>
      <c r="K230" s="501"/>
      <c r="L230" s="669" t="s">
        <v>1344</v>
      </c>
      <c r="O230" s="690"/>
      <c r="P230" s="690"/>
      <c r="Q230" s="690"/>
    </row>
    <row r="231" spans="3:17">
      <c r="C231" s="506"/>
      <c r="D231" s="683" t="s">
        <v>199</v>
      </c>
      <c r="E231" s="649">
        <v>21</v>
      </c>
      <c r="F231" s="506" t="s">
        <v>16</v>
      </c>
      <c r="G231" s="652"/>
      <c r="H231" s="501"/>
      <c r="I231" s="652"/>
      <c r="J231" s="501"/>
      <c r="K231" s="501"/>
      <c r="L231" s="669" t="s">
        <v>1344</v>
      </c>
      <c r="O231" s="690"/>
      <c r="P231" s="690"/>
      <c r="Q231" s="690"/>
    </row>
    <row r="232" spans="3:17">
      <c r="C232" s="506"/>
      <c r="D232" s="683" t="s">
        <v>198</v>
      </c>
      <c r="E232" s="649">
        <v>3</v>
      </c>
      <c r="F232" s="506" t="s">
        <v>16</v>
      </c>
      <c r="G232" s="652"/>
      <c r="H232" s="501"/>
      <c r="I232" s="652"/>
      <c r="J232" s="501"/>
      <c r="K232" s="501"/>
      <c r="L232" s="669" t="s">
        <v>1344</v>
      </c>
      <c r="O232" s="690"/>
      <c r="P232" s="690"/>
      <c r="Q232" s="690"/>
    </row>
    <row r="233" spans="3:17">
      <c r="C233" s="506"/>
      <c r="D233" s="683" t="s">
        <v>197</v>
      </c>
      <c r="E233" s="649">
        <v>5</v>
      </c>
      <c r="F233" s="506" t="s">
        <v>16</v>
      </c>
      <c r="G233" s="652"/>
      <c r="H233" s="501"/>
      <c r="I233" s="652"/>
      <c r="J233" s="501"/>
      <c r="K233" s="501"/>
      <c r="L233" s="669" t="s">
        <v>1344</v>
      </c>
      <c r="O233" s="690"/>
      <c r="P233" s="690"/>
      <c r="Q233" s="690"/>
    </row>
    <row r="234" spans="3:17">
      <c r="C234" s="506"/>
      <c r="D234" s="683" t="s">
        <v>196</v>
      </c>
      <c r="E234" s="649">
        <v>9</v>
      </c>
      <c r="F234" s="506" t="s">
        <v>16</v>
      </c>
      <c r="G234" s="652"/>
      <c r="H234" s="501"/>
      <c r="I234" s="652"/>
      <c r="J234" s="501"/>
      <c r="K234" s="501"/>
      <c r="L234" s="669" t="s">
        <v>1344</v>
      </c>
      <c r="O234" s="690"/>
      <c r="P234" s="690"/>
      <c r="Q234" s="690"/>
    </row>
    <row r="235" spans="3:17">
      <c r="C235" s="506"/>
      <c r="D235" s="683" t="s">
        <v>195</v>
      </c>
      <c r="E235" s="649">
        <v>1</v>
      </c>
      <c r="F235" s="506" t="s">
        <v>16</v>
      </c>
      <c r="G235" s="652"/>
      <c r="H235" s="501"/>
      <c r="I235" s="652"/>
      <c r="J235" s="501"/>
      <c r="K235" s="501"/>
      <c r="L235" s="669" t="s">
        <v>1344</v>
      </c>
      <c r="N235" s="566"/>
      <c r="O235" s="690"/>
      <c r="P235" s="690"/>
      <c r="Q235" s="690"/>
    </row>
    <row r="236" spans="3:17">
      <c r="C236" s="506"/>
      <c r="D236" s="683" t="s">
        <v>194</v>
      </c>
      <c r="E236" s="649">
        <v>4</v>
      </c>
      <c r="F236" s="506" t="s">
        <v>16</v>
      </c>
      <c r="G236" s="652"/>
      <c r="H236" s="501"/>
      <c r="I236" s="652"/>
      <c r="J236" s="501"/>
      <c r="K236" s="501"/>
      <c r="L236" s="669" t="s">
        <v>1344</v>
      </c>
      <c r="O236" s="690"/>
      <c r="P236" s="690"/>
      <c r="Q236" s="690"/>
    </row>
    <row r="237" spans="3:17">
      <c r="C237" s="506"/>
      <c r="D237" s="683"/>
      <c r="E237" s="649"/>
      <c r="F237" s="506"/>
      <c r="G237" s="652"/>
      <c r="H237" s="501"/>
      <c r="I237" s="652"/>
      <c r="J237" s="501"/>
      <c r="K237" s="501"/>
      <c r="L237" s="669"/>
    </row>
    <row r="238" spans="3:17">
      <c r="C238" s="506" t="s">
        <v>1104</v>
      </c>
      <c r="D238" s="683" t="s">
        <v>867</v>
      </c>
      <c r="E238" s="649"/>
      <c r="F238" s="506"/>
      <c r="G238" s="652"/>
      <c r="H238" s="501"/>
      <c r="I238" s="652"/>
      <c r="J238" s="501"/>
      <c r="K238" s="501"/>
      <c r="L238" s="669"/>
    </row>
    <row r="239" spans="3:17">
      <c r="C239" s="506"/>
      <c r="D239" s="683" t="s">
        <v>1286</v>
      </c>
      <c r="E239" s="649"/>
      <c r="F239" s="506"/>
      <c r="G239" s="652"/>
      <c r="H239" s="501"/>
      <c r="I239" s="652"/>
      <c r="J239" s="501"/>
      <c r="K239" s="501"/>
      <c r="L239" s="669"/>
    </row>
    <row r="240" spans="3:17">
      <c r="C240" s="506"/>
      <c r="D240" s="683" t="s">
        <v>872</v>
      </c>
      <c r="E240" s="649">
        <v>25</v>
      </c>
      <c r="F240" s="506" t="s">
        <v>17</v>
      </c>
      <c r="G240" s="652"/>
      <c r="H240" s="501"/>
      <c r="I240" s="652"/>
      <c r="J240" s="501"/>
      <c r="K240" s="501"/>
      <c r="L240" s="669" t="s">
        <v>1387</v>
      </c>
    </row>
    <row r="241" spans="3:12">
      <c r="C241" s="506"/>
      <c r="D241" s="683" t="s">
        <v>873</v>
      </c>
      <c r="E241" s="649">
        <v>143.22</v>
      </c>
      <c r="F241" s="506" t="s">
        <v>15</v>
      </c>
      <c r="G241" s="652"/>
      <c r="H241" s="501"/>
      <c r="I241" s="652"/>
      <c r="J241" s="501"/>
      <c r="K241" s="501"/>
      <c r="L241" s="669" t="s">
        <v>1387</v>
      </c>
    </row>
    <row r="242" spans="3:12">
      <c r="C242" s="506"/>
      <c r="D242" s="683" t="s">
        <v>874</v>
      </c>
      <c r="E242" s="649">
        <v>143.22</v>
      </c>
      <c r="F242" s="506" t="s">
        <v>15</v>
      </c>
      <c r="G242" s="652"/>
      <c r="H242" s="501"/>
      <c r="I242" s="652"/>
      <c r="J242" s="501"/>
      <c r="K242" s="501"/>
      <c r="L242" s="669" t="s">
        <v>1387</v>
      </c>
    </row>
    <row r="243" spans="3:12">
      <c r="C243" s="506"/>
      <c r="D243" s="683" t="s">
        <v>875</v>
      </c>
      <c r="E243" s="649">
        <v>29.45</v>
      </c>
      <c r="F243" s="506" t="s">
        <v>15</v>
      </c>
      <c r="G243" s="652"/>
      <c r="H243" s="501"/>
      <c r="I243" s="652"/>
      <c r="J243" s="501"/>
      <c r="K243" s="501"/>
      <c r="L243" s="669" t="s">
        <v>1387</v>
      </c>
    </row>
    <row r="244" spans="3:12">
      <c r="C244" s="506"/>
      <c r="D244" s="683" t="s">
        <v>876</v>
      </c>
      <c r="E244" s="649">
        <v>70.069999999999993</v>
      </c>
      <c r="F244" s="506" t="s">
        <v>17</v>
      </c>
      <c r="G244" s="652"/>
      <c r="H244" s="501"/>
      <c r="I244" s="652"/>
      <c r="J244" s="501"/>
      <c r="K244" s="501"/>
      <c r="L244" s="669" t="s">
        <v>958</v>
      </c>
    </row>
    <row r="245" spans="3:12">
      <c r="C245" s="506"/>
      <c r="D245" s="683" t="s">
        <v>877</v>
      </c>
      <c r="E245" s="649">
        <v>70.069999999999993</v>
      </c>
      <c r="F245" s="506" t="s">
        <v>17</v>
      </c>
      <c r="G245" s="652"/>
      <c r="H245" s="501"/>
      <c r="I245" s="652"/>
      <c r="J245" s="501"/>
      <c r="K245" s="501"/>
      <c r="L245" s="669" t="s">
        <v>958</v>
      </c>
    </row>
    <row r="246" spans="3:12">
      <c r="C246" s="506"/>
      <c r="D246" s="683" t="s">
        <v>1260</v>
      </c>
      <c r="E246" s="649"/>
      <c r="F246" s="506"/>
      <c r="G246" s="652"/>
      <c r="H246" s="501"/>
      <c r="I246" s="652"/>
      <c r="J246" s="501"/>
      <c r="K246" s="501"/>
      <c r="L246" s="669"/>
    </row>
    <row r="247" spans="3:12">
      <c r="C247" s="506"/>
      <c r="D247" s="683" t="s">
        <v>872</v>
      </c>
      <c r="E247" s="649">
        <v>7.68</v>
      </c>
      <c r="F247" s="506" t="s">
        <v>17</v>
      </c>
      <c r="G247" s="652"/>
      <c r="H247" s="501"/>
      <c r="I247" s="652"/>
      <c r="J247" s="501"/>
      <c r="K247" s="501"/>
      <c r="L247" s="669" t="s">
        <v>1387</v>
      </c>
    </row>
    <row r="248" spans="3:12">
      <c r="C248" s="506"/>
      <c r="D248" s="683" t="s">
        <v>873</v>
      </c>
      <c r="E248" s="649">
        <v>37.4</v>
      </c>
      <c r="F248" s="506" t="s">
        <v>15</v>
      </c>
      <c r="G248" s="652"/>
      <c r="H248" s="501"/>
      <c r="I248" s="652"/>
      <c r="J248" s="501"/>
      <c r="K248" s="501"/>
      <c r="L248" s="669" t="s">
        <v>1387</v>
      </c>
    </row>
    <row r="249" spans="3:12">
      <c r="C249" s="506"/>
      <c r="D249" s="683" t="s">
        <v>874</v>
      </c>
      <c r="E249" s="649">
        <v>37.4</v>
      </c>
      <c r="F249" s="506" t="s">
        <v>15</v>
      </c>
      <c r="G249" s="652"/>
      <c r="H249" s="501"/>
      <c r="I249" s="652"/>
      <c r="J249" s="501"/>
      <c r="K249" s="501"/>
      <c r="L249" s="669" t="s">
        <v>1387</v>
      </c>
    </row>
    <row r="250" spans="3:12">
      <c r="C250" s="506"/>
      <c r="D250" s="683" t="s">
        <v>875</v>
      </c>
      <c r="E250" s="649">
        <v>10.08</v>
      </c>
      <c r="F250" s="506" t="s">
        <v>15</v>
      </c>
      <c r="G250" s="652"/>
      <c r="H250" s="501"/>
      <c r="I250" s="652"/>
      <c r="J250" s="501"/>
      <c r="K250" s="501"/>
      <c r="L250" s="669" t="s">
        <v>1387</v>
      </c>
    </row>
    <row r="251" spans="3:12">
      <c r="C251" s="506"/>
      <c r="D251" s="683" t="s">
        <v>876</v>
      </c>
      <c r="E251" s="649">
        <v>19.21</v>
      </c>
      <c r="F251" s="506" t="s">
        <v>17</v>
      </c>
      <c r="G251" s="652"/>
      <c r="H251" s="501"/>
      <c r="I251" s="652"/>
      <c r="J251" s="501"/>
      <c r="K251" s="501"/>
      <c r="L251" s="669" t="s">
        <v>958</v>
      </c>
    </row>
    <row r="252" spans="3:12">
      <c r="C252" s="506"/>
      <c r="D252" s="683" t="s">
        <v>877</v>
      </c>
      <c r="E252" s="649">
        <v>19.21</v>
      </c>
      <c r="F252" s="506" t="s">
        <v>17</v>
      </c>
      <c r="G252" s="652"/>
      <c r="H252" s="501"/>
      <c r="I252" s="652"/>
      <c r="J252" s="501"/>
      <c r="K252" s="501"/>
      <c r="L252" s="669" t="s">
        <v>958</v>
      </c>
    </row>
    <row r="253" spans="3:12">
      <c r="C253" s="506"/>
      <c r="D253" s="683" t="s">
        <v>1261</v>
      </c>
      <c r="E253" s="649"/>
      <c r="F253" s="506"/>
      <c r="G253" s="652"/>
      <c r="H253" s="501"/>
      <c r="I253" s="652"/>
      <c r="J253" s="501"/>
      <c r="K253" s="501"/>
      <c r="L253" s="669"/>
    </row>
    <row r="254" spans="3:12">
      <c r="C254" s="506"/>
      <c r="D254" s="683" t="s">
        <v>873</v>
      </c>
      <c r="E254" s="649">
        <v>22.6</v>
      </c>
      <c r="F254" s="506" t="s">
        <v>15</v>
      </c>
      <c r="G254" s="652"/>
      <c r="H254" s="501"/>
      <c r="I254" s="652"/>
      <c r="J254" s="501"/>
      <c r="K254" s="501"/>
      <c r="L254" s="669" t="s">
        <v>1387</v>
      </c>
    </row>
    <row r="255" spans="3:12">
      <c r="C255" s="506"/>
      <c r="D255" s="683" t="s">
        <v>874</v>
      </c>
      <c r="E255" s="649">
        <v>22.6</v>
      </c>
      <c r="F255" s="506" t="s">
        <v>15</v>
      </c>
      <c r="G255" s="652"/>
      <c r="H255" s="501"/>
      <c r="I255" s="652"/>
      <c r="J255" s="501"/>
      <c r="K255" s="501"/>
      <c r="L255" s="669" t="s">
        <v>1387</v>
      </c>
    </row>
    <row r="256" spans="3:12">
      <c r="C256" s="506"/>
      <c r="D256" s="683" t="s">
        <v>1262</v>
      </c>
      <c r="E256" s="649"/>
      <c r="F256" s="506"/>
      <c r="G256" s="652"/>
      <c r="H256" s="501"/>
      <c r="I256" s="652"/>
      <c r="J256" s="501"/>
      <c r="K256" s="501"/>
      <c r="L256" s="669"/>
    </row>
    <row r="257" spans="1:14">
      <c r="C257" s="506"/>
      <c r="D257" s="683" t="s">
        <v>873</v>
      </c>
      <c r="E257" s="649">
        <v>12.7</v>
      </c>
      <c r="F257" s="506" t="s">
        <v>15</v>
      </c>
      <c r="G257" s="652"/>
      <c r="H257" s="501"/>
      <c r="I257" s="652"/>
      <c r="J257" s="501"/>
      <c r="K257" s="501"/>
      <c r="L257" s="669" t="s">
        <v>1387</v>
      </c>
    </row>
    <row r="258" spans="1:14">
      <c r="C258" s="506"/>
      <c r="D258" s="683" t="s">
        <v>874</v>
      </c>
      <c r="E258" s="649">
        <v>12.7</v>
      </c>
      <c r="F258" s="506" t="s">
        <v>15</v>
      </c>
      <c r="G258" s="652"/>
      <c r="H258" s="501"/>
      <c r="I258" s="652"/>
      <c r="J258" s="501"/>
      <c r="K258" s="501"/>
      <c r="L258" s="669" t="s">
        <v>1387</v>
      </c>
    </row>
    <row r="259" spans="1:14">
      <c r="C259" s="506"/>
      <c r="D259" s="683" t="s">
        <v>1284</v>
      </c>
      <c r="E259" s="649"/>
      <c r="F259" s="506"/>
      <c r="G259" s="652"/>
      <c r="H259" s="501"/>
      <c r="I259" s="652"/>
      <c r="J259" s="501"/>
      <c r="K259" s="501"/>
      <c r="L259" s="669"/>
    </row>
    <row r="260" spans="1:14">
      <c r="A260" s="701"/>
      <c r="B260" s="701"/>
      <c r="C260" s="506"/>
      <c r="D260" s="683" t="s">
        <v>1118</v>
      </c>
      <c r="E260" s="649">
        <v>19.829999999999998</v>
      </c>
      <c r="F260" s="506" t="s">
        <v>17</v>
      </c>
      <c r="G260" s="652"/>
      <c r="H260" s="501"/>
      <c r="I260" s="652"/>
      <c r="J260" s="501"/>
      <c r="K260" s="501"/>
      <c r="L260" s="669" t="s">
        <v>1387</v>
      </c>
    </row>
    <row r="261" spans="1:14">
      <c r="C261" s="506"/>
      <c r="D261" s="683" t="s">
        <v>1263</v>
      </c>
      <c r="E261" s="649">
        <v>27.58</v>
      </c>
      <c r="F261" s="506" t="s">
        <v>15</v>
      </c>
      <c r="G261" s="652"/>
      <c r="H261" s="501"/>
      <c r="I261" s="652"/>
      <c r="J261" s="501"/>
      <c r="K261" s="501"/>
      <c r="L261" s="669" t="s">
        <v>1387</v>
      </c>
    </row>
    <row r="262" spans="1:14">
      <c r="C262" s="506"/>
      <c r="D262" s="683" t="s">
        <v>1285</v>
      </c>
      <c r="E262" s="649"/>
      <c r="F262" s="506"/>
      <c r="G262" s="652"/>
      <c r="H262" s="501"/>
      <c r="I262" s="652"/>
      <c r="J262" s="501"/>
      <c r="K262" s="501"/>
      <c r="L262" s="669"/>
    </row>
    <row r="263" spans="1:14">
      <c r="C263" s="506"/>
      <c r="D263" s="683" t="s">
        <v>1256</v>
      </c>
      <c r="E263" s="649">
        <v>17.72</v>
      </c>
      <c r="F263" s="506" t="s">
        <v>17</v>
      </c>
      <c r="G263" s="652"/>
      <c r="H263" s="501"/>
      <c r="I263" s="652"/>
      <c r="J263" s="501"/>
      <c r="K263" s="501"/>
      <c r="L263" s="669" t="s">
        <v>1387</v>
      </c>
    </row>
    <row r="264" spans="1:14">
      <c r="C264" s="506"/>
      <c r="D264" s="683" t="s">
        <v>1264</v>
      </c>
      <c r="E264" s="649">
        <v>13.26</v>
      </c>
      <c r="F264" s="506" t="s">
        <v>15</v>
      </c>
      <c r="G264" s="652"/>
      <c r="H264" s="501"/>
      <c r="I264" s="652"/>
      <c r="J264" s="501"/>
      <c r="K264" s="501"/>
      <c r="L264" s="669" t="s">
        <v>1387</v>
      </c>
    </row>
    <row r="265" spans="1:14">
      <c r="C265" s="506"/>
      <c r="D265" s="683" t="s">
        <v>1283</v>
      </c>
      <c r="E265" s="506"/>
      <c r="F265" s="501"/>
      <c r="G265" s="652"/>
      <c r="H265" s="501"/>
      <c r="I265" s="702"/>
      <c r="J265" s="501"/>
      <c r="K265" s="501"/>
      <c r="L265" s="703"/>
    </row>
    <row r="266" spans="1:14">
      <c r="C266" s="506"/>
      <c r="D266" s="683" t="s">
        <v>873</v>
      </c>
      <c r="E266" s="704">
        <v>8.5</v>
      </c>
      <c r="F266" s="506" t="s">
        <v>17</v>
      </c>
      <c r="G266" s="652"/>
      <c r="H266" s="501"/>
      <c r="I266" s="686"/>
      <c r="J266" s="501"/>
      <c r="K266" s="501"/>
      <c r="L266" s="669" t="s">
        <v>1387</v>
      </c>
    </row>
    <row r="267" spans="1:14">
      <c r="C267" s="506"/>
      <c r="D267" s="683" t="s">
        <v>874</v>
      </c>
      <c r="E267" s="704">
        <v>8.5</v>
      </c>
      <c r="F267" s="506" t="s">
        <v>15</v>
      </c>
      <c r="G267" s="652"/>
      <c r="H267" s="501"/>
      <c r="I267" s="686"/>
      <c r="J267" s="501"/>
      <c r="K267" s="501"/>
      <c r="L267" s="669" t="s">
        <v>1387</v>
      </c>
    </row>
    <row r="268" spans="1:14">
      <c r="A268" s="701"/>
      <c r="B268" s="701"/>
      <c r="C268" s="506" t="s">
        <v>1105</v>
      </c>
      <c r="D268" s="683" t="s">
        <v>868</v>
      </c>
      <c r="E268" s="649"/>
      <c r="F268" s="506"/>
      <c r="G268" s="652"/>
      <c r="H268" s="501"/>
      <c r="I268" s="652"/>
      <c r="J268" s="501"/>
      <c r="K268" s="501"/>
      <c r="L268" s="694"/>
    </row>
    <row r="269" spans="1:14">
      <c r="A269" s="701"/>
      <c r="B269" s="701"/>
      <c r="C269" s="506"/>
      <c r="D269" s="683" t="s">
        <v>1259</v>
      </c>
      <c r="E269" s="649">
        <v>68259.460000000006</v>
      </c>
      <c r="F269" s="506" t="s">
        <v>20</v>
      </c>
      <c r="G269" s="652"/>
      <c r="H269" s="501"/>
      <c r="I269" s="652"/>
      <c r="J269" s="501"/>
      <c r="K269" s="501"/>
      <c r="L269" s="694" t="s">
        <v>1344</v>
      </c>
      <c r="N269" s="690"/>
    </row>
    <row r="270" spans="1:14" s="701" customFormat="1" ht="72">
      <c r="A270" s="565"/>
      <c r="B270" s="565"/>
      <c r="C270" s="705"/>
      <c r="D270" s="706" t="s">
        <v>741</v>
      </c>
      <c r="E270" s="707">
        <v>1</v>
      </c>
      <c r="F270" s="705" t="s">
        <v>41</v>
      </c>
      <c r="G270" s="708"/>
      <c r="H270" s="501"/>
      <c r="I270" s="708"/>
      <c r="J270" s="501"/>
      <c r="K270" s="501"/>
      <c r="L270" s="694" t="s">
        <v>1344</v>
      </c>
    </row>
    <row r="271" spans="1:14" s="701" customFormat="1">
      <c r="A271" s="565"/>
      <c r="B271" s="565"/>
      <c r="C271" s="705"/>
      <c r="D271" s="706" t="s">
        <v>1119</v>
      </c>
      <c r="E271" s="707">
        <v>1715</v>
      </c>
      <c r="F271" s="705" t="s">
        <v>1385</v>
      </c>
      <c r="G271" s="708"/>
      <c r="H271" s="501"/>
      <c r="I271" s="708"/>
      <c r="J271" s="501"/>
      <c r="K271" s="501"/>
      <c r="L271" s="694" t="s">
        <v>1344</v>
      </c>
    </row>
    <row r="272" spans="1:14" s="701" customFormat="1" ht="48">
      <c r="A272" s="565"/>
      <c r="B272" s="565"/>
      <c r="C272" s="705"/>
      <c r="D272" s="706" t="s">
        <v>1094</v>
      </c>
      <c r="E272" s="707">
        <v>4</v>
      </c>
      <c r="F272" s="705" t="s">
        <v>16</v>
      </c>
      <c r="G272" s="708"/>
      <c r="H272" s="501"/>
      <c r="I272" s="708"/>
      <c r="J272" s="501"/>
      <c r="K272" s="501"/>
      <c r="L272" s="694" t="s">
        <v>1344</v>
      </c>
    </row>
    <row r="273" spans="1:14" s="701" customFormat="1" ht="48">
      <c r="A273" s="565"/>
      <c r="B273" s="565"/>
      <c r="C273" s="705"/>
      <c r="D273" s="706" t="s">
        <v>1095</v>
      </c>
      <c r="E273" s="707">
        <v>406</v>
      </c>
      <c r="F273" s="705" t="s">
        <v>15</v>
      </c>
      <c r="G273" s="708"/>
      <c r="H273" s="501"/>
      <c r="I273" s="708"/>
      <c r="J273" s="501"/>
      <c r="K273" s="501"/>
      <c r="L273" s="694" t="s">
        <v>1344</v>
      </c>
    </row>
    <row r="274" spans="1:14" s="701" customFormat="1">
      <c r="A274" s="565"/>
      <c r="B274" s="565"/>
      <c r="C274" s="705"/>
      <c r="D274" s="706" t="s">
        <v>1257</v>
      </c>
      <c r="E274" s="707">
        <v>68</v>
      </c>
      <c r="F274" s="705" t="s">
        <v>15</v>
      </c>
      <c r="G274" s="708"/>
      <c r="H274" s="501"/>
      <c r="I274" s="708"/>
      <c r="J274" s="501"/>
      <c r="K274" s="501"/>
      <c r="L274" s="669" t="s">
        <v>1387</v>
      </c>
    </row>
    <row r="275" spans="1:14" s="701" customFormat="1">
      <c r="A275" s="565"/>
      <c r="B275" s="565"/>
      <c r="C275" s="705"/>
      <c r="D275" s="706" t="s">
        <v>1123</v>
      </c>
      <c r="E275" s="707">
        <v>63</v>
      </c>
      <c r="F275" s="705" t="s">
        <v>15</v>
      </c>
      <c r="G275" s="708"/>
      <c r="H275" s="501"/>
      <c r="I275" s="708"/>
      <c r="J275" s="501"/>
      <c r="K275" s="501"/>
      <c r="L275" s="669" t="s">
        <v>1387</v>
      </c>
    </row>
    <row r="276" spans="1:14" s="701" customFormat="1">
      <c r="A276" s="565"/>
      <c r="B276" s="565"/>
      <c r="C276" s="705"/>
      <c r="D276" s="706" t="s">
        <v>1124</v>
      </c>
      <c r="E276" s="707">
        <v>11027</v>
      </c>
      <c r="F276" s="705" t="s">
        <v>20</v>
      </c>
      <c r="G276" s="708"/>
      <c r="H276" s="501"/>
      <c r="I276" s="708"/>
      <c r="J276" s="501"/>
      <c r="K276" s="501"/>
      <c r="L276" s="709" t="s">
        <v>1344</v>
      </c>
    </row>
    <row r="277" spans="1:14" s="701" customFormat="1">
      <c r="A277" s="565"/>
      <c r="B277" s="565"/>
      <c r="C277" s="705"/>
      <c r="D277" s="706" t="s">
        <v>878</v>
      </c>
      <c r="E277" s="707">
        <v>11</v>
      </c>
      <c r="F277" s="705" t="s">
        <v>16</v>
      </c>
      <c r="G277" s="708"/>
      <c r="H277" s="501"/>
      <c r="I277" s="708"/>
      <c r="J277" s="501"/>
      <c r="K277" s="501"/>
      <c r="L277" s="709" t="s">
        <v>1344</v>
      </c>
    </row>
    <row r="278" spans="1:14">
      <c r="C278" s="506"/>
      <c r="D278" s="683" t="s">
        <v>1258</v>
      </c>
      <c r="E278" s="649">
        <v>1</v>
      </c>
      <c r="F278" s="506" t="s">
        <v>41</v>
      </c>
      <c r="G278" s="652"/>
      <c r="H278" s="501"/>
      <c r="I278" s="652"/>
      <c r="J278" s="501"/>
      <c r="K278" s="501"/>
      <c r="L278" s="709" t="s">
        <v>1344</v>
      </c>
    </row>
    <row r="279" spans="1:14">
      <c r="C279" s="506"/>
      <c r="D279" s="683"/>
      <c r="E279" s="649"/>
      <c r="F279" s="506"/>
      <c r="G279" s="652"/>
      <c r="H279" s="501"/>
      <c r="I279" s="652"/>
      <c r="J279" s="501"/>
      <c r="K279" s="501"/>
      <c r="L279" s="709"/>
    </row>
    <row r="280" spans="1:14">
      <c r="C280" s="506"/>
      <c r="D280" s="506" t="s">
        <v>807</v>
      </c>
      <c r="E280" s="649"/>
      <c r="F280" s="506"/>
      <c r="G280" s="652"/>
      <c r="H280" s="501"/>
      <c r="I280" s="652"/>
      <c r="J280" s="501"/>
      <c r="K280" s="501"/>
      <c r="L280" s="709"/>
      <c r="M280" s="605"/>
      <c r="N280" s="605"/>
    </row>
    <row r="281" spans="1:14">
      <c r="C281" s="683"/>
      <c r="D281" s="643"/>
      <c r="E281" s="710"/>
      <c r="F281" s="711"/>
      <c r="G281" s="712"/>
      <c r="H281" s="501"/>
      <c r="I281" s="713"/>
      <c r="J281" s="501"/>
      <c r="K281" s="501"/>
      <c r="L281" s="714"/>
    </row>
    <row r="282" spans="1:14">
      <c r="C282" s="506">
        <v>4</v>
      </c>
      <c r="D282" s="506" t="s">
        <v>595</v>
      </c>
      <c r="E282" s="715"/>
      <c r="F282" s="716"/>
      <c r="G282" s="717"/>
      <c r="H282" s="501"/>
      <c r="I282" s="717"/>
      <c r="J282" s="501"/>
      <c r="K282" s="501"/>
      <c r="L282" s="669"/>
    </row>
    <row r="283" spans="1:14">
      <c r="C283" s="506">
        <v>4.0999999999999996</v>
      </c>
      <c r="D283" s="506" t="s">
        <v>935</v>
      </c>
      <c r="E283" s="715"/>
      <c r="F283" s="716"/>
      <c r="G283" s="717"/>
      <c r="H283" s="501"/>
      <c r="I283" s="717"/>
      <c r="J283" s="501"/>
      <c r="K283" s="501"/>
      <c r="L283" s="669"/>
    </row>
    <row r="284" spans="1:14">
      <c r="C284" s="665" t="s">
        <v>888</v>
      </c>
      <c r="D284" s="559" t="s">
        <v>1292</v>
      </c>
      <c r="E284" s="715">
        <v>1</v>
      </c>
      <c r="F284" s="716" t="s">
        <v>16</v>
      </c>
      <c r="G284" s="718"/>
      <c r="H284" s="501"/>
      <c r="I284" s="718"/>
      <c r="J284" s="501"/>
      <c r="K284" s="501"/>
      <c r="L284" s="669" t="s">
        <v>1344</v>
      </c>
    </row>
    <row r="285" spans="1:14">
      <c r="C285" s="665"/>
      <c r="D285" s="559" t="s">
        <v>1293</v>
      </c>
      <c r="E285" s="715"/>
      <c r="F285" s="716"/>
      <c r="G285" s="717"/>
      <c r="H285" s="501"/>
      <c r="I285" s="717"/>
      <c r="J285" s="501"/>
      <c r="K285" s="501"/>
      <c r="L285" s="669"/>
    </row>
    <row r="286" spans="1:14">
      <c r="C286" s="665"/>
      <c r="D286" s="559" t="s">
        <v>1294</v>
      </c>
      <c r="E286" s="715"/>
      <c r="F286" s="716"/>
      <c r="G286" s="717"/>
      <c r="H286" s="501"/>
      <c r="I286" s="717"/>
      <c r="J286" s="501"/>
      <c r="K286" s="501"/>
      <c r="L286" s="669"/>
    </row>
    <row r="287" spans="1:14">
      <c r="C287" s="665"/>
      <c r="D287" s="559" t="s">
        <v>1295</v>
      </c>
      <c r="E287" s="715"/>
      <c r="F287" s="716"/>
      <c r="G287" s="717"/>
      <c r="H287" s="501"/>
      <c r="I287" s="717"/>
      <c r="J287" s="501"/>
      <c r="K287" s="501"/>
      <c r="L287" s="669"/>
    </row>
    <row r="288" spans="1:14">
      <c r="C288" s="665"/>
      <c r="D288" s="559" t="s">
        <v>1315</v>
      </c>
      <c r="E288" s="715"/>
      <c r="F288" s="716"/>
      <c r="G288" s="717"/>
      <c r="H288" s="501"/>
      <c r="I288" s="717"/>
      <c r="J288" s="501"/>
      <c r="K288" s="501"/>
      <c r="L288" s="669"/>
    </row>
    <row r="289" spans="3:12">
      <c r="C289" s="719"/>
      <c r="D289" s="720" t="s">
        <v>889</v>
      </c>
      <c r="E289" s="715">
        <v>1</v>
      </c>
      <c r="F289" s="716" t="s">
        <v>16</v>
      </c>
      <c r="G289" s="718"/>
      <c r="H289" s="501"/>
      <c r="I289" s="718"/>
      <c r="J289" s="501"/>
      <c r="K289" s="501"/>
      <c r="L289" s="669" t="s">
        <v>1344</v>
      </c>
    </row>
    <row r="290" spans="3:12">
      <c r="C290" s="719"/>
      <c r="D290" s="721" t="s">
        <v>972</v>
      </c>
      <c r="E290" s="715"/>
      <c r="F290" s="716"/>
      <c r="G290" s="717"/>
      <c r="H290" s="501"/>
      <c r="I290" s="717"/>
      <c r="J290" s="501"/>
      <c r="K290" s="501"/>
      <c r="L290" s="669"/>
    </row>
    <row r="291" spans="3:12">
      <c r="C291" s="719"/>
      <c r="D291" s="721" t="s">
        <v>971</v>
      </c>
      <c r="E291" s="715"/>
      <c r="F291" s="716"/>
      <c r="G291" s="717"/>
      <c r="H291" s="501"/>
      <c r="I291" s="717"/>
      <c r="J291" s="501"/>
      <c r="K291" s="501"/>
      <c r="L291" s="669"/>
    </row>
    <row r="292" spans="3:12">
      <c r="C292" s="719"/>
      <c r="D292" s="721" t="s">
        <v>890</v>
      </c>
      <c r="E292" s="715"/>
      <c r="F292" s="716"/>
      <c r="G292" s="717"/>
      <c r="H292" s="501"/>
      <c r="I292" s="717"/>
      <c r="J292" s="501"/>
      <c r="K292" s="501"/>
      <c r="L292" s="669"/>
    </row>
    <row r="293" spans="3:12">
      <c r="C293" s="719"/>
      <c r="D293" s="721" t="s">
        <v>891</v>
      </c>
      <c r="E293" s="715"/>
      <c r="F293" s="716"/>
      <c r="G293" s="717"/>
      <c r="H293" s="501"/>
      <c r="I293" s="717"/>
      <c r="J293" s="501"/>
      <c r="K293" s="501"/>
      <c r="L293" s="669"/>
    </row>
    <row r="294" spans="3:12">
      <c r="C294" s="719"/>
      <c r="D294" s="721" t="s">
        <v>892</v>
      </c>
      <c r="E294" s="715"/>
      <c r="F294" s="716"/>
      <c r="G294" s="717"/>
      <c r="H294" s="501"/>
      <c r="I294" s="717"/>
      <c r="J294" s="501"/>
      <c r="K294" s="501"/>
      <c r="L294" s="669"/>
    </row>
    <row r="295" spans="3:12">
      <c r="C295" s="719"/>
      <c r="D295" s="721" t="s">
        <v>893</v>
      </c>
      <c r="E295" s="649"/>
      <c r="F295" s="506"/>
      <c r="G295" s="652"/>
      <c r="H295" s="501"/>
      <c r="I295" s="652"/>
      <c r="J295" s="501"/>
      <c r="K295" s="501"/>
      <c r="L295" s="669"/>
    </row>
    <row r="296" spans="3:12">
      <c r="C296" s="719" t="s">
        <v>895</v>
      </c>
      <c r="D296" s="721" t="s">
        <v>894</v>
      </c>
      <c r="E296" s="649">
        <v>1</v>
      </c>
      <c r="F296" s="506" t="s">
        <v>603</v>
      </c>
      <c r="G296" s="652"/>
      <c r="H296" s="501"/>
      <c r="I296" s="652"/>
      <c r="J296" s="501"/>
      <c r="K296" s="501"/>
      <c r="L296" s="669"/>
    </row>
    <row r="297" spans="3:12" ht="72">
      <c r="C297" s="722" t="s">
        <v>897</v>
      </c>
      <c r="D297" s="723" t="s">
        <v>1267</v>
      </c>
      <c r="E297" s="649">
        <v>1</v>
      </c>
      <c r="F297" s="506" t="s">
        <v>828</v>
      </c>
      <c r="G297" s="652"/>
      <c r="H297" s="501"/>
      <c r="I297" s="652"/>
      <c r="J297" s="501"/>
      <c r="K297" s="501"/>
      <c r="L297" s="669" t="s">
        <v>1344</v>
      </c>
    </row>
    <row r="298" spans="3:12">
      <c r="C298" s="722"/>
      <c r="D298" s="723" t="s">
        <v>1360</v>
      </c>
      <c r="E298" s="649">
        <v>3</v>
      </c>
      <c r="F298" s="506" t="s">
        <v>828</v>
      </c>
      <c r="G298" s="652"/>
      <c r="H298" s="501"/>
      <c r="I298" s="652"/>
      <c r="J298" s="501"/>
      <c r="K298" s="501"/>
      <c r="L298" s="669" t="s">
        <v>1387</v>
      </c>
    </row>
    <row r="299" spans="3:12">
      <c r="C299" s="724" t="s">
        <v>896</v>
      </c>
      <c r="D299" s="681" t="s">
        <v>898</v>
      </c>
      <c r="E299" s="649"/>
      <c r="F299" s="506"/>
      <c r="G299" s="652"/>
      <c r="H299" s="501"/>
      <c r="I299" s="652"/>
      <c r="J299" s="501"/>
      <c r="K299" s="501"/>
      <c r="L299" s="669"/>
    </row>
    <row r="300" spans="3:12">
      <c r="C300" s="724"/>
      <c r="D300" s="681" t="s">
        <v>597</v>
      </c>
      <c r="E300" s="725">
        <v>443</v>
      </c>
      <c r="F300" s="506" t="s">
        <v>15</v>
      </c>
      <c r="G300" s="726"/>
      <c r="H300" s="501"/>
      <c r="I300" s="726"/>
      <c r="J300" s="501"/>
      <c r="K300" s="501"/>
      <c r="L300" s="669" t="s">
        <v>1387</v>
      </c>
    </row>
    <row r="301" spans="3:12">
      <c r="C301" s="724"/>
      <c r="D301" s="681" t="s">
        <v>598</v>
      </c>
      <c r="E301" s="727">
        <v>351.88</v>
      </c>
      <c r="F301" s="506" t="s">
        <v>15</v>
      </c>
      <c r="G301" s="726"/>
      <c r="H301" s="501"/>
      <c r="I301" s="726"/>
      <c r="J301" s="501"/>
      <c r="K301" s="501"/>
      <c r="L301" s="669" t="s">
        <v>1387</v>
      </c>
    </row>
    <row r="302" spans="3:12">
      <c r="C302" s="724"/>
      <c r="D302" s="681" t="s">
        <v>599</v>
      </c>
      <c r="E302" s="725">
        <v>248</v>
      </c>
      <c r="F302" s="506" t="s">
        <v>15</v>
      </c>
      <c r="G302" s="726"/>
      <c r="H302" s="501"/>
      <c r="I302" s="726"/>
      <c r="J302" s="501"/>
      <c r="K302" s="501"/>
      <c r="L302" s="669" t="s">
        <v>1387</v>
      </c>
    </row>
    <row r="303" spans="3:12">
      <c r="C303" s="724"/>
      <c r="D303" s="681" t="s">
        <v>600</v>
      </c>
      <c r="E303" s="725">
        <v>114.13</v>
      </c>
      <c r="F303" s="506" t="s">
        <v>15</v>
      </c>
      <c r="G303" s="726"/>
      <c r="H303" s="501"/>
      <c r="I303" s="726"/>
      <c r="J303" s="501"/>
      <c r="K303" s="501"/>
      <c r="L303" s="669" t="s">
        <v>1387</v>
      </c>
    </row>
    <row r="304" spans="3:12">
      <c r="C304" s="724"/>
      <c r="D304" s="681" t="s">
        <v>601</v>
      </c>
      <c r="E304" s="725">
        <v>41.5</v>
      </c>
      <c r="F304" s="506" t="s">
        <v>15</v>
      </c>
      <c r="G304" s="726"/>
      <c r="H304" s="501"/>
      <c r="I304" s="726"/>
      <c r="J304" s="501"/>
      <c r="K304" s="501"/>
      <c r="L304" s="669" t="s">
        <v>1387</v>
      </c>
    </row>
    <row r="305" spans="3:12">
      <c r="C305" s="724"/>
      <c r="D305" s="681" t="s">
        <v>602</v>
      </c>
      <c r="E305" s="725">
        <v>31.13</v>
      </c>
      <c r="F305" s="506" t="s">
        <v>15</v>
      </c>
      <c r="G305" s="726"/>
      <c r="H305" s="501"/>
      <c r="I305" s="726"/>
      <c r="J305" s="501"/>
      <c r="K305" s="501"/>
      <c r="L305" s="669" t="s">
        <v>1387</v>
      </c>
    </row>
    <row r="306" spans="3:12">
      <c r="C306" s="724"/>
      <c r="D306" s="681" t="s">
        <v>1248</v>
      </c>
      <c r="E306" s="727">
        <v>1</v>
      </c>
      <c r="F306" s="728" t="s">
        <v>603</v>
      </c>
      <c r="G306" s="726"/>
      <c r="H306" s="501"/>
      <c r="I306" s="726"/>
      <c r="J306" s="501"/>
      <c r="K306" s="501"/>
      <c r="L306" s="669"/>
    </row>
    <row r="307" spans="3:12">
      <c r="C307" s="724"/>
      <c r="D307" s="681" t="s">
        <v>604</v>
      </c>
      <c r="E307" s="727">
        <v>1</v>
      </c>
      <c r="F307" s="729" t="s">
        <v>603</v>
      </c>
      <c r="G307" s="726"/>
      <c r="H307" s="501"/>
      <c r="I307" s="726"/>
      <c r="J307" s="501"/>
      <c r="K307" s="501"/>
      <c r="L307" s="669"/>
    </row>
    <row r="308" spans="3:12">
      <c r="C308" s="724"/>
      <c r="D308" s="557" t="s">
        <v>605</v>
      </c>
      <c r="E308" s="727"/>
      <c r="F308" s="729"/>
      <c r="G308" s="726"/>
      <c r="H308" s="501"/>
      <c r="I308" s="726"/>
      <c r="J308" s="501"/>
      <c r="K308" s="501"/>
      <c r="L308" s="669"/>
    </row>
    <row r="309" spans="3:12">
      <c r="C309" s="724"/>
      <c r="D309" s="557" t="s">
        <v>903</v>
      </c>
      <c r="E309" s="727">
        <v>2</v>
      </c>
      <c r="F309" s="729" t="s">
        <v>28</v>
      </c>
      <c r="G309" s="726"/>
      <c r="H309" s="501"/>
      <c r="I309" s="726"/>
      <c r="J309" s="501"/>
      <c r="K309" s="501"/>
      <c r="L309" s="669" t="s">
        <v>1387</v>
      </c>
    </row>
    <row r="310" spans="3:12">
      <c r="C310" s="724"/>
      <c r="D310" s="557" t="s">
        <v>901</v>
      </c>
      <c r="E310" s="727">
        <v>3</v>
      </c>
      <c r="F310" s="729" t="s">
        <v>28</v>
      </c>
      <c r="G310" s="726"/>
      <c r="H310" s="501"/>
      <c r="I310" s="726"/>
      <c r="J310" s="501"/>
      <c r="K310" s="501"/>
      <c r="L310" s="669" t="s">
        <v>1387</v>
      </c>
    </row>
    <row r="311" spans="3:12">
      <c r="C311" s="724"/>
      <c r="D311" s="557" t="s">
        <v>904</v>
      </c>
      <c r="E311" s="727">
        <v>1</v>
      </c>
      <c r="F311" s="729" t="s">
        <v>28</v>
      </c>
      <c r="G311" s="726"/>
      <c r="H311" s="501"/>
      <c r="I311" s="726"/>
      <c r="J311" s="501"/>
      <c r="K311" s="501"/>
      <c r="L311" s="669" t="s">
        <v>1387</v>
      </c>
    </row>
    <row r="312" spans="3:12">
      <c r="C312" s="724"/>
      <c r="D312" s="557" t="s">
        <v>902</v>
      </c>
      <c r="E312" s="727">
        <v>1</v>
      </c>
      <c r="F312" s="729" t="s">
        <v>28</v>
      </c>
      <c r="G312" s="726"/>
      <c r="H312" s="501"/>
      <c r="I312" s="726"/>
      <c r="J312" s="501"/>
      <c r="K312" s="501"/>
      <c r="L312" s="669" t="s">
        <v>1387</v>
      </c>
    </row>
    <row r="313" spans="3:12">
      <c r="C313" s="724"/>
      <c r="D313" s="557" t="s">
        <v>905</v>
      </c>
      <c r="E313" s="727"/>
      <c r="F313" s="729"/>
      <c r="G313" s="726"/>
      <c r="H313" s="501"/>
      <c r="I313" s="726"/>
      <c r="J313" s="501"/>
      <c r="K313" s="501"/>
      <c r="L313" s="669"/>
    </row>
    <row r="314" spans="3:12">
      <c r="C314" s="724"/>
      <c r="D314" s="557" t="s">
        <v>906</v>
      </c>
      <c r="E314" s="727">
        <v>1</v>
      </c>
      <c r="F314" s="729" t="s">
        <v>28</v>
      </c>
      <c r="G314" s="726"/>
      <c r="H314" s="501"/>
      <c r="I314" s="726"/>
      <c r="J314" s="501"/>
      <c r="K314" s="501"/>
      <c r="L314" s="669" t="s">
        <v>1387</v>
      </c>
    </row>
    <row r="315" spans="3:12">
      <c r="C315" s="724"/>
      <c r="D315" s="557" t="s">
        <v>907</v>
      </c>
      <c r="E315" s="727"/>
      <c r="F315" s="729"/>
      <c r="G315" s="726"/>
      <c r="H315" s="501"/>
      <c r="I315" s="726"/>
      <c r="J315" s="501"/>
      <c r="K315" s="501"/>
      <c r="L315" s="669"/>
    </row>
    <row r="316" spans="3:12">
      <c r="C316" s="724"/>
      <c r="D316" s="557" t="s">
        <v>902</v>
      </c>
      <c r="E316" s="727">
        <v>2</v>
      </c>
      <c r="F316" s="729" t="s">
        <v>28</v>
      </c>
      <c r="G316" s="726"/>
      <c r="H316" s="501"/>
      <c r="I316" s="726"/>
      <c r="J316" s="501"/>
      <c r="K316" s="501"/>
      <c r="L316" s="669" t="s">
        <v>1387</v>
      </c>
    </row>
    <row r="317" spans="3:12">
      <c r="C317" s="724"/>
      <c r="D317" s="557" t="s">
        <v>908</v>
      </c>
      <c r="E317" s="727"/>
      <c r="F317" s="729"/>
      <c r="G317" s="726"/>
      <c r="H317" s="501"/>
      <c r="I317" s="726"/>
      <c r="J317" s="501"/>
      <c r="K317" s="501"/>
      <c r="L317" s="669"/>
    </row>
    <row r="318" spans="3:12">
      <c r="C318" s="724"/>
      <c r="D318" s="557" t="s">
        <v>902</v>
      </c>
      <c r="E318" s="727">
        <v>2</v>
      </c>
      <c r="F318" s="729" t="s">
        <v>28</v>
      </c>
      <c r="G318" s="726"/>
      <c r="H318" s="501"/>
      <c r="I318" s="726"/>
      <c r="J318" s="501"/>
      <c r="K318" s="501"/>
      <c r="L318" s="669" t="s">
        <v>1387</v>
      </c>
    </row>
    <row r="319" spans="3:12">
      <c r="C319" s="724"/>
      <c r="D319" s="557" t="s">
        <v>906</v>
      </c>
      <c r="E319" s="727">
        <v>1</v>
      </c>
      <c r="F319" s="729" t="s">
        <v>28</v>
      </c>
      <c r="G319" s="726"/>
      <c r="H319" s="501"/>
      <c r="I319" s="726"/>
      <c r="J319" s="501"/>
      <c r="K319" s="501"/>
      <c r="L319" s="669" t="s">
        <v>1387</v>
      </c>
    </row>
    <row r="320" spans="3:12">
      <c r="C320" s="724"/>
      <c r="D320" s="557" t="s">
        <v>909</v>
      </c>
      <c r="E320" s="727"/>
      <c r="F320" s="729"/>
      <c r="G320" s="726"/>
      <c r="H320" s="501"/>
      <c r="I320" s="726"/>
      <c r="J320" s="501"/>
      <c r="K320" s="501"/>
      <c r="L320" s="669"/>
    </row>
    <row r="321" spans="3:12">
      <c r="C321" s="724"/>
      <c r="D321" s="557" t="s">
        <v>902</v>
      </c>
      <c r="E321" s="727">
        <v>1</v>
      </c>
      <c r="F321" s="729" t="s">
        <v>910</v>
      </c>
      <c r="G321" s="726"/>
      <c r="H321" s="501"/>
      <c r="I321" s="726"/>
      <c r="J321" s="501"/>
      <c r="K321" s="501"/>
      <c r="L321" s="669" t="s">
        <v>1387</v>
      </c>
    </row>
    <row r="322" spans="3:12">
      <c r="C322" s="724"/>
      <c r="D322" s="557" t="s">
        <v>911</v>
      </c>
      <c r="E322" s="727"/>
      <c r="F322" s="729"/>
      <c r="G322" s="726"/>
      <c r="H322" s="501"/>
      <c r="I322" s="726"/>
      <c r="J322" s="501"/>
      <c r="K322" s="501"/>
      <c r="L322" s="669"/>
    </row>
    <row r="323" spans="3:12">
      <c r="C323" s="724"/>
      <c r="D323" s="681" t="s">
        <v>902</v>
      </c>
      <c r="E323" s="649">
        <v>1</v>
      </c>
      <c r="F323" s="728" t="s">
        <v>28</v>
      </c>
      <c r="G323" s="726"/>
      <c r="H323" s="501"/>
      <c r="I323" s="726"/>
      <c r="J323" s="501"/>
      <c r="K323" s="501"/>
      <c r="L323" s="669" t="s">
        <v>1387</v>
      </c>
    </row>
    <row r="324" spans="3:12">
      <c r="C324" s="724"/>
      <c r="D324" s="681" t="s">
        <v>913</v>
      </c>
      <c r="E324" s="649"/>
      <c r="F324" s="728"/>
      <c r="G324" s="726"/>
      <c r="H324" s="501"/>
      <c r="I324" s="726"/>
      <c r="J324" s="501"/>
      <c r="K324" s="501"/>
      <c r="L324" s="669"/>
    </row>
    <row r="325" spans="3:12">
      <c r="C325" s="724"/>
      <c r="D325" s="681" t="s">
        <v>902</v>
      </c>
      <c r="E325" s="649">
        <v>1</v>
      </c>
      <c r="F325" s="728" t="s">
        <v>28</v>
      </c>
      <c r="G325" s="726"/>
      <c r="H325" s="501"/>
      <c r="I325" s="726"/>
      <c r="J325" s="501"/>
      <c r="K325" s="501"/>
      <c r="L325" s="669" t="s">
        <v>1387</v>
      </c>
    </row>
    <row r="326" spans="3:12">
      <c r="C326" s="724"/>
      <c r="D326" s="681" t="s">
        <v>912</v>
      </c>
      <c r="E326" s="649">
        <v>3</v>
      </c>
      <c r="F326" s="728" t="s">
        <v>16</v>
      </c>
      <c r="G326" s="726"/>
      <c r="H326" s="501"/>
      <c r="I326" s="726"/>
      <c r="J326" s="501"/>
      <c r="K326" s="501"/>
      <c r="L326" s="669" t="s">
        <v>1387</v>
      </c>
    </row>
    <row r="327" spans="3:12">
      <c r="C327" s="724"/>
      <c r="D327" s="681" t="s">
        <v>606</v>
      </c>
      <c r="E327" s="649"/>
      <c r="F327" s="728"/>
      <c r="G327" s="726"/>
      <c r="H327" s="501"/>
      <c r="I327" s="726"/>
      <c r="J327" s="501"/>
      <c r="K327" s="501"/>
      <c r="L327" s="669"/>
    </row>
    <row r="328" spans="3:12">
      <c r="C328" s="724"/>
      <c r="D328" s="681" t="s">
        <v>597</v>
      </c>
      <c r="E328" s="649">
        <v>105</v>
      </c>
      <c r="F328" s="728" t="s">
        <v>16</v>
      </c>
      <c r="G328" s="652"/>
      <c r="H328" s="501"/>
      <c r="I328" s="652"/>
      <c r="J328" s="501"/>
      <c r="K328" s="501"/>
      <c r="L328" s="669" t="s">
        <v>1387</v>
      </c>
    </row>
    <row r="329" spans="3:12">
      <c r="C329" s="724"/>
      <c r="D329" s="681" t="s">
        <v>607</v>
      </c>
      <c r="E329" s="649">
        <v>1</v>
      </c>
      <c r="F329" s="506" t="s">
        <v>603</v>
      </c>
      <c r="G329" s="652"/>
      <c r="H329" s="501"/>
      <c r="I329" s="652"/>
      <c r="J329" s="501"/>
      <c r="K329" s="501"/>
      <c r="L329" s="669" t="s">
        <v>1387</v>
      </c>
    </row>
    <row r="330" spans="3:12">
      <c r="C330" s="724"/>
      <c r="D330" s="681" t="s">
        <v>1101</v>
      </c>
      <c r="E330" s="649">
        <v>1</v>
      </c>
      <c r="F330" s="506" t="s">
        <v>603</v>
      </c>
      <c r="G330" s="652"/>
      <c r="H330" s="501"/>
      <c r="I330" s="652"/>
      <c r="J330" s="501"/>
      <c r="K330" s="501"/>
      <c r="L330" s="669"/>
    </row>
    <row r="331" spans="3:12">
      <c r="C331" s="730" t="s">
        <v>705</v>
      </c>
      <c r="D331" s="731" t="s">
        <v>608</v>
      </c>
      <c r="E331" s="649"/>
      <c r="F331" s="506"/>
      <c r="G331" s="652"/>
      <c r="H331" s="501"/>
      <c r="I331" s="652"/>
      <c r="J331" s="501"/>
      <c r="K331" s="501"/>
      <c r="L331" s="669"/>
    </row>
    <row r="332" spans="3:12">
      <c r="C332" s="730" t="s">
        <v>914</v>
      </c>
      <c r="D332" s="731" t="s">
        <v>915</v>
      </c>
      <c r="E332" s="649"/>
      <c r="F332" s="506"/>
      <c r="G332" s="652"/>
      <c r="H332" s="501"/>
      <c r="I332" s="652"/>
      <c r="J332" s="501"/>
      <c r="K332" s="501"/>
      <c r="L332" s="669"/>
    </row>
    <row r="333" spans="3:12">
      <c r="C333" s="730"/>
      <c r="D333" s="731" t="s">
        <v>936</v>
      </c>
      <c r="E333" s="649">
        <v>2</v>
      </c>
      <c r="F333" s="506" t="s">
        <v>16</v>
      </c>
      <c r="G333" s="652"/>
      <c r="H333" s="501"/>
      <c r="I333" s="652"/>
      <c r="J333" s="501"/>
      <c r="K333" s="501"/>
      <c r="L333" s="669" t="s">
        <v>1387</v>
      </c>
    </row>
    <row r="334" spans="3:12">
      <c r="C334" s="730" t="s">
        <v>916</v>
      </c>
      <c r="D334" s="731" t="s">
        <v>917</v>
      </c>
      <c r="E334" s="649"/>
      <c r="F334" s="506"/>
      <c r="G334" s="652"/>
      <c r="H334" s="501"/>
      <c r="I334" s="652"/>
      <c r="J334" s="501"/>
      <c r="K334" s="501"/>
      <c r="L334" s="669"/>
    </row>
    <row r="335" spans="3:12">
      <c r="C335" s="730"/>
      <c r="D335" s="731" t="s">
        <v>937</v>
      </c>
      <c r="E335" s="649">
        <v>2</v>
      </c>
      <c r="F335" s="506" t="s">
        <v>16</v>
      </c>
      <c r="G335" s="652"/>
      <c r="H335" s="501"/>
      <c r="I335" s="652"/>
      <c r="J335" s="501"/>
      <c r="K335" s="501"/>
      <c r="L335" s="669" t="s">
        <v>1387</v>
      </c>
    </row>
    <row r="336" spans="3:12">
      <c r="C336" s="724"/>
      <c r="D336" s="681" t="s">
        <v>609</v>
      </c>
      <c r="E336" s="649"/>
      <c r="F336" s="506"/>
      <c r="G336" s="652"/>
      <c r="H336" s="501"/>
      <c r="I336" s="652"/>
      <c r="J336" s="501"/>
      <c r="K336" s="501"/>
      <c r="L336" s="669"/>
    </row>
    <row r="337" spans="3:12">
      <c r="C337" s="732"/>
      <c r="D337" s="681" t="s">
        <v>611</v>
      </c>
      <c r="E337" s="649">
        <v>443.13</v>
      </c>
      <c r="F337" s="506" t="s">
        <v>15</v>
      </c>
      <c r="G337" s="652"/>
      <c r="H337" s="501"/>
      <c r="I337" s="652"/>
      <c r="J337" s="501"/>
      <c r="K337" s="501"/>
      <c r="L337" s="669" t="s">
        <v>1387</v>
      </c>
    </row>
    <row r="338" spans="3:12">
      <c r="C338" s="724"/>
      <c r="D338" s="681" t="s">
        <v>612</v>
      </c>
      <c r="E338" s="649">
        <v>505.38</v>
      </c>
      <c r="F338" s="506" t="s">
        <v>15</v>
      </c>
      <c r="G338" s="652"/>
      <c r="H338" s="501"/>
      <c r="I338" s="652"/>
      <c r="J338" s="501"/>
      <c r="K338" s="501"/>
      <c r="L338" s="669" t="s">
        <v>1387</v>
      </c>
    </row>
    <row r="339" spans="3:12">
      <c r="C339" s="724"/>
      <c r="D339" s="681" t="s">
        <v>613</v>
      </c>
      <c r="E339" s="649">
        <v>41.5</v>
      </c>
      <c r="F339" s="506" t="s">
        <v>15</v>
      </c>
      <c r="G339" s="652"/>
      <c r="H339" s="501"/>
      <c r="I339" s="652"/>
      <c r="J339" s="501"/>
      <c r="K339" s="501"/>
      <c r="L339" s="669" t="s">
        <v>1387</v>
      </c>
    </row>
    <row r="340" spans="3:12">
      <c r="C340" s="724"/>
      <c r="D340" s="681" t="s">
        <v>1248</v>
      </c>
      <c r="E340" s="649">
        <v>1</v>
      </c>
      <c r="F340" s="506" t="s">
        <v>603</v>
      </c>
      <c r="G340" s="652"/>
      <c r="H340" s="501"/>
      <c r="I340" s="652"/>
      <c r="J340" s="501"/>
      <c r="K340" s="501"/>
      <c r="L340" s="733"/>
    </row>
    <row r="341" spans="3:12">
      <c r="C341" s="724"/>
      <c r="D341" s="681" t="s">
        <v>604</v>
      </c>
      <c r="E341" s="649">
        <v>1</v>
      </c>
      <c r="F341" s="729" t="s">
        <v>603</v>
      </c>
      <c r="G341" s="726"/>
      <c r="H341" s="501"/>
      <c r="I341" s="726"/>
      <c r="J341" s="501"/>
      <c r="K341" s="501"/>
      <c r="L341" s="733"/>
    </row>
    <row r="342" spans="3:12">
      <c r="C342" s="724"/>
      <c r="D342" s="681" t="s">
        <v>614</v>
      </c>
      <c r="E342" s="649"/>
      <c r="F342" s="506"/>
      <c r="G342" s="652"/>
      <c r="H342" s="501"/>
      <c r="I342" s="652"/>
      <c r="J342" s="501"/>
      <c r="K342" s="501"/>
      <c r="L342" s="733"/>
    </row>
    <row r="343" spans="3:12">
      <c r="C343" s="724"/>
      <c r="D343" s="681" t="s">
        <v>610</v>
      </c>
      <c r="E343" s="649">
        <v>124.5</v>
      </c>
      <c r="F343" s="506" t="s">
        <v>15</v>
      </c>
      <c r="G343" s="652"/>
      <c r="H343" s="501"/>
      <c r="I343" s="652"/>
      <c r="J343" s="501"/>
      <c r="K343" s="501"/>
      <c r="L343" s="669" t="s">
        <v>1387</v>
      </c>
    </row>
    <row r="344" spans="3:12">
      <c r="C344" s="724"/>
      <c r="D344" s="681" t="s">
        <v>611</v>
      </c>
      <c r="E344" s="649">
        <v>103.75</v>
      </c>
      <c r="F344" s="506" t="s">
        <v>15</v>
      </c>
      <c r="G344" s="652"/>
      <c r="H344" s="501"/>
      <c r="I344" s="652"/>
      <c r="J344" s="501"/>
      <c r="K344" s="501"/>
      <c r="L344" s="669" t="s">
        <v>1387</v>
      </c>
    </row>
    <row r="345" spans="3:12">
      <c r="C345" s="724" t="s">
        <v>2</v>
      </c>
      <c r="D345" s="681" t="s">
        <v>899</v>
      </c>
      <c r="E345" s="649">
        <v>83.5</v>
      </c>
      <c r="F345" s="506" t="s">
        <v>15</v>
      </c>
      <c r="G345" s="652"/>
      <c r="H345" s="501"/>
      <c r="I345" s="652"/>
      <c r="J345" s="501"/>
      <c r="K345" s="501"/>
      <c r="L345" s="669" t="s">
        <v>1387</v>
      </c>
    </row>
    <row r="346" spans="3:12">
      <c r="C346" s="724"/>
      <c r="D346" s="681" t="s">
        <v>1248</v>
      </c>
      <c r="E346" s="649">
        <v>1</v>
      </c>
      <c r="F346" s="506" t="s">
        <v>603</v>
      </c>
      <c r="G346" s="726"/>
      <c r="H346" s="501"/>
      <c r="I346" s="652"/>
      <c r="J346" s="501"/>
      <c r="K346" s="501"/>
      <c r="L346" s="669"/>
    </row>
    <row r="347" spans="3:12">
      <c r="C347" s="724"/>
      <c r="D347" s="681" t="s">
        <v>604</v>
      </c>
      <c r="E347" s="649">
        <v>1</v>
      </c>
      <c r="F347" s="729" t="s">
        <v>603</v>
      </c>
      <c r="G347" s="726"/>
      <c r="H347" s="501"/>
      <c r="I347" s="726"/>
      <c r="J347" s="501"/>
      <c r="K347" s="501"/>
      <c r="L347" s="669"/>
    </row>
    <row r="348" spans="3:12">
      <c r="C348" s="724"/>
      <c r="D348" s="681" t="s">
        <v>615</v>
      </c>
      <c r="E348" s="649"/>
      <c r="F348" s="506"/>
      <c r="G348" s="652"/>
      <c r="H348" s="501"/>
      <c r="I348" s="652"/>
      <c r="J348" s="501"/>
      <c r="K348" s="501"/>
      <c r="L348" s="669"/>
    </row>
    <row r="349" spans="3:12">
      <c r="C349" s="724"/>
      <c r="D349" s="681" t="s">
        <v>611</v>
      </c>
      <c r="E349" s="649">
        <v>18</v>
      </c>
      <c r="F349" s="506" t="s">
        <v>16</v>
      </c>
      <c r="G349" s="652"/>
      <c r="H349" s="501"/>
      <c r="I349" s="652"/>
      <c r="J349" s="501"/>
      <c r="K349" s="501"/>
      <c r="L349" s="669" t="s">
        <v>1387</v>
      </c>
    </row>
    <row r="350" spans="3:12">
      <c r="C350" s="724"/>
      <c r="D350" s="681" t="s">
        <v>1078</v>
      </c>
      <c r="E350" s="649"/>
      <c r="F350" s="506"/>
      <c r="G350" s="652"/>
      <c r="H350" s="501"/>
      <c r="I350" s="652"/>
      <c r="J350" s="501"/>
      <c r="K350" s="501"/>
      <c r="L350" s="669"/>
    </row>
    <row r="351" spans="3:12">
      <c r="C351" s="724"/>
      <c r="D351" s="681" t="s">
        <v>612</v>
      </c>
      <c r="E351" s="649">
        <v>8</v>
      </c>
      <c r="F351" s="506" t="s">
        <v>16</v>
      </c>
      <c r="G351" s="652"/>
      <c r="H351" s="501"/>
      <c r="I351" s="652"/>
      <c r="J351" s="501"/>
      <c r="K351" s="501"/>
      <c r="L351" s="669" t="s">
        <v>1387</v>
      </c>
    </row>
    <row r="352" spans="3:12">
      <c r="C352" s="724"/>
      <c r="D352" s="681" t="s">
        <v>616</v>
      </c>
      <c r="E352" s="649"/>
      <c r="F352" s="506"/>
      <c r="G352" s="652"/>
      <c r="H352" s="501"/>
      <c r="I352" s="652"/>
      <c r="J352" s="501"/>
      <c r="K352" s="501"/>
      <c r="L352" s="669"/>
    </row>
    <row r="353" spans="3:12">
      <c r="C353" s="724"/>
      <c r="D353" s="681" t="s">
        <v>611</v>
      </c>
      <c r="E353" s="649">
        <v>1</v>
      </c>
      <c r="F353" s="506" t="s">
        <v>16</v>
      </c>
      <c r="G353" s="652"/>
      <c r="H353" s="501"/>
      <c r="I353" s="652"/>
      <c r="J353" s="501"/>
      <c r="K353" s="501"/>
      <c r="L353" s="669" t="s">
        <v>1387</v>
      </c>
    </row>
    <row r="354" spans="3:12">
      <c r="C354" s="724"/>
      <c r="D354" s="681" t="s">
        <v>899</v>
      </c>
      <c r="E354" s="649">
        <v>6</v>
      </c>
      <c r="F354" s="506" t="s">
        <v>16</v>
      </c>
      <c r="G354" s="652"/>
      <c r="H354" s="501"/>
      <c r="I354" s="652"/>
      <c r="J354" s="501"/>
      <c r="K354" s="501"/>
      <c r="L354" s="669" t="s">
        <v>1387</v>
      </c>
    </row>
    <row r="355" spans="3:12">
      <c r="C355" s="724"/>
      <c r="D355" s="681" t="s">
        <v>612</v>
      </c>
      <c r="E355" s="649">
        <v>8</v>
      </c>
      <c r="F355" s="506" t="s">
        <v>16</v>
      </c>
      <c r="G355" s="652"/>
      <c r="H355" s="501"/>
      <c r="I355" s="652"/>
      <c r="J355" s="501"/>
      <c r="K355" s="501"/>
      <c r="L355" s="669" t="s">
        <v>1387</v>
      </c>
    </row>
    <row r="356" spans="3:12">
      <c r="C356" s="724"/>
      <c r="D356" s="681" t="s">
        <v>613</v>
      </c>
      <c r="E356" s="649">
        <v>1</v>
      </c>
      <c r="F356" s="506" t="s">
        <v>16</v>
      </c>
      <c r="G356" s="652"/>
      <c r="H356" s="501"/>
      <c r="I356" s="652"/>
      <c r="J356" s="501"/>
      <c r="K356" s="501"/>
      <c r="L356" s="669" t="s">
        <v>1387</v>
      </c>
    </row>
    <row r="357" spans="3:12">
      <c r="C357" s="724"/>
      <c r="D357" s="681" t="s">
        <v>617</v>
      </c>
      <c r="E357" s="649"/>
      <c r="F357" s="506"/>
      <c r="G357" s="652"/>
      <c r="H357" s="501"/>
      <c r="I357" s="652"/>
      <c r="J357" s="501"/>
      <c r="K357" s="501"/>
      <c r="L357" s="669"/>
    </row>
    <row r="358" spans="3:12">
      <c r="C358" s="724"/>
      <c r="D358" s="681" t="s">
        <v>900</v>
      </c>
      <c r="E358" s="649">
        <v>2</v>
      </c>
      <c r="F358" s="506" t="s">
        <v>16</v>
      </c>
      <c r="G358" s="652"/>
      <c r="H358" s="501"/>
      <c r="I358" s="652"/>
      <c r="J358" s="501"/>
      <c r="K358" s="501"/>
      <c r="L358" s="669" t="s">
        <v>1387</v>
      </c>
    </row>
    <row r="359" spans="3:12">
      <c r="C359" s="724"/>
      <c r="D359" s="681" t="s">
        <v>618</v>
      </c>
      <c r="E359" s="649">
        <v>1</v>
      </c>
      <c r="F359" s="506" t="s">
        <v>16</v>
      </c>
      <c r="G359" s="652"/>
      <c r="H359" s="501"/>
      <c r="I359" s="652"/>
      <c r="J359" s="501"/>
      <c r="K359" s="501"/>
      <c r="L359" s="669" t="s">
        <v>1387</v>
      </c>
    </row>
    <row r="360" spans="3:12">
      <c r="C360" s="724"/>
      <c r="D360" s="681" t="s">
        <v>619</v>
      </c>
      <c r="E360" s="649">
        <v>2</v>
      </c>
      <c r="F360" s="506" t="s">
        <v>16</v>
      </c>
      <c r="G360" s="652"/>
      <c r="H360" s="501"/>
      <c r="I360" s="652"/>
      <c r="J360" s="501"/>
      <c r="K360" s="501"/>
      <c r="L360" s="669" t="s">
        <v>1387</v>
      </c>
    </row>
    <row r="361" spans="3:12">
      <c r="C361" s="724"/>
      <c r="D361" s="681" t="s">
        <v>620</v>
      </c>
      <c r="E361" s="649">
        <v>1</v>
      </c>
      <c r="F361" s="506" t="s">
        <v>603</v>
      </c>
      <c r="G361" s="726"/>
      <c r="H361" s="501"/>
      <c r="I361" s="726"/>
      <c r="J361" s="501"/>
      <c r="K361" s="501"/>
      <c r="L361" s="669"/>
    </row>
    <row r="362" spans="3:12">
      <c r="C362" s="506" t="s">
        <v>706</v>
      </c>
      <c r="D362" s="557" t="s">
        <v>621</v>
      </c>
      <c r="E362" s="649"/>
      <c r="F362" s="506"/>
      <c r="G362" s="652"/>
      <c r="H362" s="501"/>
      <c r="I362" s="652"/>
      <c r="J362" s="501"/>
      <c r="K362" s="501"/>
      <c r="L362" s="669"/>
    </row>
    <row r="363" spans="3:12">
      <c r="C363" s="724"/>
      <c r="D363" s="681" t="s">
        <v>622</v>
      </c>
      <c r="E363" s="644"/>
      <c r="F363" s="506"/>
      <c r="G363" s="734"/>
      <c r="H363" s="501"/>
      <c r="I363" s="734"/>
      <c r="J363" s="501"/>
      <c r="K363" s="501"/>
      <c r="L363" s="669"/>
    </row>
    <row r="364" spans="3:12">
      <c r="C364" s="724" t="s">
        <v>2</v>
      </c>
      <c r="D364" s="681" t="s">
        <v>612</v>
      </c>
      <c r="E364" s="649">
        <v>495.15</v>
      </c>
      <c r="F364" s="506" t="s">
        <v>15</v>
      </c>
      <c r="G364" s="652"/>
      <c r="H364" s="501"/>
      <c r="I364" s="652"/>
      <c r="J364" s="501"/>
      <c r="K364" s="501"/>
      <c r="L364" s="669" t="s">
        <v>1387</v>
      </c>
    </row>
    <row r="365" spans="3:12">
      <c r="C365" s="724"/>
      <c r="D365" s="681" t="s">
        <v>1248</v>
      </c>
      <c r="E365" s="649">
        <v>1</v>
      </c>
      <c r="F365" s="506" t="s">
        <v>603</v>
      </c>
      <c r="G365" s="652"/>
      <c r="H365" s="501"/>
      <c r="I365" s="652"/>
      <c r="J365" s="501"/>
      <c r="K365" s="501"/>
      <c r="L365" s="669"/>
    </row>
    <row r="366" spans="3:12">
      <c r="C366" s="724"/>
      <c r="D366" s="681" t="s">
        <v>623</v>
      </c>
      <c r="E366" s="649">
        <v>1</v>
      </c>
      <c r="F366" s="506" t="s">
        <v>603</v>
      </c>
      <c r="G366" s="726"/>
      <c r="H366" s="501"/>
      <c r="I366" s="726"/>
      <c r="J366" s="501"/>
      <c r="K366" s="501"/>
      <c r="L366" s="669"/>
    </row>
    <row r="367" spans="3:12">
      <c r="C367" s="724"/>
      <c r="D367" s="681" t="s">
        <v>617</v>
      </c>
      <c r="E367" s="649"/>
      <c r="F367" s="506"/>
      <c r="G367" s="652"/>
      <c r="H367" s="501"/>
      <c r="I367" s="652"/>
      <c r="J367" s="501"/>
      <c r="K367" s="501"/>
      <c r="L367" s="669"/>
    </row>
    <row r="368" spans="3:12">
      <c r="C368" s="724"/>
      <c r="D368" s="681" t="s">
        <v>618</v>
      </c>
      <c r="E368" s="649">
        <v>11</v>
      </c>
      <c r="F368" s="506" t="s">
        <v>16</v>
      </c>
      <c r="G368" s="652"/>
      <c r="H368" s="501"/>
      <c r="I368" s="652"/>
      <c r="J368" s="501"/>
      <c r="K368" s="501"/>
      <c r="L368" s="669" t="s">
        <v>1387</v>
      </c>
    </row>
    <row r="369" spans="3:12">
      <c r="C369" s="724">
        <v>4.3</v>
      </c>
      <c r="D369" s="681" t="s">
        <v>918</v>
      </c>
      <c r="E369" s="649"/>
      <c r="F369" s="506"/>
      <c r="G369" s="652"/>
      <c r="H369" s="501"/>
      <c r="I369" s="652"/>
      <c r="J369" s="501"/>
      <c r="K369" s="501"/>
      <c r="L369" s="669"/>
    </row>
    <row r="370" spans="3:12">
      <c r="C370" s="724" t="s">
        <v>919</v>
      </c>
      <c r="D370" s="681" t="s">
        <v>926</v>
      </c>
      <c r="E370" s="649"/>
      <c r="F370" s="506"/>
      <c r="G370" s="652"/>
      <c r="H370" s="501"/>
      <c r="I370" s="652"/>
      <c r="J370" s="501"/>
      <c r="K370" s="501"/>
      <c r="L370" s="669"/>
    </row>
    <row r="371" spans="3:12">
      <c r="C371" s="724"/>
      <c r="D371" s="681" t="s">
        <v>927</v>
      </c>
      <c r="E371" s="649">
        <v>23</v>
      </c>
      <c r="F371" s="506" t="s">
        <v>813</v>
      </c>
      <c r="G371" s="652"/>
      <c r="H371" s="501"/>
      <c r="I371" s="652"/>
      <c r="J371" s="501"/>
      <c r="K371" s="501"/>
      <c r="L371" s="669" t="s">
        <v>1387</v>
      </c>
    </row>
    <row r="372" spans="3:12">
      <c r="C372" s="724" t="s">
        <v>920</v>
      </c>
      <c r="D372" s="681" t="s">
        <v>928</v>
      </c>
      <c r="E372" s="649">
        <v>8</v>
      </c>
      <c r="F372" s="506" t="s">
        <v>815</v>
      </c>
      <c r="G372" s="652"/>
      <c r="H372" s="501"/>
      <c r="I372" s="652"/>
      <c r="J372" s="501"/>
      <c r="K372" s="501"/>
      <c r="L372" s="669" t="s">
        <v>1387</v>
      </c>
    </row>
    <row r="373" spans="3:12">
      <c r="C373" s="724"/>
      <c r="D373" s="681" t="s">
        <v>1208</v>
      </c>
      <c r="E373" s="649">
        <v>1</v>
      </c>
      <c r="F373" s="506" t="s">
        <v>815</v>
      </c>
      <c r="G373" s="652"/>
      <c r="H373" s="501"/>
      <c r="I373" s="652"/>
      <c r="J373" s="501"/>
      <c r="K373" s="501"/>
      <c r="L373" s="669" t="s">
        <v>1387</v>
      </c>
    </row>
    <row r="374" spans="3:12">
      <c r="C374" s="724"/>
      <c r="D374" s="681" t="s">
        <v>929</v>
      </c>
      <c r="E374" s="649">
        <v>1</v>
      </c>
      <c r="F374" s="506" t="s">
        <v>815</v>
      </c>
      <c r="G374" s="652"/>
      <c r="H374" s="501"/>
      <c r="I374" s="652"/>
      <c r="J374" s="501"/>
      <c r="K374" s="501"/>
      <c r="L374" s="669" t="s">
        <v>1387</v>
      </c>
    </row>
    <row r="375" spans="3:12">
      <c r="C375" s="724"/>
      <c r="D375" s="681" t="s">
        <v>930</v>
      </c>
      <c r="E375" s="649">
        <v>1</v>
      </c>
      <c r="F375" s="506" t="s">
        <v>815</v>
      </c>
      <c r="G375" s="652"/>
      <c r="H375" s="501"/>
      <c r="I375" s="652"/>
      <c r="J375" s="501"/>
      <c r="K375" s="501"/>
      <c r="L375" s="669" t="s">
        <v>1387</v>
      </c>
    </row>
    <row r="376" spans="3:12">
      <c r="C376" s="724"/>
      <c r="D376" s="681" t="s">
        <v>931</v>
      </c>
      <c r="E376" s="649">
        <v>234</v>
      </c>
      <c r="F376" s="506" t="s">
        <v>15</v>
      </c>
      <c r="G376" s="652"/>
      <c r="H376" s="501"/>
      <c r="I376" s="652"/>
      <c r="J376" s="501"/>
      <c r="K376" s="501"/>
      <c r="L376" s="669" t="s">
        <v>1387</v>
      </c>
    </row>
    <row r="377" spans="3:12">
      <c r="C377" s="724"/>
      <c r="D377" s="681" t="s">
        <v>921</v>
      </c>
      <c r="E377" s="649">
        <v>321.2</v>
      </c>
      <c r="F377" s="506" t="s">
        <v>40</v>
      </c>
      <c r="G377" s="652"/>
      <c r="H377" s="501"/>
      <c r="I377" s="652"/>
      <c r="J377" s="501"/>
      <c r="K377" s="501"/>
      <c r="L377" s="669" t="s">
        <v>1387</v>
      </c>
    </row>
    <row r="378" spans="3:12">
      <c r="C378" s="724"/>
      <c r="D378" s="681" t="s">
        <v>922</v>
      </c>
      <c r="E378" s="649">
        <v>27.5</v>
      </c>
      <c r="F378" s="506" t="s">
        <v>40</v>
      </c>
      <c r="G378" s="652"/>
      <c r="H378" s="501"/>
      <c r="I378" s="652"/>
      <c r="J378" s="501"/>
      <c r="K378" s="501"/>
      <c r="L378" s="669" t="s">
        <v>1387</v>
      </c>
    </row>
    <row r="379" spans="3:12">
      <c r="C379" s="724"/>
      <c r="D379" s="681" t="s">
        <v>923</v>
      </c>
      <c r="E379" s="649">
        <v>16.5</v>
      </c>
      <c r="F379" s="506" t="s">
        <v>40</v>
      </c>
      <c r="G379" s="652"/>
      <c r="H379" s="501"/>
      <c r="I379" s="652"/>
      <c r="J379" s="501"/>
      <c r="K379" s="501"/>
      <c r="L379" s="669" t="s">
        <v>958</v>
      </c>
    </row>
    <row r="380" spans="3:12">
      <c r="C380" s="724"/>
      <c r="D380" s="681" t="s">
        <v>924</v>
      </c>
      <c r="E380" s="649"/>
      <c r="F380" s="506"/>
      <c r="G380" s="652"/>
      <c r="H380" s="501"/>
      <c r="I380" s="652"/>
      <c r="J380" s="501"/>
      <c r="K380" s="501"/>
      <c r="L380" s="669"/>
    </row>
    <row r="381" spans="3:12">
      <c r="C381" s="724"/>
      <c r="D381" s="681" t="s">
        <v>925</v>
      </c>
      <c r="E381" s="649">
        <v>1</v>
      </c>
      <c r="F381" s="506" t="s">
        <v>603</v>
      </c>
      <c r="G381" s="652"/>
      <c r="H381" s="501"/>
      <c r="I381" s="652"/>
      <c r="J381" s="501"/>
      <c r="K381" s="501"/>
      <c r="L381" s="669"/>
    </row>
    <row r="382" spans="3:12">
      <c r="C382" s="735"/>
      <c r="D382" s="724"/>
      <c r="E382" s="649"/>
      <c r="F382" s="506"/>
      <c r="G382" s="652"/>
      <c r="H382" s="501"/>
      <c r="I382" s="652"/>
      <c r="J382" s="501"/>
      <c r="K382" s="501"/>
      <c r="L382" s="669"/>
    </row>
    <row r="383" spans="3:12">
      <c r="C383" s="506" t="s">
        <v>707</v>
      </c>
      <c r="D383" s="681" t="s">
        <v>624</v>
      </c>
      <c r="E383" s="649"/>
      <c r="F383" s="506"/>
      <c r="G383" s="652"/>
      <c r="H383" s="501"/>
      <c r="I383" s="652"/>
      <c r="J383" s="501"/>
      <c r="K383" s="501"/>
      <c r="L383" s="669"/>
    </row>
    <row r="384" spans="3:12">
      <c r="C384" s="736"/>
      <c r="D384" s="681" t="s">
        <v>625</v>
      </c>
      <c r="E384" s="649">
        <v>3</v>
      </c>
      <c r="F384" s="506" t="s">
        <v>16</v>
      </c>
      <c r="G384" s="652"/>
      <c r="H384" s="501"/>
      <c r="I384" s="652"/>
      <c r="J384" s="501"/>
      <c r="K384" s="501"/>
      <c r="L384" s="669" t="s">
        <v>1387</v>
      </c>
    </row>
    <row r="385" spans="3:12">
      <c r="C385" s="736"/>
      <c r="D385" s="681" t="s">
        <v>626</v>
      </c>
      <c r="E385" s="649">
        <v>4</v>
      </c>
      <c r="F385" s="506" t="s">
        <v>16</v>
      </c>
      <c r="G385" s="652"/>
      <c r="H385" s="501"/>
      <c r="I385" s="652"/>
      <c r="J385" s="501"/>
      <c r="K385" s="501"/>
      <c r="L385" s="669" t="s">
        <v>1387</v>
      </c>
    </row>
    <row r="386" spans="3:12">
      <c r="C386" s="736"/>
      <c r="D386" s="681" t="s">
        <v>627</v>
      </c>
      <c r="E386" s="649">
        <v>12</v>
      </c>
      <c r="F386" s="506" t="s">
        <v>16</v>
      </c>
      <c r="G386" s="652"/>
      <c r="H386" s="501"/>
      <c r="I386" s="652"/>
      <c r="J386" s="501"/>
      <c r="K386" s="501"/>
      <c r="L386" s="669" t="s">
        <v>1387</v>
      </c>
    </row>
    <row r="387" spans="3:12">
      <c r="C387" s="736"/>
      <c r="D387" s="681" t="s">
        <v>628</v>
      </c>
      <c r="E387" s="649">
        <v>16</v>
      </c>
      <c r="F387" s="506" t="s">
        <v>16</v>
      </c>
      <c r="G387" s="652"/>
      <c r="H387" s="501"/>
      <c r="I387" s="652"/>
      <c r="J387" s="501"/>
      <c r="K387" s="501"/>
      <c r="L387" s="669" t="s">
        <v>1387</v>
      </c>
    </row>
    <row r="388" spans="3:12">
      <c r="C388" s="736"/>
      <c r="D388" s="681" t="s">
        <v>629</v>
      </c>
      <c r="E388" s="649"/>
      <c r="F388" s="506"/>
      <c r="G388" s="652"/>
      <c r="H388" s="501"/>
      <c r="I388" s="652"/>
      <c r="J388" s="501"/>
      <c r="K388" s="501"/>
      <c r="L388" s="669"/>
    </row>
    <row r="389" spans="3:12">
      <c r="C389" s="736"/>
      <c r="D389" s="737" t="s">
        <v>630</v>
      </c>
      <c r="E389" s="649">
        <v>10.89</v>
      </c>
      <c r="F389" s="506" t="s">
        <v>15</v>
      </c>
      <c r="G389" s="652"/>
      <c r="H389" s="501"/>
      <c r="I389" s="652"/>
      <c r="J389" s="501"/>
      <c r="K389" s="501"/>
      <c r="L389" s="669" t="s">
        <v>1387</v>
      </c>
    </row>
    <row r="390" spans="3:12">
      <c r="C390" s="736"/>
      <c r="D390" s="737" t="s">
        <v>631</v>
      </c>
      <c r="E390" s="649">
        <v>54.45</v>
      </c>
      <c r="F390" s="506" t="s">
        <v>15</v>
      </c>
      <c r="G390" s="652"/>
      <c r="H390" s="501"/>
      <c r="I390" s="652"/>
      <c r="J390" s="501"/>
      <c r="K390" s="501"/>
      <c r="L390" s="669" t="s">
        <v>1387</v>
      </c>
    </row>
    <row r="391" spans="3:12">
      <c r="C391" s="736"/>
      <c r="D391" s="737" t="s">
        <v>632</v>
      </c>
      <c r="E391" s="649">
        <v>127.05</v>
      </c>
      <c r="F391" s="506" t="s">
        <v>15</v>
      </c>
      <c r="G391" s="652"/>
      <c r="H391" s="501"/>
      <c r="I391" s="652"/>
      <c r="J391" s="501"/>
      <c r="K391" s="501"/>
      <c r="L391" s="669" t="s">
        <v>1387</v>
      </c>
    </row>
    <row r="392" spans="3:12">
      <c r="C392" s="736"/>
      <c r="D392" s="681" t="s">
        <v>1248</v>
      </c>
      <c r="E392" s="649">
        <v>1</v>
      </c>
      <c r="F392" s="506" t="s">
        <v>603</v>
      </c>
      <c r="G392" s="652"/>
      <c r="H392" s="501"/>
      <c r="I392" s="652"/>
      <c r="J392" s="501"/>
      <c r="K392" s="501"/>
      <c r="L392" s="669"/>
    </row>
    <row r="393" spans="3:12">
      <c r="C393" s="736"/>
      <c r="D393" s="681" t="s">
        <v>604</v>
      </c>
      <c r="E393" s="649">
        <v>1</v>
      </c>
      <c r="F393" s="729" t="s">
        <v>603</v>
      </c>
      <c r="G393" s="652"/>
      <c r="H393" s="501"/>
      <c r="I393" s="652"/>
      <c r="J393" s="501"/>
      <c r="K393" s="501"/>
      <c r="L393" s="669"/>
    </row>
    <row r="394" spans="3:12">
      <c r="C394" s="736"/>
      <c r="D394" s="737" t="s">
        <v>821</v>
      </c>
      <c r="E394" s="649"/>
      <c r="F394" s="506"/>
      <c r="G394" s="652"/>
      <c r="H394" s="501"/>
      <c r="I394" s="652"/>
      <c r="J394" s="501"/>
      <c r="K394" s="501"/>
      <c r="L394" s="694"/>
    </row>
    <row r="395" spans="3:12">
      <c r="C395" s="736"/>
      <c r="D395" s="737" t="s">
        <v>822</v>
      </c>
      <c r="E395" s="649">
        <v>1</v>
      </c>
      <c r="F395" s="506" t="s">
        <v>16</v>
      </c>
      <c r="G395" s="652"/>
      <c r="H395" s="501"/>
      <c r="I395" s="652"/>
      <c r="J395" s="501"/>
      <c r="K395" s="501"/>
      <c r="L395" s="669" t="s">
        <v>1387</v>
      </c>
    </row>
    <row r="396" spans="3:12">
      <c r="C396" s="736"/>
      <c r="D396" s="737" t="s">
        <v>823</v>
      </c>
      <c r="E396" s="649"/>
      <c r="F396" s="506"/>
      <c r="G396" s="652"/>
      <c r="H396" s="501"/>
      <c r="I396" s="652"/>
      <c r="J396" s="501"/>
      <c r="K396" s="501"/>
      <c r="L396" s="694"/>
    </row>
    <row r="397" spans="3:12">
      <c r="C397" s="736"/>
      <c r="D397" s="737" t="s">
        <v>824</v>
      </c>
      <c r="E397" s="649">
        <v>1</v>
      </c>
      <c r="F397" s="506" t="s">
        <v>16</v>
      </c>
      <c r="G397" s="652"/>
      <c r="H397" s="501"/>
      <c r="I397" s="652"/>
      <c r="J397" s="501"/>
      <c r="K397" s="501"/>
      <c r="L397" s="669" t="s">
        <v>1387</v>
      </c>
    </row>
    <row r="398" spans="3:12">
      <c r="C398" s="736"/>
      <c r="D398" s="737" t="s">
        <v>825</v>
      </c>
      <c r="E398" s="649"/>
      <c r="F398" s="506"/>
      <c r="G398" s="652"/>
      <c r="H398" s="501"/>
      <c r="I398" s="652"/>
      <c r="J398" s="501"/>
      <c r="K398" s="501"/>
      <c r="L398" s="694"/>
    </row>
    <row r="399" spans="3:12">
      <c r="C399" s="736"/>
      <c r="D399" s="737" t="s">
        <v>630</v>
      </c>
      <c r="E399" s="649">
        <v>1</v>
      </c>
      <c r="F399" s="506" t="s">
        <v>16</v>
      </c>
      <c r="G399" s="652"/>
      <c r="H399" s="501"/>
      <c r="I399" s="652"/>
      <c r="J399" s="501"/>
      <c r="K399" s="501"/>
      <c r="L399" s="694"/>
    </row>
    <row r="400" spans="3:12" ht="72">
      <c r="C400" s="736"/>
      <c r="D400" s="738" t="s">
        <v>826</v>
      </c>
      <c r="E400" s="649"/>
      <c r="F400" s="506" t="s">
        <v>16</v>
      </c>
      <c r="G400" s="652"/>
      <c r="H400" s="501"/>
      <c r="I400" s="652"/>
      <c r="J400" s="501"/>
      <c r="K400" s="501"/>
      <c r="L400" s="694"/>
    </row>
    <row r="401" spans="3:12">
      <c r="C401" s="736"/>
      <c r="D401" s="737" t="s">
        <v>827</v>
      </c>
      <c r="E401" s="649">
        <v>8</v>
      </c>
      <c r="F401" s="506" t="s">
        <v>828</v>
      </c>
      <c r="G401" s="652"/>
      <c r="H401" s="501"/>
      <c r="I401" s="652"/>
      <c r="J401" s="501"/>
      <c r="K401" s="501"/>
      <c r="L401" s="694" t="s">
        <v>1344</v>
      </c>
    </row>
    <row r="402" spans="3:12">
      <c r="C402" s="736"/>
      <c r="D402" s="737" t="s">
        <v>829</v>
      </c>
      <c r="E402" s="649">
        <v>8</v>
      </c>
      <c r="F402" s="506" t="s">
        <v>828</v>
      </c>
      <c r="G402" s="652"/>
      <c r="H402" s="501"/>
      <c r="I402" s="652"/>
      <c r="J402" s="501"/>
      <c r="K402" s="501"/>
      <c r="L402" s="694" t="s">
        <v>1344</v>
      </c>
    </row>
    <row r="403" spans="3:12">
      <c r="C403" s="736"/>
      <c r="D403" s="737" t="s">
        <v>932</v>
      </c>
      <c r="E403" s="649">
        <v>8</v>
      </c>
      <c r="F403" s="506" t="s">
        <v>828</v>
      </c>
      <c r="G403" s="652"/>
      <c r="H403" s="501"/>
      <c r="I403" s="652"/>
      <c r="J403" s="501"/>
      <c r="K403" s="501"/>
      <c r="L403" s="694" t="s">
        <v>1344</v>
      </c>
    </row>
    <row r="404" spans="3:12">
      <c r="C404" s="736"/>
      <c r="D404" s="737" t="s">
        <v>933</v>
      </c>
      <c r="E404" s="649">
        <v>8</v>
      </c>
      <c r="F404" s="506" t="s">
        <v>828</v>
      </c>
      <c r="G404" s="652"/>
      <c r="H404" s="501"/>
      <c r="I404" s="652"/>
      <c r="J404" s="501"/>
      <c r="K404" s="501"/>
      <c r="L404" s="694" t="s">
        <v>1344</v>
      </c>
    </row>
    <row r="405" spans="3:12">
      <c r="C405" s="735"/>
      <c r="D405" s="681" t="s">
        <v>934</v>
      </c>
      <c r="E405" s="649">
        <v>1</v>
      </c>
      <c r="F405" s="506" t="s">
        <v>603</v>
      </c>
      <c r="G405" s="652"/>
      <c r="H405" s="501"/>
      <c r="I405" s="652"/>
      <c r="J405" s="501"/>
      <c r="K405" s="501"/>
      <c r="L405" s="694" t="s">
        <v>1344</v>
      </c>
    </row>
    <row r="406" spans="3:12">
      <c r="C406" s="506"/>
      <c r="D406" s="557"/>
      <c r="E406" s="649"/>
      <c r="F406" s="506"/>
      <c r="G406" s="652"/>
      <c r="H406" s="501"/>
      <c r="I406" s="652"/>
      <c r="J406" s="501"/>
      <c r="K406" s="501"/>
      <c r="L406" s="669"/>
    </row>
    <row r="407" spans="3:12">
      <c r="C407" s="506"/>
      <c r="D407" s="506" t="s">
        <v>742</v>
      </c>
      <c r="E407" s="649"/>
      <c r="F407" s="506"/>
      <c r="G407" s="652"/>
      <c r="H407" s="501"/>
      <c r="I407" s="652"/>
      <c r="J407" s="501"/>
      <c r="K407" s="501"/>
      <c r="L407" s="669"/>
    </row>
    <row r="408" spans="3:12">
      <c r="C408" s="506">
        <v>5</v>
      </c>
      <c r="D408" s="557" t="s">
        <v>648</v>
      </c>
      <c r="E408" s="649"/>
      <c r="F408" s="506"/>
      <c r="G408" s="652"/>
      <c r="H408" s="501"/>
      <c r="I408" s="652"/>
      <c r="J408" s="501"/>
      <c r="K408" s="501"/>
      <c r="L408" s="669"/>
    </row>
    <row r="409" spans="3:12">
      <c r="C409" s="506">
        <v>5.0999999999999996</v>
      </c>
      <c r="D409" s="683" t="s">
        <v>1335</v>
      </c>
      <c r="E409" s="672"/>
      <c r="F409" s="739"/>
      <c r="G409" s="673"/>
      <c r="H409" s="501"/>
      <c r="I409" s="740"/>
      <c r="J409" s="501"/>
      <c r="K409" s="501"/>
      <c r="L409" s="669"/>
    </row>
    <row r="410" spans="3:12">
      <c r="C410" s="506" t="s">
        <v>681</v>
      </c>
      <c r="D410" s="683" t="s">
        <v>749</v>
      </c>
      <c r="E410" s="649"/>
      <c r="F410" s="741"/>
      <c r="G410" s="742"/>
      <c r="H410" s="501"/>
      <c r="I410" s="742"/>
      <c r="J410" s="501"/>
      <c r="K410" s="501"/>
      <c r="L410" s="669"/>
    </row>
    <row r="411" spans="3:12">
      <c r="C411" s="506"/>
      <c r="D411" s="683" t="s">
        <v>750</v>
      </c>
      <c r="E411" s="649"/>
      <c r="F411" s="741"/>
      <c r="G411" s="742"/>
      <c r="H411" s="501"/>
      <c r="I411" s="742"/>
      <c r="J411" s="501"/>
      <c r="K411" s="501"/>
      <c r="L411" s="669"/>
    </row>
    <row r="412" spans="3:12">
      <c r="C412" s="506"/>
      <c r="D412" s="683" t="s">
        <v>1343</v>
      </c>
      <c r="E412" s="501">
        <v>1</v>
      </c>
      <c r="F412" s="649" t="s">
        <v>16</v>
      </c>
      <c r="G412" s="652"/>
      <c r="H412" s="501"/>
      <c r="I412" s="652"/>
      <c r="J412" s="501"/>
      <c r="K412" s="501"/>
      <c r="L412" s="669" t="s">
        <v>1344</v>
      </c>
    </row>
    <row r="413" spans="3:12">
      <c r="C413" s="506"/>
      <c r="D413" s="683" t="s">
        <v>752</v>
      </c>
      <c r="E413" s="501">
        <v>25</v>
      </c>
      <c r="F413" s="649" t="s">
        <v>16</v>
      </c>
      <c r="G413" s="652"/>
      <c r="H413" s="501"/>
      <c r="I413" s="652"/>
      <c r="J413" s="501"/>
      <c r="K413" s="501"/>
      <c r="L413" s="669" t="s">
        <v>1344</v>
      </c>
    </row>
    <row r="414" spans="3:12">
      <c r="C414" s="506"/>
      <c r="D414" s="683" t="s">
        <v>753</v>
      </c>
      <c r="E414" s="501">
        <v>1</v>
      </c>
      <c r="F414" s="649" t="s">
        <v>16</v>
      </c>
      <c r="G414" s="652"/>
      <c r="H414" s="501"/>
      <c r="I414" s="652"/>
      <c r="J414" s="501"/>
      <c r="K414" s="501"/>
      <c r="L414" s="669" t="s">
        <v>958</v>
      </c>
    </row>
    <row r="415" spans="3:12">
      <c r="C415" s="506"/>
      <c r="D415" s="683" t="s">
        <v>754</v>
      </c>
      <c r="E415" s="501">
        <v>23</v>
      </c>
      <c r="F415" s="649" t="s">
        <v>16</v>
      </c>
      <c r="G415" s="652"/>
      <c r="H415" s="501"/>
      <c r="I415" s="652"/>
      <c r="J415" s="501"/>
      <c r="K415" s="501"/>
      <c r="L415" s="669" t="s">
        <v>1387</v>
      </c>
    </row>
    <row r="416" spans="3:12">
      <c r="C416" s="506"/>
      <c r="D416" s="683" t="s">
        <v>755</v>
      </c>
      <c r="E416" s="501">
        <v>1</v>
      </c>
      <c r="F416" s="649" t="s">
        <v>16</v>
      </c>
      <c r="G416" s="652"/>
      <c r="H416" s="501"/>
      <c r="I416" s="652"/>
      <c r="J416" s="501"/>
      <c r="K416" s="501"/>
      <c r="L416" s="669" t="s">
        <v>1387</v>
      </c>
    </row>
    <row r="417" spans="3:12">
      <c r="C417" s="506"/>
      <c r="D417" s="683" t="s">
        <v>756</v>
      </c>
      <c r="E417" s="501">
        <v>2700</v>
      </c>
      <c r="F417" s="649" t="s">
        <v>15</v>
      </c>
      <c r="G417" s="652"/>
      <c r="H417" s="501"/>
      <c r="I417" s="652"/>
      <c r="J417" s="501"/>
      <c r="K417" s="501"/>
      <c r="L417" s="669" t="s">
        <v>1387</v>
      </c>
    </row>
    <row r="418" spans="3:12">
      <c r="C418" s="506"/>
      <c r="D418" s="683" t="s">
        <v>757</v>
      </c>
      <c r="E418" s="501">
        <v>23</v>
      </c>
      <c r="F418" s="649" t="s">
        <v>16</v>
      </c>
      <c r="G418" s="652"/>
      <c r="H418" s="501"/>
      <c r="I418" s="652"/>
      <c r="J418" s="501"/>
      <c r="K418" s="501"/>
      <c r="L418" s="669" t="s">
        <v>1387</v>
      </c>
    </row>
    <row r="419" spans="3:12">
      <c r="C419" s="506"/>
      <c r="D419" s="683" t="s">
        <v>758</v>
      </c>
      <c r="E419" s="501">
        <v>46</v>
      </c>
      <c r="F419" s="649" t="s">
        <v>16</v>
      </c>
      <c r="G419" s="652"/>
      <c r="H419" s="501"/>
      <c r="I419" s="652"/>
      <c r="J419" s="501"/>
      <c r="K419" s="501"/>
      <c r="L419" s="669" t="s">
        <v>1387</v>
      </c>
    </row>
    <row r="420" spans="3:12">
      <c r="C420" s="506"/>
      <c r="D420" s="683" t="s">
        <v>759</v>
      </c>
      <c r="E420" s="501">
        <v>69</v>
      </c>
      <c r="F420" s="649" t="s">
        <v>16</v>
      </c>
      <c r="G420" s="652"/>
      <c r="H420" s="501"/>
      <c r="I420" s="652"/>
      <c r="J420" s="501"/>
      <c r="K420" s="501"/>
      <c r="L420" s="669" t="s">
        <v>1387</v>
      </c>
    </row>
    <row r="421" spans="3:12">
      <c r="C421" s="506"/>
      <c r="D421" s="683" t="s">
        <v>760</v>
      </c>
      <c r="E421" s="501">
        <v>69</v>
      </c>
      <c r="F421" s="649" t="s">
        <v>16</v>
      </c>
      <c r="G421" s="652"/>
      <c r="H421" s="501"/>
      <c r="I421" s="652"/>
      <c r="J421" s="501"/>
      <c r="K421" s="501"/>
      <c r="L421" s="669" t="s">
        <v>1387</v>
      </c>
    </row>
    <row r="422" spans="3:12">
      <c r="C422" s="506"/>
      <c r="D422" s="683" t="s">
        <v>761</v>
      </c>
      <c r="E422" s="501">
        <v>1</v>
      </c>
      <c r="F422" s="649" t="s">
        <v>16</v>
      </c>
      <c r="G422" s="652"/>
      <c r="H422" s="501"/>
      <c r="I422" s="652"/>
      <c r="J422" s="501"/>
      <c r="K422" s="501"/>
      <c r="L422" s="669" t="s">
        <v>1387</v>
      </c>
    </row>
    <row r="423" spans="3:12">
      <c r="C423" s="506"/>
      <c r="D423" s="683" t="s">
        <v>762</v>
      </c>
      <c r="E423" s="501">
        <v>9</v>
      </c>
      <c r="F423" s="649" t="s">
        <v>16</v>
      </c>
      <c r="G423" s="652"/>
      <c r="H423" s="501"/>
      <c r="I423" s="652"/>
      <c r="J423" s="501"/>
      <c r="K423" s="501"/>
      <c r="L423" s="669" t="s">
        <v>1387</v>
      </c>
    </row>
    <row r="424" spans="3:12">
      <c r="C424" s="506"/>
      <c r="D424" s="683" t="s">
        <v>763</v>
      </c>
      <c r="E424" s="501">
        <v>3</v>
      </c>
      <c r="F424" s="649" t="s">
        <v>764</v>
      </c>
      <c r="G424" s="652"/>
      <c r="H424" s="501"/>
      <c r="I424" s="652"/>
      <c r="J424" s="501"/>
      <c r="K424" s="501"/>
      <c r="L424" s="669" t="s">
        <v>1387</v>
      </c>
    </row>
    <row r="425" spans="3:12">
      <c r="C425" s="506"/>
      <c r="D425" s="683" t="s">
        <v>765</v>
      </c>
      <c r="E425" s="501">
        <v>1</v>
      </c>
      <c r="F425" s="649" t="s">
        <v>16</v>
      </c>
      <c r="G425" s="652"/>
      <c r="H425" s="501"/>
      <c r="I425" s="652"/>
      <c r="J425" s="501"/>
      <c r="K425" s="501"/>
      <c r="L425" s="669" t="s">
        <v>1387</v>
      </c>
    </row>
    <row r="426" spans="3:12">
      <c r="C426" s="506"/>
      <c r="D426" s="683" t="s">
        <v>766</v>
      </c>
      <c r="E426" s="501">
        <v>1</v>
      </c>
      <c r="F426" s="649" t="s">
        <v>16</v>
      </c>
      <c r="G426" s="652"/>
      <c r="H426" s="501"/>
      <c r="I426" s="652"/>
      <c r="J426" s="501"/>
      <c r="K426" s="501"/>
      <c r="L426" s="694" t="s">
        <v>959</v>
      </c>
    </row>
    <row r="427" spans="3:12">
      <c r="C427" s="506" t="s">
        <v>682</v>
      </c>
      <c r="D427" s="557" t="s">
        <v>748</v>
      </c>
      <c r="E427" s="501"/>
      <c r="F427" s="649"/>
      <c r="G427" s="652"/>
      <c r="H427" s="501"/>
      <c r="I427" s="652"/>
      <c r="J427" s="501"/>
      <c r="K427" s="501"/>
      <c r="L427" s="669"/>
    </row>
    <row r="428" spans="3:12">
      <c r="C428" s="506" t="s">
        <v>1336</v>
      </c>
      <c r="D428" s="557" t="s">
        <v>1341</v>
      </c>
      <c r="E428" s="501"/>
      <c r="F428" s="649"/>
      <c r="G428" s="652"/>
      <c r="H428" s="501"/>
      <c r="I428" s="652"/>
      <c r="J428" s="501"/>
      <c r="K428" s="501"/>
      <c r="L428" s="669"/>
    </row>
    <row r="429" spans="3:12">
      <c r="C429" s="506"/>
      <c r="D429" s="683" t="s">
        <v>1334</v>
      </c>
      <c r="E429" s="501">
        <v>1</v>
      </c>
      <c r="F429" s="649" t="s">
        <v>16</v>
      </c>
      <c r="G429" s="652"/>
      <c r="H429" s="501"/>
      <c r="I429" s="652"/>
      <c r="J429" s="501"/>
      <c r="K429" s="501"/>
      <c r="L429" s="669" t="s">
        <v>1388</v>
      </c>
    </row>
    <row r="430" spans="3:12">
      <c r="C430" s="506"/>
      <c r="D430" s="683" t="s">
        <v>1096</v>
      </c>
      <c r="E430" s="501">
        <v>2</v>
      </c>
      <c r="F430" s="649" t="s">
        <v>16</v>
      </c>
      <c r="G430" s="652"/>
      <c r="H430" s="501"/>
      <c r="I430" s="652"/>
      <c r="J430" s="501"/>
      <c r="K430" s="501"/>
      <c r="L430" s="669" t="s">
        <v>1388</v>
      </c>
    </row>
    <row r="431" spans="3:12">
      <c r="C431" s="506"/>
      <c r="D431" s="683" t="s">
        <v>1097</v>
      </c>
      <c r="E431" s="501">
        <v>2</v>
      </c>
      <c r="F431" s="649" t="s">
        <v>16</v>
      </c>
      <c r="G431" s="652"/>
      <c r="H431" s="501"/>
      <c r="I431" s="652"/>
      <c r="J431" s="501"/>
      <c r="K431" s="501"/>
      <c r="L431" s="669" t="s">
        <v>1388</v>
      </c>
    </row>
    <row r="432" spans="3:12">
      <c r="C432" s="506"/>
      <c r="D432" s="683" t="s">
        <v>1098</v>
      </c>
      <c r="E432" s="501">
        <v>2</v>
      </c>
      <c r="F432" s="649" t="s">
        <v>16</v>
      </c>
      <c r="G432" s="652"/>
      <c r="H432" s="501"/>
      <c r="I432" s="652"/>
      <c r="J432" s="501"/>
      <c r="K432" s="501"/>
      <c r="L432" s="669" t="s">
        <v>1388</v>
      </c>
    </row>
    <row r="433" spans="3:12">
      <c r="C433" s="506"/>
      <c r="D433" s="683" t="s">
        <v>830</v>
      </c>
      <c r="E433" s="501">
        <v>1</v>
      </c>
      <c r="F433" s="649" t="s">
        <v>16</v>
      </c>
      <c r="G433" s="652"/>
      <c r="H433" s="501"/>
      <c r="I433" s="652"/>
      <c r="J433" s="501"/>
      <c r="K433" s="501"/>
      <c r="L433" s="669" t="s">
        <v>1388</v>
      </c>
    </row>
    <row r="434" spans="3:12">
      <c r="C434" s="506"/>
      <c r="D434" s="683" t="s">
        <v>1099</v>
      </c>
      <c r="E434" s="501">
        <v>3</v>
      </c>
      <c r="F434" s="649" t="s">
        <v>16</v>
      </c>
      <c r="G434" s="652"/>
      <c r="H434" s="501"/>
      <c r="I434" s="652"/>
      <c r="J434" s="501"/>
      <c r="K434" s="501"/>
      <c r="L434" s="669" t="s">
        <v>1388</v>
      </c>
    </row>
    <row r="435" spans="3:12">
      <c r="C435" s="506"/>
      <c r="D435" s="683" t="s">
        <v>1100</v>
      </c>
      <c r="E435" s="501">
        <v>1</v>
      </c>
      <c r="F435" s="649" t="s">
        <v>16</v>
      </c>
      <c r="G435" s="652"/>
      <c r="H435" s="501"/>
      <c r="I435" s="652"/>
      <c r="J435" s="501"/>
      <c r="K435" s="501"/>
      <c r="L435" s="669" t="s">
        <v>1388</v>
      </c>
    </row>
    <row r="436" spans="3:12">
      <c r="C436" s="506"/>
      <c r="D436" s="683" t="s">
        <v>786</v>
      </c>
      <c r="E436" s="501">
        <v>3</v>
      </c>
      <c r="F436" s="649" t="s">
        <v>16</v>
      </c>
      <c r="G436" s="652"/>
      <c r="H436" s="501"/>
      <c r="I436" s="652"/>
      <c r="J436" s="501"/>
      <c r="K436" s="501"/>
      <c r="L436" s="669" t="s">
        <v>1388</v>
      </c>
    </row>
    <row r="437" spans="3:12">
      <c r="C437" s="506"/>
      <c r="D437" s="683" t="s">
        <v>767</v>
      </c>
      <c r="E437" s="501">
        <v>2</v>
      </c>
      <c r="F437" s="649" t="s">
        <v>16</v>
      </c>
      <c r="G437" s="652"/>
      <c r="H437" s="501"/>
      <c r="I437" s="652"/>
      <c r="J437" s="501"/>
      <c r="K437" s="501"/>
      <c r="L437" s="669" t="s">
        <v>1388</v>
      </c>
    </row>
    <row r="438" spans="3:12">
      <c r="C438" s="506"/>
      <c r="D438" s="683" t="s">
        <v>831</v>
      </c>
      <c r="E438" s="501">
        <v>1</v>
      </c>
      <c r="F438" s="649" t="s">
        <v>16</v>
      </c>
      <c r="G438" s="652"/>
      <c r="H438" s="501"/>
      <c r="I438" s="652"/>
      <c r="J438" s="501"/>
      <c r="K438" s="501"/>
      <c r="L438" s="669" t="s">
        <v>1388</v>
      </c>
    </row>
    <row r="439" spans="3:12">
      <c r="C439" s="506"/>
      <c r="D439" s="683" t="s">
        <v>785</v>
      </c>
      <c r="E439" s="501">
        <v>1</v>
      </c>
      <c r="F439" s="649" t="s">
        <v>16</v>
      </c>
      <c r="G439" s="652"/>
      <c r="H439" s="501"/>
      <c r="I439" s="652"/>
      <c r="J439" s="501"/>
      <c r="K439" s="501"/>
      <c r="L439" s="669" t="s">
        <v>1388</v>
      </c>
    </row>
    <row r="440" spans="3:12">
      <c r="C440" s="506"/>
      <c r="D440" s="683" t="s">
        <v>1346</v>
      </c>
      <c r="E440" s="501">
        <v>1</v>
      </c>
      <c r="F440" s="649" t="s">
        <v>16</v>
      </c>
      <c r="G440" s="652"/>
      <c r="H440" s="501"/>
      <c r="I440" s="652"/>
      <c r="J440" s="501"/>
      <c r="K440" s="501"/>
      <c r="L440" s="669" t="s">
        <v>1388</v>
      </c>
    </row>
    <row r="441" spans="3:12">
      <c r="C441" s="506"/>
      <c r="D441" s="683" t="s">
        <v>768</v>
      </c>
      <c r="E441" s="501">
        <v>6</v>
      </c>
      <c r="F441" s="649" t="s">
        <v>16</v>
      </c>
      <c r="G441" s="652"/>
      <c r="H441" s="501"/>
      <c r="I441" s="652"/>
      <c r="J441" s="501"/>
      <c r="K441" s="501"/>
      <c r="L441" s="669" t="s">
        <v>1388</v>
      </c>
    </row>
    <row r="442" spans="3:12">
      <c r="C442" s="506"/>
      <c r="D442" s="683" t="s">
        <v>832</v>
      </c>
      <c r="E442" s="501">
        <v>120</v>
      </c>
      <c r="F442" s="649" t="s">
        <v>15</v>
      </c>
      <c r="G442" s="652"/>
      <c r="H442" s="501"/>
      <c r="I442" s="652"/>
      <c r="J442" s="501"/>
      <c r="K442" s="501"/>
      <c r="L442" s="669" t="s">
        <v>1388</v>
      </c>
    </row>
    <row r="443" spans="3:12">
      <c r="C443" s="506"/>
      <c r="D443" s="683" t="s">
        <v>769</v>
      </c>
      <c r="E443" s="501">
        <v>37.5</v>
      </c>
      <c r="F443" s="649" t="s">
        <v>15</v>
      </c>
      <c r="G443" s="652"/>
      <c r="H443" s="501"/>
      <c r="I443" s="652"/>
      <c r="J443" s="501"/>
      <c r="K443" s="501"/>
      <c r="L443" s="669" t="s">
        <v>1388</v>
      </c>
    </row>
    <row r="444" spans="3:12">
      <c r="C444" s="506"/>
      <c r="D444" s="683" t="s">
        <v>1209</v>
      </c>
      <c r="E444" s="501">
        <v>15</v>
      </c>
      <c r="F444" s="649" t="s">
        <v>15</v>
      </c>
      <c r="G444" s="652"/>
      <c r="H444" s="501"/>
      <c r="I444" s="652"/>
      <c r="J444" s="501"/>
      <c r="K444" s="501"/>
      <c r="L444" s="669" t="s">
        <v>1388</v>
      </c>
    </row>
    <row r="445" spans="3:12">
      <c r="C445" s="506"/>
      <c r="D445" s="683" t="s">
        <v>770</v>
      </c>
      <c r="E445" s="501">
        <v>1</v>
      </c>
      <c r="F445" s="649" t="s">
        <v>16</v>
      </c>
      <c r="G445" s="652"/>
      <c r="H445" s="501"/>
      <c r="I445" s="652"/>
      <c r="J445" s="501"/>
      <c r="K445" s="501"/>
      <c r="L445" s="669" t="s">
        <v>1388</v>
      </c>
    </row>
    <row r="446" spans="3:12">
      <c r="C446" s="506"/>
      <c r="D446" s="683" t="s">
        <v>771</v>
      </c>
      <c r="E446" s="501">
        <v>1</v>
      </c>
      <c r="F446" s="649" t="s">
        <v>16</v>
      </c>
      <c r="G446" s="652"/>
      <c r="H446" s="501"/>
      <c r="I446" s="652"/>
      <c r="J446" s="501"/>
      <c r="K446" s="501"/>
      <c r="L446" s="694" t="s">
        <v>959</v>
      </c>
    </row>
    <row r="447" spans="3:12">
      <c r="C447" s="506" t="s">
        <v>1337</v>
      </c>
      <c r="D447" s="683" t="s">
        <v>1342</v>
      </c>
      <c r="E447" s="501"/>
      <c r="F447" s="649"/>
      <c r="G447" s="652"/>
      <c r="H447" s="501"/>
      <c r="I447" s="652"/>
      <c r="J447" s="501"/>
      <c r="K447" s="501"/>
      <c r="L447" s="669"/>
    </row>
    <row r="448" spans="3:12">
      <c r="C448" s="506"/>
      <c r="D448" s="683" t="s">
        <v>1088</v>
      </c>
      <c r="E448" s="501">
        <v>2</v>
      </c>
      <c r="F448" s="649" t="s">
        <v>16</v>
      </c>
      <c r="G448" s="652"/>
      <c r="H448" s="501"/>
      <c r="I448" s="652"/>
      <c r="J448" s="501"/>
      <c r="K448" s="501"/>
      <c r="L448" s="669" t="s">
        <v>1344</v>
      </c>
    </row>
    <row r="449" spans="3:12">
      <c r="C449" s="506"/>
      <c r="D449" s="683" t="s">
        <v>1089</v>
      </c>
      <c r="E449" s="501">
        <v>1</v>
      </c>
      <c r="F449" s="649" t="s">
        <v>16</v>
      </c>
      <c r="G449" s="652"/>
      <c r="H449" s="501"/>
      <c r="I449" s="652"/>
      <c r="J449" s="501"/>
      <c r="K449" s="501"/>
      <c r="L449" s="669" t="s">
        <v>1344</v>
      </c>
    </row>
    <row r="450" spans="3:12">
      <c r="C450" s="506"/>
      <c r="D450" s="683" t="s">
        <v>833</v>
      </c>
      <c r="E450" s="501">
        <v>2</v>
      </c>
      <c r="F450" s="649" t="s">
        <v>16</v>
      </c>
      <c r="G450" s="652"/>
      <c r="H450" s="501"/>
      <c r="I450" s="652"/>
      <c r="J450" s="501"/>
      <c r="K450" s="501"/>
      <c r="L450" s="669" t="s">
        <v>1344</v>
      </c>
    </row>
    <row r="451" spans="3:12">
      <c r="C451" s="506"/>
      <c r="D451" s="683" t="s">
        <v>1090</v>
      </c>
      <c r="E451" s="501">
        <v>1</v>
      </c>
      <c r="F451" s="649" t="s">
        <v>16</v>
      </c>
      <c r="G451" s="652"/>
      <c r="H451" s="501"/>
      <c r="I451" s="652"/>
      <c r="J451" s="501"/>
      <c r="K451" s="501"/>
      <c r="L451" s="669" t="s">
        <v>1344</v>
      </c>
    </row>
    <row r="452" spans="3:12">
      <c r="C452" s="506"/>
      <c r="D452" s="683" t="s">
        <v>834</v>
      </c>
      <c r="E452" s="501">
        <v>3</v>
      </c>
      <c r="F452" s="649" t="s">
        <v>16</v>
      </c>
      <c r="G452" s="652"/>
      <c r="H452" s="501"/>
      <c r="I452" s="652"/>
      <c r="J452" s="501"/>
      <c r="K452" s="501"/>
      <c r="L452" s="669" t="s">
        <v>1344</v>
      </c>
    </row>
    <row r="453" spans="3:12">
      <c r="C453" s="506"/>
      <c r="D453" s="683" t="s">
        <v>1092</v>
      </c>
      <c r="E453" s="501">
        <v>2</v>
      </c>
      <c r="F453" s="649" t="s">
        <v>16</v>
      </c>
      <c r="G453" s="652"/>
      <c r="H453" s="501"/>
      <c r="I453" s="652"/>
      <c r="J453" s="501"/>
      <c r="K453" s="501"/>
      <c r="L453" s="669" t="s">
        <v>1344</v>
      </c>
    </row>
    <row r="454" spans="3:12">
      <c r="C454" s="506"/>
      <c r="D454" s="683" t="s">
        <v>1091</v>
      </c>
      <c r="E454" s="501">
        <v>1</v>
      </c>
      <c r="F454" s="649" t="s">
        <v>16</v>
      </c>
      <c r="G454" s="652"/>
      <c r="H454" s="501"/>
      <c r="I454" s="652"/>
      <c r="J454" s="501"/>
      <c r="K454" s="501"/>
      <c r="L454" s="669" t="s">
        <v>1344</v>
      </c>
    </row>
    <row r="455" spans="3:12">
      <c r="C455" s="743"/>
      <c r="D455" s="683" t="s">
        <v>835</v>
      </c>
      <c r="E455" s="501">
        <v>28</v>
      </c>
      <c r="F455" s="649" t="s">
        <v>16</v>
      </c>
      <c r="G455" s="652"/>
      <c r="H455" s="501"/>
      <c r="I455" s="652"/>
      <c r="J455" s="501"/>
      <c r="K455" s="501"/>
      <c r="L455" s="669" t="s">
        <v>1344</v>
      </c>
    </row>
    <row r="456" spans="3:12">
      <c r="C456" s="743"/>
      <c r="D456" s="683" t="s">
        <v>836</v>
      </c>
      <c r="E456" s="501">
        <v>39</v>
      </c>
      <c r="F456" s="649" t="s">
        <v>16</v>
      </c>
      <c r="G456" s="652"/>
      <c r="H456" s="501"/>
      <c r="I456" s="652"/>
      <c r="J456" s="501"/>
      <c r="K456" s="501"/>
      <c r="L456" s="669" t="s">
        <v>1344</v>
      </c>
    </row>
    <row r="457" spans="3:12">
      <c r="C457" s="743"/>
      <c r="D457" s="683" t="s">
        <v>837</v>
      </c>
      <c r="E457" s="501">
        <v>6</v>
      </c>
      <c r="F457" s="649" t="s">
        <v>16</v>
      </c>
      <c r="G457" s="652"/>
      <c r="H457" s="501"/>
      <c r="I457" s="652"/>
      <c r="J457" s="501"/>
      <c r="K457" s="501"/>
      <c r="L457" s="669" t="s">
        <v>1344</v>
      </c>
    </row>
    <row r="458" spans="3:12">
      <c r="C458" s="743"/>
      <c r="D458" s="683" t="s">
        <v>838</v>
      </c>
      <c r="E458" s="501">
        <v>74</v>
      </c>
      <c r="F458" s="649" t="s">
        <v>16</v>
      </c>
      <c r="G458" s="652"/>
      <c r="H458" s="501"/>
      <c r="I458" s="652"/>
      <c r="J458" s="501"/>
      <c r="K458" s="501"/>
      <c r="L458" s="669" t="s">
        <v>1344</v>
      </c>
    </row>
    <row r="459" spans="3:12">
      <c r="C459" s="743"/>
      <c r="D459" s="683" t="s">
        <v>1083</v>
      </c>
      <c r="E459" s="501">
        <v>1</v>
      </c>
      <c r="F459" s="649" t="s">
        <v>603</v>
      </c>
      <c r="G459" s="652"/>
      <c r="H459" s="501"/>
      <c r="I459" s="652"/>
      <c r="J459" s="501"/>
      <c r="K459" s="501"/>
      <c r="L459" s="669" t="s">
        <v>1344</v>
      </c>
    </row>
    <row r="460" spans="3:12">
      <c r="C460" s="743"/>
      <c r="D460" s="683"/>
      <c r="E460" s="501"/>
      <c r="F460" s="649"/>
      <c r="G460" s="652"/>
      <c r="H460" s="501"/>
      <c r="I460" s="652"/>
      <c r="J460" s="501"/>
      <c r="K460" s="501"/>
      <c r="L460" s="669"/>
    </row>
    <row r="461" spans="3:12">
      <c r="C461" s="743" t="s">
        <v>1338</v>
      </c>
      <c r="D461" s="683" t="s">
        <v>1084</v>
      </c>
      <c r="E461" s="501"/>
      <c r="F461" s="649"/>
      <c r="G461" s="652"/>
      <c r="H461" s="501"/>
      <c r="I461" s="652"/>
      <c r="J461" s="501"/>
      <c r="K461" s="501"/>
      <c r="L461" s="694"/>
    </row>
    <row r="462" spans="3:12">
      <c r="C462" s="743"/>
      <c r="D462" s="683" t="s">
        <v>1268</v>
      </c>
      <c r="E462" s="501">
        <v>68</v>
      </c>
      <c r="F462" s="649" t="s">
        <v>16</v>
      </c>
      <c r="G462" s="652"/>
      <c r="H462" s="501"/>
      <c r="I462" s="652"/>
      <c r="J462" s="501"/>
      <c r="K462" s="501"/>
      <c r="L462" s="694" t="s">
        <v>1344</v>
      </c>
    </row>
    <row r="463" spans="3:12">
      <c r="C463" s="743"/>
      <c r="D463" s="683" t="s">
        <v>1269</v>
      </c>
      <c r="E463" s="501">
        <v>133</v>
      </c>
      <c r="F463" s="649" t="s">
        <v>16</v>
      </c>
      <c r="G463" s="652"/>
      <c r="H463" s="501"/>
      <c r="I463" s="652"/>
      <c r="J463" s="501"/>
      <c r="K463" s="501"/>
      <c r="L463" s="694" t="s">
        <v>1344</v>
      </c>
    </row>
    <row r="464" spans="3:12">
      <c r="C464" s="743"/>
      <c r="D464" s="683" t="s">
        <v>839</v>
      </c>
      <c r="E464" s="501">
        <v>9</v>
      </c>
      <c r="F464" s="649" t="s">
        <v>16</v>
      </c>
      <c r="G464" s="652"/>
      <c r="H464" s="501"/>
      <c r="I464" s="652"/>
      <c r="J464" s="501"/>
      <c r="K464" s="501"/>
      <c r="L464" s="694" t="s">
        <v>1344</v>
      </c>
    </row>
    <row r="465" spans="3:13">
      <c r="C465" s="743"/>
      <c r="D465" s="683" t="s">
        <v>840</v>
      </c>
      <c r="E465" s="501">
        <v>15</v>
      </c>
      <c r="F465" s="649" t="s">
        <v>16</v>
      </c>
      <c r="G465" s="652"/>
      <c r="H465" s="501"/>
      <c r="I465" s="652"/>
      <c r="J465" s="501"/>
      <c r="K465" s="501"/>
      <c r="L465" s="694" t="s">
        <v>1344</v>
      </c>
    </row>
    <row r="466" spans="3:13">
      <c r="C466" s="743"/>
      <c r="D466" s="683" t="s">
        <v>841</v>
      </c>
      <c r="E466" s="501">
        <v>230</v>
      </c>
      <c r="F466" s="649" t="s">
        <v>16</v>
      </c>
      <c r="G466" s="652"/>
      <c r="H466" s="501"/>
      <c r="I466" s="652"/>
      <c r="J466" s="501"/>
      <c r="K466" s="501"/>
      <c r="L466" s="694" t="s">
        <v>1344</v>
      </c>
    </row>
    <row r="467" spans="3:13">
      <c r="C467" s="743"/>
      <c r="D467" s="683" t="s">
        <v>1079</v>
      </c>
      <c r="E467" s="501">
        <v>650</v>
      </c>
      <c r="F467" s="649" t="s">
        <v>15</v>
      </c>
      <c r="G467" s="652"/>
      <c r="H467" s="501"/>
      <c r="I467" s="652"/>
      <c r="J467" s="501"/>
      <c r="K467" s="501"/>
      <c r="L467" s="694" t="s">
        <v>1344</v>
      </c>
    </row>
    <row r="468" spans="3:13">
      <c r="C468" s="743"/>
      <c r="D468" s="683" t="s">
        <v>845</v>
      </c>
      <c r="E468" s="501">
        <v>58</v>
      </c>
      <c r="F468" s="649" t="s">
        <v>16</v>
      </c>
      <c r="G468" s="652"/>
      <c r="H468" s="501"/>
      <c r="I468" s="652"/>
      <c r="J468" s="501"/>
      <c r="K468" s="501"/>
      <c r="L468" s="694" t="s">
        <v>1344</v>
      </c>
    </row>
    <row r="469" spans="3:13">
      <c r="C469" s="743"/>
      <c r="D469" s="683" t="s">
        <v>846</v>
      </c>
      <c r="E469" s="501">
        <v>25</v>
      </c>
      <c r="F469" s="649" t="s">
        <v>16</v>
      </c>
      <c r="G469" s="652"/>
      <c r="H469" s="501"/>
      <c r="I469" s="652"/>
      <c r="J469" s="501"/>
      <c r="K469" s="501"/>
      <c r="L469" s="694" t="s">
        <v>1344</v>
      </c>
    </row>
    <row r="470" spans="3:13">
      <c r="C470" s="743"/>
      <c r="D470" s="683" t="s">
        <v>847</v>
      </c>
      <c r="E470" s="501">
        <v>6</v>
      </c>
      <c r="F470" s="649" t="s">
        <v>16</v>
      </c>
      <c r="G470" s="652"/>
      <c r="H470" s="501"/>
      <c r="I470" s="652"/>
      <c r="J470" s="501"/>
      <c r="K470" s="501"/>
      <c r="L470" s="694" t="s">
        <v>1344</v>
      </c>
    </row>
    <row r="471" spans="3:13">
      <c r="C471" s="743" t="s">
        <v>1339</v>
      </c>
      <c r="D471" s="683" t="s">
        <v>1085</v>
      </c>
      <c r="E471" s="501"/>
      <c r="F471" s="649"/>
      <c r="G471" s="652"/>
      <c r="H471" s="501"/>
      <c r="I471" s="652"/>
      <c r="J471" s="501"/>
      <c r="K471" s="501"/>
      <c r="L471" s="565"/>
    </row>
    <row r="472" spans="3:13">
      <c r="C472" s="743"/>
      <c r="D472" s="683" t="s">
        <v>1359</v>
      </c>
      <c r="E472" s="501">
        <v>86</v>
      </c>
      <c r="F472" s="649" t="s">
        <v>16</v>
      </c>
      <c r="G472" s="652"/>
      <c r="H472" s="501"/>
      <c r="I472" s="652"/>
      <c r="J472" s="501"/>
      <c r="K472" s="501"/>
      <c r="L472" s="669" t="s">
        <v>1387</v>
      </c>
    </row>
    <row r="473" spans="3:13">
      <c r="C473" s="743"/>
      <c r="D473" s="683" t="s">
        <v>842</v>
      </c>
      <c r="E473" s="501">
        <v>12</v>
      </c>
      <c r="F473" s="649" t="s">
        <v>16</v>
      </c>
      <c r="G473" s="652"/>
      <c r="H473" s="501"/>
      <c r="I473" s="652"/>
      <c r="J473" s="501"/>
      <c r="K473" s="501"/>
      <c r="L473" s="669" t="s">
        <v>1387</v>
      </c>
    </row>
    <row r="474" spans="3:13">
      <c r="C474" s="743"/>
      <c r="D474" s="683" t="s">
        <v>772</v>
      </c>
      <c r="E474" s="501">
        <v>118</v>
      </c>
      <c r="F474" s="649" t="s">
        <v>16</v>
      </c>
      <c r="G474" s="652"/>
      <c r="H474" s="501"/>
      <c r="I474" s="652"/>
      <c r="J474" s="501"/>
      <c r="K474" s="501"/>
      <c r="L474" s="669" t="s">
        <v>1387</v>
      </c>
    </row>
    <row r="475" spans="3:13">
      <c r="C475" s="743"/>
      <c r="D475" s="683" t="s">
        <v>843</v>
      </c>
      <c r="E475" s="501">
        <v>80</v>
      </c>
      <c r="F475" s="649" t="s">
        <v>16</v>
      </c>
      <c r="G475" s="652"/>
      <c r="H475" s="501"/>
      <c r="I475" s="652"/>
      <c r="J475" s="501"/>
      <c r="K475" s="501"/>
      <c r="L475" s="669" t="s">
        <v>1387</v>
      </c>
    </row>
    <row r="476" spans="3:13">
      <c r="C476" s="743"/>
      <c r="D476" s="683" t="s">
        <v>844</v>
      </c>
      <c r="E476" s="501">
        <v>73</v>
      </c>
      <c r="F476" s="649" t="s">
        <v>16</v>
      </c>
      <c r="G476" s="652"/>
      <c r="H476" s="501"/>
      <c r="I476" s="652"/>
      <c r="J476" s="501"/>
      <c r="K476" s="501"/>
      <c r="L476" s="669" t="s">
        <v>1387</v>
      </c>
    </row>
    <row r="477" spans="3:13">
      <c r="C477" s="743"/>
      <c r="D477" s="683" t="s">
        <v>773</v>
      </c>
      <c r="E477" s="501">
        <v>369</v>
      </c>
      <c r="F477" s="649" t="s">
        <v>16</v>
      </c>
      <c r="G477" s="652"/>
      <c r="H477" s="501"/>
      <c r="I477" s="652"/>
      <c r="J477" s="501"/>
      <c r="K477" s="501"/>
      <c r="L477" s="669"/>
    </row>
    <row r="478" spans="3:13">
      <c r="C478" s="743" t="s">
        <v>1340</v>
      </c>
      <c r="D478" s="744" t="s">
        <v>1082</v>
      </c>
      <c r="E478" s="501"/>
      <c r="F478" s="649"/>
      <c r="G478" s="652"/>
      <c r="H478" s="501"/>
      <c r="I478" s="652"/>
      <c r="J478" s="501"/>
      <c r="K478" s="501"/>
      <c r="L478" s="669"/>
    </row>
    <row r="479" spans="3:13">
      <c r="C479" s="743"/>
      <c r="D479" s="683" t="s">
        <v>848</v>
      </c>
      <c r="E479" s="501">
        <f>SUM(E462:E466)*6</f>
        <v>2730</v>
      </c>
      <c r="F479" s="649" t="s">
        <v>15</v>
      </c>
      <c r="G479" s="652"/>
      <c r="H479" s="501"/>
      <c r="I479" s="652"/>
      <c r="J479" s="501"/>
      <c r="K479" s="501"/>
      <c r="L479" s="694" t="s">
        <v>958</v>
      </c>
    </row>
    <row r="480" spans="3:13">
      <c r="C480" s="743"/>
      <c r="D480" s="683" t="s">
        <v>849</v>
      </c>
      <c r="E480" s="501">
        <f>E479/2</f>
        <v>1365</v>
      </c>
      <c r="F480" s="649" t="s">
        <v>15</v>
      </c>
      <c r="G480" s="652"/>
      <c r="H480" s="501"/>
      <c r="I480" s="652"/>
      <c r="J480" s="501"/>
      <c r="K480" s="501"/>
      <c r="L480" s="694" t="s">
        <v>958</v>
      </c>
      <c r="M480" s="745"/>
    </row>
    <row r="481" spans="3:12">
      <c r="C481" s="743"/>
      <c r="D481" s="683" t="s">
        <v>850</v>
      </c>
      <c r="E481" s="501">
        <v>150</v>
      </c>
      <c r="F481" s="649" t="s">
        <v>15</v>
      </c>
      <c r="G481" s="652"/>
      <c r="H481" s="501"/>
      <c r="I481" s="652"/>
      <c r="J481" s="501"/>
      <c r="K481" s="501"/>
      <c r="L481" s="694" t="s">
        <v>958</v>
      </c>
    </row>
    <row r="482" spans="3:12">
      <c r="C482" s="743"/>
      <c r="D482" s="683" t="s">
        <v>879</v>
      </c>
      <c r="E482" s="501">
        <v>150</v>
      </c>
      <c r="F482" s="649" t="s">
        <v>15</v>
      </c>
      <c r="G482" s="652"/>
      <c r="H482" s="501"/>
      <c r="I482" s="652"/>
      <c r="J482" s="501"/>
      <c r="K482" s="501"/>
      <c r="L482" s="694" t="s">
        <v>958</v>
      </c>
    </row>
    <row r="483" spans="3:12">
      <c r="C483" s="743"/>
      <c r="D483" s="683" t="s">
        <v>880</v>
      </c>
      <c r="E483" s="501">
        <v>150</v>
      </c>
      <c r="F483" s="649" t="s">
        <v>15</v>
      </c>
      <c r="G483" s="652"/>
      <c r="H483" s="501"/>
      <c r="I483" s="652"/>
      <c r="J483" s="501"/>
      <c r="K483" s="501"/>
      <c r="L483" s="694" t="s">
        <v>958</v>
      </c>
    </row>
    <row r="484" spans="3:12">
      <c r="C484" s="743"/>
      <c r="D484" s="683" t="s">
        <v>881</v>
      </c>
      <c r="E484" s="501">
        <v>150</v>
      </c>
      <c r="F484" s="649" t="s">
        <v>15</v>
      </c>
      <c r="G484" s="652"/>
      <c r="H484" s="501"/>
      <c r="I484" s="652"/>
      <c r="J484" s="501"/>
      <c r="K484" s="501"/>
      <c r="L484" s="694" t="s">
        <v>958</v>
      </c>
    </row>
    <row r="485" spans="3:12">
      <c r="C485" s="743"/>
      <c r="D485" s="683" t="s">
        <v>882</v>
      </c>
      <c r="E485" s="501">
        <v>150</v>
      </c>
      <c r="F485" s="649" t="s">
        <v>15</v>
      </c>
      <c r="G485" s="652"/>
      <c r="H485" s="501"/>
      <c r="I485" s="652"/>
      <c r="J485" s="501"/>
      <c r="K485" s="501"/>
      <c r="L485" s="694" t="s">
        <v>958</v>
      </c>
    </row>
    <row r="486" spans="3:12">
      <c r="C486" s="743"/>
      <c r="D486" s="683" t="s">
        <v>883</v>
      </c>
      <c r="E486" s="501">
        <v>192</v>
      </c>
      <c r="F486" s="649" t="s">
        <v>15</v>
      </c>
      <c r="G486" s="652"/>
      <c r="H486" s="501"/>
      <c r="I486" s="652"/>
      <c r="J486" s="501"/>
      <c r="K486" s="501"/>
      <c r="L486" s="694" t="s">
        <v>958</v>
      </c>
    </row>
    <row r="487" spans="3:12">
      <c r="C487" s="743"/>
      <c r="D487" s="683" t="s">
        <v>884</v>
      </c>
      <c r="E487" s="501">
        <v>432</v>
      </c>
      <c r="F487" s="649" t="s">
        <v>15</v>
      </c>
      <c r="G487" s="652"/>
      <c r="H487" s="501"/>
      <c r="I487" s="652"/>
      <c r="J487" s="501"/>
      <c r="K487" s="501"/>
      <c r="L487" s="694" t="s">
        <v>958</v>
      </c>
    </row>
    <row r="488" spans="3:12">
      <c r="C488" s="743"/>
      <c r="D488" s="683" t="s">
        <v>1087</v>
      </c>
      <c r="E488" s="501">
        <v>120</v>
      </c>
      <c r="F488" s="649" t="s">
        <v>15</v>
      </c>
      <c r="G488" s="652"/>
      <c r="H488" s="501"/>
      <c r="I488" s="652"/>
      <c r="J488" s="501"/>
      <c r="K488" s="501"/>
      <c r="L488" s="694" t="s">
        <v>1345</v>
      </c>
    </row>
    <row r="489" spans="3:12">
      <c r="C489" s="743"/>
      <c r="D489" s="683" t="s">
        <v>774</v>
      </c>
      <c r="E489" s="501">
        <f>E479/2</f>
        <v>1365</v>
      </c>
      <c r="F489" s="649" t="s">
        <v>15</v>
      </c>
      <c r="G489" s="652"/>
      <c r="H489" s="501"/>
      <c r="I489" s="652"/>
      <c r="J489" s="501"/>
      <c r="K489" s="501"/>
      <c r="L489" s="694" t="s">
        <v>958</v>
      </c>
    </row>
    <row r="490" spans="3:12">
      <c r="C490" s="743"/>
      <c r="D490" s="683" t="s">
        <v>775</v>
      </c>
      <c r="E490" s="501">
        <f>E489/2</f>
        <v>682.5</v>
      </c>
      <c r="F490" s="649" t="s">
        <v>15</v>
      </c>
      <c r="G490" s="652"/>
      <c r="H490" s="501"/>
      <c r="I490" s="652"/>
      <c r="J490" s="501"/>
      <c r="K490" s="501"/>
      <c r="L490" s="694" t="s">
        <v>958</v>
      </c>
    </row>
    <row r="491" spans="3:12">
      <c r="C491" s="743"/>
      <c r="D491" s="683" t="s">
        <v>885</v>
      </c>
      <c r="E491" s="501">
        <v>125</v>
      </c>
      <c r="F491" s="649" t="s">
        <v>15</v>
      </c>
      <c r="G491" s="652"/>
      <c r="H491" s="501"/>
      <c r="I491" s="652"/>
      <c r="J491" s="501"/>
      <c r="K491" s="501"/>
      <c r="L491" s="669" t="s">
        <v>958</v>
      </c>
    </row>
    <row r="492" spans="3:12">
      <c r="C492" s="743"/>
      <c r="D492" s="683" t="s">
        <v>886</v>
      </c>
      <c r="E492" s="501">
        <v>100</v>
      </c>
      <c r="F492" s="649" t="s">
        <v>15</v>
      </c>
      <c r="G492" s="652"/>
      <c r="H492" s="501"/>
      <c r="I492" s="652"/>
      <c r="J492" s="501"/>
      <c r="K492" s="501"/>
      <c r="L492" s="669" t="s">
        <v>958</v>
      </c>
    </row>
    <row r="493" spans="3:12">
      <c r="C493" s="743"/>
      <c r="D493" s="683" t="s">
        <v>887</v>
      </c>
      <c r="E493" s="501">
        <v>100</v>
      </c>
      <c r="F493" s="649" t="s">
        <v>15</v>
      </c>
      <c r="G493" s="652"/>
      <c r="H493" s="501"/>
      <c r="I493" s="652"/>
      <c r="J493" s="501"/>
      <c r="K493" s="501"/>
      <c r="L493" s="669" t="s">
        <v>958</v>
      </c>
    </row>
    <row r="494" spans="3:12">
      <c r="C494" s="743"/>
      <c r="D494" s="683" t="s">
        <v>1086</v>
      </c>
      <c r="E494" s="501">
        <v>84</v>
      </c>
      <c r="F494" s="649" t="s">
        <v>15</v>
      </c>
      <c r="G494" s="652"/>
      <c r="H494" s="501"/>
      <c r="I494" s="652"/>
      <c r="J494" s="501"/>
      <c r="K494" s="501"/>
      <c r="L494" s="669" t="s">
        <v>1345</v>
      </c>
    </row>
    <row r="495" spans="3:12">
      <c r="C495" s="743"/>
      <c r="D495" s="683" t="s">
        <v>1108</v>
      </c>
      <c r="E495" s="501">
        <v>284</v>
      </c>
      <c r="F495" s="649" t="s">
        <v>15</v>
      </c>
      <c r="G495" s="652"/>
      <c r="H495" s="501"/>
      <c r="I495" s="652"/>
      <c r="J495" s="501"/>
      <c r="K495" s="501"/>
      <c r="L495" s="669" t="s">
        <v>1358</v>
      </c>
    </row>
    <row r="496" spans="3:12">
      <c r="C496" s="743"/>
      <c r="D496" s="683" t="s">
        <v>771</v>
      </c>
      <c r="E496" s="501">
        <v>1</v>
      </c>
      <c r="F496" s="649" t="s">
        <v>16</v>
      </c>
      <c r="G496" s="652"/>
      <c r="H496" s="501"/>
      <c r="I496" s="652"/>
      <c r="J496" s="501"/>
      <c r="K496" s="501"/>
      <c r="L496" s="565" t="s">
        <v>959</v>
      </c>
    </row>
    <row r="497" spans="3:12">
      <c r="C497" s="724"/>
      <c r="D497" s="681"/>
      <c r="E497" s="649"/>
      <c r="F497" s="506"/>
      <c r="G497" s="652"/>
      <c r="H497" s="501"/>
      <c r="I497" s="652"/>
      <c r="J497" s="501"/>
      <c r="K497" s="501"/>
      <c r="L497" s="669"/>
    </row>
    <row r="498" spans="3:12">
      <c r="C498" s="724"/>
      <c r="D498" s="681"/>
      <c r="E498" s="649"/>
      <c r="F498" s="506"/>
      <c r="G498" s="652"/>
      <c r="H498" s="501"/>
      <c r="I498" s="652"/>
      <c r="J498" s="501"/>
      <c r="K498" s="501"/>
      <c r="L498" s="669"/>
    </row>
    <row r="499" spans="3:12">
      <c r="C499" s="743"/>
      <c r="D499" s="683" t="s">
        <v>776</v>
      </c>
      <c r="E499" s="501"/>
      <c r="F499" s="649"/>
      <c r="G499" s="652"/>
      <c r="H499" s="501"/>
      <c r="I499" s="652"/>
      <c r="J499" s="501"/>
      <c r="K499" s="501"/>
      <c r="L499" s="669"/>
    </row>
    <row r="500" spans="3:12">
      <c r="C500" s="743"/>
      <c r="D500" s="683"/>
      <c r="E500" s="501"/>
      <c r="F500" s="649"/>
      <c r="G500" s="652"/>
      <c r="H500" s="501"/>
      <c r="I500" s="652"/>
      <c r="J500" s="501"/>
      <c r="K500" s="501"/>
      <c r="L500" s="669"/>
    </row>
    <row r="501" spans="3:12">
      <c r="C501" s="743"/>
      <c r="D501" s="683" t="s">
        <v>1368</v>
      </c>
      <c r="E501" s="501"/>
      <c r="F501" s="649"/>
      <c r="G501" s="652"/>
      <c r="H501" s="501"/>
      <c r="I501" s="652"/>
      <c r="J501" s="501"/>
      <c r="K501" s="501"/>
      <c r="L501" s="669" t="s">
        <v>1344</v>
      </c>
    </row>
    <row r="502" spans="3:12">
      <c r="C502" s="743"/>
      <c r="D502" s="683" t="s">
        <v>1367</v>
      </c>
      <c r="E502" s="501">
        <v>1</v>
      </c>
      <c r="F502" s="649" t="s">
        <v>778</v>
      </c>
      <c r="G502" s="652"/>
      <c r="H502" s="501"/>
      <c r="I502" s="652"/>
      <c r="J502" s="501"/>
      <c r="K502" s="501"/>
      <c r="L502" s="669" t="s">
        <v>1344</v>
      </c>
    </row>
    <row r="503" spans="3:12">
      <c r="C503" s="743"/>
      <c r="D503" s="683" t="s">
        <v>1210</v>
      </c>
      <c r="E503" s="501">
        <v>1</v>
      </c>
      <c r="F503" s="649" t="s">
        <v>778</v>
      </c>
      <c r="G503" s="652"/>
      <c r="H503" s="501"/>
      <c r="I503" s="652"/>
      <c r="J503" s="501"/>
      <c r="K503" s="501"/>
      <c r="L503" s="669" t="s">
        <v>1344</v>
      </c>
    </row>
    <row r="504" spans="3:12">
      <c r="C504" s="743"/>
      <c r="D504" s="683" t="s">
        <v>771</v>
      </c>
      <c r="E504" s="501">
        <v>1</v>
      </c>
      <c r="F504" s="649" t="s">
        <v>16</v>
      </c>
      <c r="G504" s="652"/>
      <c r="H504" s="501"/>
      <c r="I504" s="652"/>
      <c r="J504" s="501"/>
      <c r="K504" s="501"/>
      <c r="L504" s="565" t="s">
        <v>959</v>
      </c>
    </row>
    <row r="505" spans="3:12">
      <c r="C505" s="506"/>
      <c r="D505" s="683"/>
      <c r="E505" s="501"/>
      <c r="F505" s="649"/>
      <c r="G505" s="652"/>
      <c r="H505" s="501"/>
      <c r="I505" s="652"/>
      <c r="J505" s="501"/>
      <c r="K505" s="501"/>
      <c r="L505" s="669"/>
    </row>
    <row r="506" spans="3:12">
      <c r="C506" s="746"/>
      <c r="D506" s="683" t="s">
        <v>1369</v>
      </c>
      <c r="E506" s="501"/>
      <c r="F506" s="649"/>
      <c r="G506" s="652"/>
      <c r="H506" s="501"/>
      <c r="I506" s="652"/>
      <c r="J506" s="501"/>
      <c r="K506" s="501"/>
      <c r="L506" s="669"/>
    </row>
    <row r="507" spans="3:12">
      <c r="C507" s="506"/>
      <c r="D507" s="557"/>
      <c r="E507" s="501"/>
      <c r="F507" s="649"/>
      <c r="G507" s="652"/>
      <c r="H507" s="501"/>
      <c r="I507" s="652"/>
      <c r="J507" s="501"/>
      <c r="K507" s="501"/>
      <c r="L507" s="669"/>
    </row>
    <row r="508" spans="3:12">
      <c r="C508" s="506"/>
      <c r="D508" s="557" t="s">
        <v>779</v>
      </c>
      <c r="E508" s="501"/>
      <c r="F508" s="649"/>
      <c r="G508" s="652"/>
      <c r="H508" s="501"/>
      <c r="I508" s="652"/>
      <c r="J508" s="501"/>
      <c r="K508" s="501"/>
      <c r="L508" s="669"/>
    </row>
    <row r="509" spans="3:12">
      <c r="C509" s="746"/>
      <c r="D509" s="557" t="s">
        <v>780</v>
      </c>
      <c r="E509" s="501">
        <v>11</v>
      </c>
      <c r="F509" s="649" t="s">
        <v>16</v>
      </c>
      <c r="G509" s="652"/>
      <c r="H509" s="501"/>
      <c r="I509" s="652"/>
      <c r="J509" s="501"/>
      <c r="K509" s="501"/>
      <c r="L509" s="669" t="s">
        <v>1387</v>
      </c>
    </row>
    <row r="510" spans="3:12">
      <c r="C510" s="746"/>
      <c r="D510" s="557" t="s">
        <v>781</v>
      </c>
      <c r="E510" s="501">
        <v>540</v>
      </c>
      <c r="F510" s="649" t="s">
        <v>15</v>
      </c>
      <c r="G510" s="652"/>
      <c r="H510" s="501"/>
      <c r="I510" s="652"/>
      <c r="J510" s="501"/>
      <c r="K510" s="501"/>
      <c r="L510" s="669" t="s">
        <v>1387</v>
      </c>
    </row>
    <row r="511" spans="3:12">
      <c r="C511" s="746"/>
      <c r="D511" s="557" t="s">
        <v>1349</v>
      </c>
      <c r="E511" s="501">
        <v>4</v>
      </c>
      <c r="F511" s="649" t="s">
        <v>16</v>
      </c>
      <c r="G511" s="652"/>
      <c r="H511" s="501"/>
      <c r="I511" s="652"/>
      <c r="J511" s="501"/>
      <c r="K511" s="501"/>
      <c r="L511" s="669" t="s">
        <v>1387</v>
      </c>
    </row>
    <row r="512" spans="3:12">
      <c r="C512" s="746"/>
      <c r="D512" s="557" t="s">
        <v>1324</v>
      </c>
      <c r="E512" s="501">
        <v>65</v>
      </c>
      <c r="F512" s="649" t="s">
        <v>15</v>
      </c>
      <c r="G512" s="652"/>
      <c r="H512" s="501"/>
      <c r="I512" s="652"/>
      <c r="J512" s="501"/>
      <c r="K512" s="501"/>
      <c r="L512" s="669" t="s">
        <v>1387</v>
      </c>
    </row>
    <row r="513" spans="3:13">
      <c r="C513" s="746"/>
      <c r="D513" s="557" t="s">
        <v>1351</v>
      </c>
      <c r="E513" s="501">
        <v>12</v>
      </c>
      <c r="F513" s="649" t="s">
        <v>16</v>
      </c>
      <c r="G513" s="652"/>
      <c r="H513" s="501"/>
      <c r="I513" s="652"/>
      <c r="J513" s="501"/>
      <c r="K513" s="501"/>
      <c r="L513" s="694"/>
    </row>
    <row r="514" spans="3:13">
      <c r="C514" s="746"/>
      <c r="D514" s="557" t="s">
        <v>1366</v>
      </c>
      <c r="E514" s="501">
        <f>12</f>
        <v>12</v>
      </c>
      <c r="F514" s="649"/>
      <c r="G514" s="652"/>
      <c r="H514" s="501"/>
      <c r="I514" s="652"/>
      <c r="J514" s="501"/>
      <c r="K514" s="501"/>
      <c r="L514" s="747"/>
    </row>
    <row r="515" spans="3:13">
      <c r="C515" s="746"/>
      <c r="D515" s="557" t="s">
        <v>771</v>
      </c>
      <c r="E515" s="501">
        <v>1</v>
      </c>
      <c r="F515" s="649" t="s">
        <v>16</v>
      </c>
      <c r="G515" s="652"/>
      <c r="H515" s="501"/>
      <c r="I515" s="652"/>
      <c r="J515" s="501"/>
      <c r="K515" s="501"/>
      <c r="L515" s="565" t="s">
        <v>959</v>
      </c>
    </row>
    <row r="516" spans="3:13">
      <c r="C516" s="724"/>
      <c r="D516" s="681"/>
      <c r="E516" s="649"/>
      <c r="F516" s="506"/>
      <c r="G516" s="652"/>
      <c r="H516" s="501"/>
      <c r="I516" s="652"/>
      <c r="J516" s="501"/>
      <c r="K516" s="501"/>
      <c r="L516" s="669"/>
    </row>
    <row r="517" spans="3:13">
      <c r="C517" s="746"/>
      <c r="D517" s="506" t="s">
        <v>782</v>
      </c>
      <c r="E517" s="501"/>
      <c r="F517" s="649"/>
      <c r="G517" s="652"/>
      <c r="H517" s="501"/>
      <c r="I517" s="652"/>
      <c r="J517" s="501"/>
      <c r="K517" s="501"/>
      <c r="L517" s="669"/>
    </row>
    <row r="518" spans="3:13">
      <c r="C518" s="743"/>
      <c r="D518" s="683"/>
      <c r="E518" s="501"/>
      <c r="F518" s="649"/>
      <c r="G518" s="652"/>
      <c r="H518" s="501"/>
      <c r="I518" s="652"/>
      <c r="J518" s="501"/>
      <c r="K518" s="501"/>
      <c r="L518" s="669"/>
    </row>
    <row r="519" spans="3:13">
      <c r="C519" s="506" t="s">
        <v>854</v>
      </c>
      <c r="D519" s="683" t="s">
        <v>855</v>
      </c>
      <c r="E519" s="501"/>
      <c r="F519" s="649"/>
      <c r="G519" s="652"/>
      <c r="H519" s="501"/>
      <c r="I519" s="652"/>
      <c r="J519" s="501"/>
      <c r="K519" s="501"/>
      <c r="L519" s="694"/>
    </row>
    <row r="520" spans="3:13">
      <c r="C520" s="506"/>
      <c r="D520" s="683" t="s">
        <v>938</v>
      </c>
      <c r="E520" s="501"/>
      <c r="F520" s="649"/>
      <c r="G520" s="652"/>
      <c r="H520" s="501"/>
      <c r="I520" s="652"/>
      <c r="J520" s="501"/>
      <c r="K520" s="501"/>
      <c r="L520" s="694"/>
    </row>
    <row r="521" spans="3:13">
      <c r="C521" s="743"/>
      <c r="D521" s="683" t="s">
        <v>856</v>
      </c>
      <c r="E521" s="501">
        <v>36</v>
      </c>
      <c r="F521" s="649" t="s">
        <v>16</v>
      </c>
      <c r="G521" s="652"/>
      <c r="H521" s="501"/>
      <c r="I521" s="652"/>
      <c r="J521" s="501"/>
      <c r="K521" s="501"/>
      <c r="L521" s="669" t="s">
        <v>1387</v>
      </c>
    </row>
    <row r="522" spans="3:13">
      <c r="C522" s="743"/>
      <c r="D522" s="683" t="s">
        <v>857</v>
      </c>
      <c r="E522" s="501">
        <v>7</v>
      </c>
      <c r="F522" s="649" t="s">
        <v>16</v>
      </c>
      <c r="G522" s="652"/>
      <c r="H522" s="501"/>
      <c r="I522" s="652"/>
      <c r="J522" s="501"/>
      <c r="K522" s="501"/>
      <c r="L522" s="669" t="s">
        <v>1387</v>
      </c>
    </row>
    <row r="523" spans="3:13">
      <c r="C523" s="743"/>
      <c r="D523" s="683" t="s">
        <v>939</v>
      </c>
      <c r="E523" s="501">
        <v>1</v>
      </c>
      <c r="F523" s="649" t="s">
        <v>16</v>
      </c>
      <c r="G523" s="652"/>
      <c r="H523" s="501"/>
      <c r="I523" s="652"/>
      <c r="J523" s="501"/>
      <c r="K523" s="501"/>
      <c r="L523" s="694" t="s">
        <v>1344</v>
      </c>
    </row>
    <row r="524" spans="3:13">
      <c r="C524" s="743"/>
      <c r="D524" s="683" t="s">
        <v>940</v>
      </c>
      <c r="E524" s="501">
        <v>4</v>
      </c>
      <c r="F524" s="649" t="s">
        <v>16</v>
      </c>
      <c r="G524" s="652"/>
      <c r="H524" s="501"/>
      <c r="I524" s="652"/>
      <c r="J524" s="501"/>
      <c r="K524" s="501"/>
      <c r="L524" s="694" t="s">
        <v>1344</v>
      </c>
      <c r="M524" s="748"/>
    </row>
    <row r="525" spans="3:13">
      <c r="C525" s="743"/>
      <c r="D525" s="683" t="s">
        <v>941</v>
      </c>
      <c r="E525" s="501">
        <v>24</v>
      </c>
      <c r="F525" s="649" t="s">
        <v>16</v>
      </c>
      <c r="G525" s="652"/>
      <c r="H525" s="501"/>
      <c r="I525" s="652"/>
      <c r="J525" s="501"/>
      <c r="K525" s="501"/>
      <c r="L525" s="694" t="s">
        <v>1344</v>
      </c>
    </row>
    <row r="526" spans="3:13">
      <c r="C526" s="743"/>
      <c r="D526" s="683" t="s">
        <v>1347</v>
      </c>
      <c r="E526" s="501">
        <v>1</v>
      </c>
      <c r="F526" s="649" t="s">
        <v>16</v>
      </c>
      <c r="G526" s="652"/>
      <c r="H526" s="501"/>
      <c r="I526" s="652"/>
      <c r="J526" s="501"/>
      <c r="K526" s="501"/>
      <c r="L526" s="694" t="s">
        <v>1344</v>
      </c>
    </row>
    <row r="527" spans="3:13">
      <c r="C527" s="743"/>
      <c r="D527" s="683" t="s">
        <v>942</v>
      </c>
      <c r="E527" s="501">
        <v>1</v>
      </c>
      <c r="F527" s="649" t="s">
        <v>16</v>
      </c>
      <c r="G527" s="652"/>
      <c r="H527" s="501"/>
      <c r="I527" s="652"/>
      <c r="J527" s="501"/>
      <c r="K527" s="501"/>
      <c r="L527" s="694" t="s">
        <v>1344</v>
      </c>
    </row>
    <row r="528" spans="3:13">
      <c r="C528" s="743"/>
      <c r="D528" s="683" t="s">
        <v>943</v>
      </c>
      <c r="E528" s="501">
        <v>2</v>
      </c>
      <c r="F528" s="649" t="s">
        <v>16</v>
      </c>
      <c r="G528" s="652"/>
      <c r="H528" s="501"/>
      <c r="I528" s="652"/>
      <c r="J528" s="501"/>
      <c r="K528" s="501"/>
      <c r="L528" s="694" t="s">
        <v>1344</v>
      </c>
    </row>
    <row r="529" spans="3:12">
      <c r="C529" s="743"/>
      <c r="D529" s="683" t="s">
        <v>944</v>
      </c>
      <c r="E529" s="501">
        <v>4</v>
      </c>
      <c r="F529" s="649" t="s">
        <v>16</v>
      </c>
      <c r="G529" s="652"/>
      <c r="H529" s="501"/>
      <c r="I529" s="652"/>
      <c r="J529" s="501"/>
      <c r="K529" s="501"/>
      <c r="L529" s="694" t="s">
        <v>1344</v>
      </c>
    </row>
    <row r="530" spans="3:12">
      <c r="C530" s="743"/>
      <c r="D530" s="683" t="s">
        <v>945</v>
      </c>
      <c r="E530" s="501">
        <v>59</v>
      </c>
      <c r="F530" s="649" t="s">
        <v>16</v>
      </c>
      <c r="G530" s="652"/>
      <c r="H530" s="501"/>
      <c r="I530" s="652"/>
      <c r="J530" s="501"/>
      <c r="K530" s="501"/>
      <c r="L530" s="694" t="s">
        <v>1344</v>
      </c>
    </row>
    <row r="531" spans="3:12">
      <c r="C531" s="743"/>
      <c r="D531" s="683" t="s">
        <v>946</v>
      </c>
      <c r="E531" s="501">
        <v>3</v>
      </c>
      <c r="F531" s="649" t="s">
        <v>16</v>
      </c>
      <c r="G531" s="652"/>
      <c r="H531" s="501"/>
      <c r="I531" s="652"/>
      <c r="J531" s="501"/>
      <c r="K531" s="501"/>
      <c r="L531" s="669" t="s">
        <v>1387</v>
      </c>
    </row>
    <row r="532" spans="3:12">
      <c r="C532" s="743"/>
      <c r="D532" s="683" t="s">
        <v>947</v>
      </c>
      <c r="E532" s="501"/>
      <c r="F532" s="649"/>
      <c r="G532" s="652"/>
      <c r="H532" s="501"/>
      <c r="I532" s="652"/>
      <c r="J532" s="501"/>
      <c r="K532" s="501"/>
      <c r="L532" s="694"/>
    </row>
    <row r="533" spans="3:12">
      <c r="C533" s="743"/>
      <c r="D533" s="683" t="s">
        <v>858</v>
      </c>
      <c r="E533" s="501">
        <v>31</v>
      </c>
      <c r="F533" s="649" t="s">
        <v>16</v>
      </c>
      <c r="G533" s="652"/>
      <c r="H533" s="501"/>
      <c r="I533" s="652"/>
      <c r="J533" s="501"/>
      <c r="K533" s="501"/>
      <c r="L533" s="669" t="s">
        <v>1387</v>
      </c>
    </row>
    <row r="534" spans="3:12">
      <c r="C534" s="743"/>
      <c r="D534" s="683" t="s">
        <v>948</v>
      </c>
      <c r="E534" s="501">
        <v>1</v>
      </c>
      <c r="F534" s="649" t="s">
        <v>16</v>
      </c>
      <c r="G534" s="652"/>
      <c r="H534" s="501"/>
      <c r="I534" s="652"/>
      <c r="J534" s="501"/>
      <c r="K534" s="501"/>
      <c r="L534" s="694" t="s">
        <v>1344</v>
      </c>
    </row>
    <row r="535" spans="3:12">
      <c r="C535" s="743"/>
      <c r="D535" s="683" t="s">
        <v>949</v>
      </c>
      <c r="E535" s="501">
        <v>1</v>
      </c>
      <c r="F535" s="649" t="s">
        <v>16</v>
      </c>
      <c r="G535" s="652"/>
      <c r="H535" s="501"/>
      <c r="I535" s="652"/>
      <c r="J535" s="501"/>
      <c r="K535" s="501"/>
      <c r="L535" s="694" t="s">
        <v>1344</v>
      </c>
    </row>
    <row r="536" spans="3:12">
      <c r="C536" s="743"/>
      <c r="D536" s="683" t="s">
        <v>950</v>
      </c>
      <c r="E536" s="501">
        <v>4</v>
      </c>
      <c r="F536" s="649" t="s">
        <v>16</v>
      </c>
      <c r="G536" s="652"/>
      <c r="H536" s="501"/>
      <c r="I536" s="652"/>
      <c r="J536" s="501"/>
      <c r="K536" s="501"/>
      <c r="L536" s="694" t="s">
        <v>1344</v>
      </c>
    </row>
    <row r="537" spans="3:12">
      <c r="C537" s="743"/>
      <c r="D537" s="683" t="s">
        <v>951</v>
      </c>
      <c r="E537" s="501">
        <v>1</v>
      </c>
      <c r="F537" s="649" t="s">
        <v>16</v>
      </c>
      <c r="G537" s="652"/>
      <c r="H537" s="501"/>
      <c r="I537" s="652"/>
      <c r="J537" s="501"/>
      <c r="K537" s="501"/>
      <c r="L537" s="694" t="s">
        <v>1344</v>
      </c>
    </row>
    <row r="538" spans="3:12">
      <c r="C538" s="743"/>
      <c r="D538" s="683" t="s">
        <v>952</v>
      </c>
      <c r="E538" s="501">
        <v>6</v>
      </c>
      <c r="F538" s="649" t="s">
        <v>16</v>
      </c>
      <c r="G538" s="652"/>
      <c r="H538" s="501"/>
      <c r="I538" s="652"/>
      <c r="J538" s="501"/>
      <c r="K538" s="501"/>
      <c r="L538" s="694" t="s">
        <v>1344</v>
      </c>
    </row>
    <row r="539" spans="3:12">
      <c r="C539" s="743"/>
      <c r="D539" s="683" t="s">
        <v>943</v>
      </c>
      <c r="E539" s="501">
        <v>1</v>
      </c>
      <c r="F539" s="649" t="s">
        <v>16</v>
      </c>
      <c r="G539" s="652"/>
      <c r="H539" s="501"/>
      <c r="I539" s="652"/>
      <c r="J539" s="501"/>
      <c r="K539" s="501"/>
      <c r="L539" s="694" t="s">
        <v>1344</v>
      </c>
    </row>
    <row r="540" spans="3:12">
      <c r="C540" s="743"/>
      <c r="D540" s="683" t="s">
        <v>953</v>
      </c>
      <c r="E540" s="501"/>
      <c r="F540" s="649"/>
      <c r="G540" s="652"/>
      <c r="H540" s="501"/>
      <c r="I540" s="652"/>
      <c r="J540" s="501"/>
      <c r="K540" s="501"/>
      <c r="L540" s="694"/>
    </row>
    <row r="541" spans="3:12">
      <c r="C541" s="743"/>
      <c r="D541" s="683" t="s">
        <v>859</v>
      </c>
      <c r="E541" s="501">
        <v>8</v>
      </c>
      <c r="F541" s="649" t="s">
        <v>16</v>
      </c>
      <c r="G541" s="652"/>
      <c r="H541" s="501"/>
      <c r="I541" s="652"/>
      <c r="J541" s="501"/>
      <c r="K541" s="501"/>
      <c r="L541" s="694" t="s">
        <v>1344</v>
      </c>
    </row>
    <row r="542" spans="3:12">
      <c r="C542" s="743"/>
      <c r="D542" s="683" t="s">
        <v>954</v>
      </c>
      <c r="E542" s="501">
        <v>1</v>
      </c>
      <c r="F542" s="649" t="s">
        <v>16</v>
      </c>
      <c r="G542" s="652"/>
      <c r="H542" s="501"/>
      <c r="I542" s="652"/>
      <c r="J542" s="501"/>
      <c r="K542" s="501"/>
      <c r="L542" s="694" t="s">
        <v>1344</v>
      </c>
    </row>
    <row r="543" spans="3:12">
      <c r="C543" s="743"/>
      <c r="D543" s="683" t="s">
        <v>955</v>
      </c>
      <c r="E543" s="501">
        <v>1</v>
      </c>
      <c r="F543" s="649" t="s">
        <v>16</v>
      </c>
      <c r="G543" s="652"/>
      <c r="H543" s="501"/>
      <c r="I543" s="652"/>
      <c r="J543" s="501"/>
      <c r="K543" s="501"/>
      <c r="L543" s="694" t="s">
        <v>1344</v>
      </c>
    </row>
    <row r="544" spans="3:12">
      <c r="C544" s="743"/>
      <c r="D544" s="683" t="s">
        <v>956</v>
      </c>
      <c r="E544" s="501">
        <v>1</v>
      </c>
      <c r="F544" s="649" t="s">
        <v>16</v>
      </c>
      <c r="G544" s="652"/>
      <c r="H544" s="501"/>
      <c r="I544" s="652"/>
      <c r="J544" s="501"/>
      <c r="K544" s="501"/>
      <c r="L544" s="694" t="s">
        <v>1344</v>
      </c>
    </row>
    <row r="545" spans="3:12">
      <c r="C545" s="743"/>
      <c r="D545" s="683" t="s">
        <v>943</v>
      </c>
      <c r="E545" s="501">
        <v>1</v>
      </c>
      <c r="F545" s="649" t="s">
        <v>15</v>
      </c>
      <c r="G545" s="652"/>
      <c r="H545" s="501"/>
      <c r="I545" s="652"/>
      <c r="J545" s="501"/>
      <c r="K545" s="501"/>
      <c r="L545" s="694" t="s">
        <v>1344</v>
      </c>
    </row>
    <row r="546" spans="3:12">
      <c r="C546" s="743"/>
      <c r="D546" s="749" t="s">
        <v>973</v>
      </c>
      <c r="E546" s="463"/>
      <c r="F546" s="649"/>
      <c r="G546" s="667"/>
      <c r="H546" s="501"/>
      <c r="I546" s="667"/>
      <c r="J546" s="501"/>
      <c r="K546" s="501"/>
      <c r="L546" s="668"/>
    </row>
    <row r="547" spans="3:12">
      <c r="C547" s="743"/>
      <c r="D547" s="683" t="s">
        <v>860</v>
      </c>
      <c r="E547" s="501">
        <v>1000</v>
      </c>
      <c r="F547" s="649" t="s">
        <v>15</v>
      </c>
      <c r="G547" s="652"/>
      <c r="H547" s="501"/>
      <c r="I547" s="652"/>
      <c r="J547" s="501"/>
      <c r="K547" s="501"/>
      <c r="L547" s="669" t="s">
        <v>1387</v>
      </c>
    </row>
    <row r="548" spans="3:12">
      <c r="C548" s="743"/>
      <c r="D548" s="683" t="s">
        <v>861</v>
      </c>
      <c r="E548" s="501">
        <v>530</v>
      </c>
      <c r="F548" s="649" t="s">
        <v>15</v>
      </c>
      <c r="G548" s="652"/>
      <c r="H548" s="501"/>
      <c r="I548" s="652"/>
      <c r="J548" s="501"/>
      <c r="K548" s="501"/>
      <c r="L548" s="669" t="s">
        <v>1387</v>
      </c>
    </row>
    <row r="549" spans="3:12">
      <c r="C549" s="743"/>
      <c r="D549" s="683" t="s">
        <v>1348</v>
      </c>
      <c r="E549" s="501">
        <v>20</v>
      </c>
      <c r="F549" s="649" t="s">
        <v>15</v>
      </c>
      <c r="G549" s="652"/>
      <c r="H549" s="501"/>
      <c r="I549" s="652"/>
      <c r="J549" s="501"/>
      <c r="K549" s="501"/>
      <c r="L549" s="669" t="s">
        <v>1387</v>
      </c>
    </row>
    <row r="550" spans="3:12">
      <c r="C550" s="743"/>
      <c r="D550" s="683" t="s">
        <v>862</v>
      </c>
      <c r="E550" s="501">
        <v>30</v>
      </c>
      <c r="F550" s="649" t="s">
        <v>15</v>
      </c>
      <c r="G550" s="652"/>
      <c r="H550" s="501"/>
      <c r="I550" s="652"/>
      <c r="J550" s="501"/>
      <c r="K550" s="501"/>
      <c r="L550" s="669" t="s">
        <v>1387</v>
      </c>
    </row>
    <row r="551" spans="3:12">
      <c r="C551" s="743"/>
      <c r="D551" s="683" t="s">
        <v>863</v>
      </c>
      <c r="E551" s="501">
        <v>800</v>
      </c>
      <c r="F551" s="649" t="s">
        <v>15</v>
      </c>
      <c r="G551" s="652"/>
      <c r="H551" s="501"/>
      <c r="I551" s="652"/>
      <c r="J551" s="501"/>
      <c r="K551" s="501"/>
      <c r="L551" s="669" t="s">
        <v>1387</v>
      </c>
    </row>
    <row r="552" spans="3:12">
      <c r="C552" s="743"/>
      <c r="D552" s="683" t="s">
        <v>864</v>
      </c>
      <c r="E552" s="501">
        <v>30</v>
      </c>
      <c r="F552" s="649" t="s">
        <v>15</v>
      </c>
      <c r="G552" s="652"/>
      <c r="H552" s="501"/>
      <c r="I552" s="652"/>
      <c r="J552" s="501"/>
      <c r="K552" s="501"/>
      <c r="L552" s="669" t="s">
        <v>1387</v>
      </c>
    </row>
    <row r="553" spans="3:12">
      <c r="C553" s="743"/>
      <c r="D553" s="683" t="s">
        <v>774</v>
      </c>
      <c r="E553" s="501">
        <v>500</v>
      </c>
      <c r="F553" s="649" t="s">
        <v>15</v>
      </c>
      <c r="G553" s="652"/>
      <c r="H553" s="501"/>
      <c r="I553" s="652"/>
      <c r="J553" s="501"/>
      <c r="K553" s="501"/>
      <c r="L553" s="694" t="s">
        <v>958</v>
      </c>
    </row>
    <row r="554" spans="3:12">
      <c r="C554" s="743"/>
      <c r="D554" s="683" t="s">
        <v>1350</v>
      </c>
      <c r="E554" s="501">
        <v>20</v>
      </c>
      <c r="F554" s="649" t="s">
        <v>15</v>
      </c>
      <c r="G554" s="667"/>
      <c r="H554" s="501"/>
      <c r="I554" s="667"/>
      <c r="J554" s="501"/>
      <c r="K554" s="501"/>
      <c r="L554" s="694" t="s">
        <v>1345</v>
      </c>
    </row>
    <row r="555" spans="3:12">
      <c r="C555" s="743"/>
      <c r="D555" s="683" t="s">
        <v>1109</v>
      </c>
      <c r="E555" s="501">
        <v>160</v>
      </c>
      <c r="F555" s="649" t="s">
        <v>15</v>
      </c>
      <c r="G555" s="667"/>
      <c r="H555" s="501"/>
      <c r="I555" s="667"/>
      <c r="J555" s="501"/>
      <c r="K555" s="501"/>
      <c r="L555" s="668" t="s">
        <v>958</v>
      </c>
    </row>
    <row r="556" spans="3:12">
      <c r="C556" s="743"/>
      <c r="D556" s="683" t="s">
        <v>777</v>
      </c>
      <c r="E556" s="501">
        <v>1</v>
      </c>
      <c r="F556" s="649" t="s">
        <v>16</v>
      </c>
      <c r="G556" s="652"/>
      <c r="H556" s="501"/>
      <c r="I556" s="652"/>
      <c r="J556" s="501"/>
      <c r="K556" s="501"/>
      <c r="L556" s="565" t="s">
        <v>959</v>
      </c>
    </row>
    <row r="557" spans="3:12">
      <c r="C557" s="724"/>
      <c r="D557" s="750"/>
      <c r="E557" s="666"/>
      <c r="F557" s="665"/>
      <c r="G557" s="667"/>
      <c r="H557" s="501"/>
      <c r="I557" s="667"/>
      <c r="J557" s="501"/>
      <c r="K557" s="501"/>
      <c r="L557" s="668"/>
    </row>
    <row r="558" spans="3:12">
      <c r="C558" s="506"/>
      <c r="D558" s="749"/>
      <c r="E558" s="463"/>
      <c r="F558" s="666"/>
      <c r="G558" s="667"/>
      <c r="H558" s="501"/>
      <c r="I558" s="667"/>
      <c r="J558" s="501"/>
      <c r="K558" s="501"/>
      <c r="L558" s="668"/>
    </row>
    <row r="559" spans="3:12">
      <c r="C559" s="746"/>
      <c r="D559" s="751" t="s">
        <v>865</v>
      </c>
      <c r="E559" s="463"/>
      <c r="F559" s="463"/>
      <c r="G559" s="667"/>
      <c r="H559" s="501"/>
      <c r="I559" s="652"/>
      <c r="J559" s="501"/>
      <c r="K559" s="501"/>
      <c r="L559" s="668"/>
    </row>
    <row r="560" spans="3:12">
      <c r="C560" s="752"/>
      <c r="D560" s="753"/>
      <c r="E560" s="463"/>
      <c r="F560" s="463"/>
      <c r="G560" s="667"/>
      <c r="H560" s="501"/>
      <c r="I560" s="652"/>
      <c r="J560" s="501"/>
      <c r="K560" s="501"/>
      <c r="L560" s="668"/>
    </row>
    <row r="561" spans="3:12">
      <c r="C561" s="746"/>
      <c r="D561" s="506" t="s">
        <v>808</v>
      </c>
      <c r="E561" s="501"/>
      <c r="F561" s="649"/>
      <c r="G561" s="652"/>
      <c r="H561" s="501"/>
      <c r="I561" s="652"/>
      <c r="J561" s="501"/>
      <c r="K561" s="501"/>
      <c r="L561" s="669"/>
    </row>
    <row r="562" spans="3:12">
      <c r="C562" s="754"/>
      <c r="D562" s="755"/>
      <c r="E562" s="563"/>
      <c r="F562" s="756"/>
      <c r="G562" s="757"/>
      <c r="H562" s="501"/>
      <c r="I562" s="757"/>
      <c r="J562" s="501"/>
      <c r="K562" s="501"/>
      <c r="L562" s="758"/>
    </row>
    <row r="563" spans="3:12">
      <c r="C563" s="506">
        <v>6</v>
      </c>
      <c r="D563" s="759" t="s">
        <v>817</v>
      </c>
      <c r="E563" s="501"/>
      <c r="F563" s="501"/>
      <c r="G563" s="652"/>
      <c r="H563" s="501"/>
      <c r="I563" s="652"/>
      <c r="J563" s="501"/>
      <c r="K563" s="501"/>
      <c r="L563" s="669"/>
    </row>
    <row r="564" spans="3:12">
      <c r="C564" s="506"/>
      <c r="D564" s="683" t="s">
        <v>1318</v>
      </c>
      <c r="E564" s="501"/>
      <c r="F564" s="649"/>
      <c r="G564" s="652"/>
      <c r="H564" s="501"/>
      <c r="I564" s="652"/>
      <c r="J564" s="501"/>
      <c r="K564" s="501"/>
      <c r="L564" s="694"/>
    </row>
    <row r="565" spans="3:12">
      <c r="C565" s="743"/>
      <c r="D565" s="557" t="s">
        <v>957</v>
      </c>
      <c r="E565" s="501">
        <v>1</v>
      </c>
      <c r="F565" s="649" t="s">
        <v>16</v>
      </c>
      <c r="G565" s="652"/>
      <c r="H565" s="501"/>
      <c r="I565" s="686"/>
      <c r="J565" s="501"/>
      <c r="K565" s="501"/>
      <c r="L565" s="694"/>
    </row>
    <row r="566" spans="3:12">
      <c r="C566" s="743"/>
      <c r="D566" s="683" t="s">
        <v>1319</v>
      </c>
      <c r="E566" s="501"/>
      <c r="F566" s="649"/>
      <c r="G566" s="652"/>
      <c r="H566" s="501"/>
      <c r="I566" s="686"/>
      <c r="J566" s="501"/>
      <c r="K566" s="501"/>
      <c r="L566" s="694"/>
    </row>
    <row r="567" spans="3:12">
      <c r="C567" s="743"/>
      <c r="D567" s="557" t="s">
        <v>787</v>
      </c>
      <c r="E567" s="501">
        <v>5</v>
      </c>
      <c r="F567" s="649" t="s">
        <v>16</v>
      </c>
      <c r="G567" s="652"/>
      <c r="H567" s="501"/>
      <c r="I567" s="686"/>
      <c r="J567" s="501"/>
      <c r="K567" s="501"/>
      <c r="L567" s="694"/>
    </row>
    <row r="568" spans="3:12">
      <c r="C568" s="743"/>
      <c r="D568" s="557" t="s">
        <v>1316</v>
      </c>
      <c r="E568" s="501">
        <v>47</v>
      </c>
      <c r="F568" s="649" t="s">
        <v>16</v>
      </c>
      <c r="G568" s="652"/>
      <c r="H568" s="501"/>
      <c r="I568" s="686"/>
      <c r="J568" s="501"/>
      <c r="K568" s="501"/>
      <c r="L568" s="694"/>
    </row>
    <row r="569" spans="3:12">
      <c r="C569" s="743"/>
      <c r="D569" s="683" t="s">
        <v>1320</v>
      </c>
      <c r="E569" s="501"/>
      <c r="F569" s="649"/>
      <c r="G569" s="652"/>
      <c r="H569" s="501"/>
      <c r="I569" s="686"/>
      <c r="J569" s="501"/>
      <c r="K569" s="501"/>
      <c r="L569" s="694"/>
    </row>
    <row r="570" spans="3:12">
      <c r="C570" s="743"/>
      <c r="D570" s="557" t="s">
        <v>1317</v>
      </c>
      <c r="E570" s="501">
        <v>10</v>
      </c>
      <c r="F570" s="649" t="s">
        <v>16</v>
      </c>
      <c r="G570" s="652"/>
      <c r="H570" s="501"/>
      <c r="I570" s="686"/>
      <c r="J570" s="501"/>
      <c r="K570" s="501"/>
      <c r="L570" s="694"/>
    </row>
    <row r="571" spans="3:12">
      <c r="C571" s="743"/>
      <c r="D571" s="557"/>
      <c r="E571" s="501"/>
      <c r="F571" s="649"/>
      <c r="G571" s="652"/>
      <c r="H571" s="501"/>
      <c r="I571" s="652"/>
      <c r="J571" s="501"/>
      <c r="K571" s="501"/>
      <c r="L571" s="694"/>
    </row>
    <row r="572" spans="3:12">
      <c r="C572" s="743"/>
      <c r="D572" s="557" t="s">
        <v>851</v>
      </c>
      <c r="E572" s="501"/>
      <c r="F572" s="649"/>
      <c r="G572" s="652"/>
      <c r="H572" s="501"/>
      <c r="I572" s="652"/>
      <c r="J572" s="501"/>
      <c r="K572" s="501"/>
      <c r="L572" s="694"/>
    </row>
    <row r="573" spans="3:12">
      <c r="C573" s="743"/>
      <c r="D573" s="557" t="s">
        <v>961</v>
      </c>
      <c r="E573" s="501">
        <v>3</v>
      </c>
      <c r="F573" s="649" t="s">
        <v>16</v>
      </c>
      <c r="G573" s="652"/>
      <c r="H573" s="501"/>
      <c r="I573" s="652"/>
      <c r="J573" s="501"/>
      <c r="K573" s="501"/>
      <c r="L573" s="669" t="s">
        <v>1387</v>
      </c>
    </row>
    <row r="574" spans="3:12">
      <c r="C574" s="743"/>
      <c r="D574" s="557" t="s">
        <v>962</v>
      </c>
      <c r="E574" s="501">
        <v>16</v>
      </c>
      <c r="F574" s="649" t="s">
        <v>16</v>
      </c>
      <c r="G574" s="652"/>
      <c r="H574" s="501"/>
      <c r="I574" s="652"/>
      <c r="J574" s="501"/>
      <c r="K574" s="501"/>
      <c r="L574" s="669" t="s">
        <v>1387</v>
      </c>
    </row>
    <row r="575" spans="3:12">
      <c r="C575" s="743"/>
      <c r="D575" s="557" t="s">
        <v>963</v>
      </c>
      <c r="E575" s="501">
        <v>3</v>
      </c>
      <c r="F575" s="649" t="s">
        <v>16</v>
      </c>
      <c r="G575" s="652"/>
      <c r="H575" s="501"/>
      <c r="I575" s="652"/>
      <c r="J575" s="501"/>
      <c r="K575" s="501"/>
      <c r="L575" s="669" t="s">
        <v>1387</v>
      </c>
    </row>
    <row r="576" spans="3:12">
      <c r="C576" s="743"/>
      <c r="D576" s="557" t="s">
        <v>1291</v>
      </c>
      <c r="E576" s="501">
        <v>4</v>
      </c>
      <c r="F576" s="649" t="s">
        <v>16</v>
      </c>
      <c r="G576" s="652"/>
      <c r="H576" s="501"/>
      <c r="I576" s="652"/>
      <c r="J576" s="501"/>
      <c r="K576" s="501"/>
      <c r="L576" s="669" t="s">
        <v>1387</v>
      </c>
    </row>
    <row r="577" spans="1:12">
      <c r="C577" s="743"/>
      <c r="D577" s="557" t="s">
        <v>964</v>
      </c>
      <c r="E577" s="501">
        <v>8</v>
      </c>
      <c r="F577" s="649" t="s">
        <v>16</v>
      </c>
      <c r="G577" s="652"/>
      <c r="H577" s="501"/>
      <c r="I577" s="652"/>
      <c r="J577" s="501"/>
      <c r="K577" s="501"/>
      <c r="L577" s="669" t="s">
        <v>1387</v>
      </c>
    </row>
    <row r="578" spans="1:12">
      <c r="C578" s="743"/>
      <c r="D578" s="557" t="s">
        <v>965</v>
      </c>
      <c r="E578" s="501">
        <v>6</v>
      </c>
      <c r="F578" s="649" t="s">
        <v>16</v>
      </c>
      <c r="G578" s="652"/>
      <c r="H578" s="501"/>
      <c r="I578" s="652"/>
      <c r="J578" s="501"/>
      <c r="K578" s="501"/>
      <c r="L578" s="565" t="s">
        <v>958</v>
      </c>
    </row>
    <row r="579" spans="1:12">
      <c r="C579" s="743"/>
      <c r="D579" s="557" t="s">
        <v>966</v>
      </c>
      <c r="E579" s="501">
        <v>24</v>
      </c>
      <c r="F579" s="649" t="s">
        <v>16</v>
      </c>
      <c r="G579" s="652"/>
      <c r="H579" s="501"/>
      <c r="I579" s="652"/>
      <c r="J579" s="501"/>
      <c r="K579" s="501"/>
      <c r="L579" s="565" t="s">
        <v>958</v>
      </c>
    </row>
    <row r="580" spans="1:12">
      <c r="C580" s="743"/>
      <c r="D580" s="557" t="s">
        <v>852</v>
      </c>
      <c r="E580" s="501"/>
      <c r="F580" s="649"/>
      <c r="G580" s="652"/>
      <c r="H580" s="501"/>
      <c r="I580" s="652"/>
      <c r="J580" s="501"/>
      <c r="K580" s="501"/>
      <c r="L580" s="565"/>
    </row>
    <row r="581" spans="1:12">
      <c r="C581" s="743"/>
      <c r="D581" s="557" t="s">
        <v>967</v>
      </c>
      <c r="E581" s="501">
        <v>19</v>
      </c>
      <c r="F581" s="649" t="s">
        <v>16</v>
      </c>
      <c r="G581" s="652"/>
      <c r="H581" s="501"/>
      <c r="I581" s="652"/>
      <c r="J581" s="501"/>
      <c r="K581" s="501"/>
      <c r="L581" s="565"/>
    </row>
    <row r="582" spans="1:12">
      <c r="C582" s="743"/>
      <c r="D582" s="557" t="s">
        <v>853</v>
      </c>
      <c r="E582" s="501"/>
      <c r="F582" s="649"/>
      <c r="G582" s="652"/>
      <c r="H582" s="501"/>
      <c r="I582" s="652"/>
      <c r="J582" s="501"/>
      <c r="K582" s="501"/>
      <c r="L582" s="565"/>
    </row>
    <row r="583" spans="1:12">
      <c r="C583" s="743"/>
      <c r="D583" s="557" t="s">
        <v>968</v>
      </c>
      <c r="E583" s="501">
        <v>160</v>
      </c>
      <c r="F583" s="649" t="s">
        <v>1093</v>
      </c>
      <c r="G583" s="652"/>
      <c r="H583" s="501"/>
      <c r="I583" s="652"/>
      <c r="J583" s="501"/>
      <c r="K583" s="501"/>
      <c r="L583" s="565" t="s">
        <v>958</v>
      </c>
    </row>
    <row r="584" spans="1:12">
      <c r="C584" s="743"/>
      <c r="D584" s="683" t="s">
        <v>848</v>
      </c>
      <c r="E584" s="501">
        <v>500</v>
      </c>
      <c r="F584" s="649" t="s">
        <v>1093</v>
      </c>
      <c r="G584" s="652"/>
      <c r="H584" s="501"/>
      <c r="I584" s="652"/>
      <c r="J584" s="501"/>
      <c r="K584" s="501"/>
      <c r="L584" s="565" t="s">
        <v>1352</v>
      </c>
    </row>
    <row r="585" spans="1:12">
      <c r="C585" s="743"/>
      <c r="D585" s="683" t="s">
        <v>849</v>
      </c>
      <c r="E585" s="501">
        <v>300</v>
      </c>
      <c r="F585" s="649" t="s">
        <v>1093</v>
      </c>
      <c r="G585" s="652"/>
      <c r="H585" s="501"/>
      <c r="I585" s="652"/>
      <c r="J585" s="501"/>
      <c r="K585" s="501"/>
      <c r="L585" s="565" t="s">
        <v>958</v>
      </c>
    </row>
    <row r="586" spans="1:12">
      <c r="C586" s="743"/>
      <c r="D586" s="683" t="s">
        <v>774</v>
      </c>
      <c r="E586" s="501">
        <f>E584/2</f>
        <v>250</v>
      </c>
      <c r="F586" s="649" t="s">
        <v>1093</v>
      </c>
      <c r="G586" s="652"/>
      <c r="H586" s="501"/>
      <c r="I586" s="652"/>
      <c r="J586" s="501"/>
      <c r="K586" s="501"/>
      <c r="L586" s="565" t="s">
        <v>958</v>
      </c>
    </row>
    <row r="587" spans="1:12">
      <c r="C587" s="743"/>
      <c r="D587" s="683" t="s">
        <v>775</v>
      </c>
      <c r="E587" s="501">
        <v>200</v>
      </c>
      <c r="F587" s="649" t="s">
        <v>1093</v>
      </c>
      <c r="G587" s="652"/>
      <c r="H587" s="501"/>
      <c r="I587" s="652"/>
      <c r="J587" s="501"/>
      <c r="K587" s="501"/>
      <c r="L587" s="565" t="s">
        <v>958</v>
      </c>
    </row>
    <row r="588" spans="1:12">
      <c r="C588" s="743"/>
      <c r="D588" s="683" t="s">
        <v>777</v>
      </c>
      <c r="E588" s="501">
        <v>1</v>
      </c>
      <c r="F588" s="649" t="s">
        <v>603</v>
      </c>
      <c r="G588" s="652"/>
      <c r="H588" s="501"/>
      <c r="I588" s="652"/>
      <c r="J588" s="501"/>
      <c r="K588" s="501"/>
      <c r="L588" s="565" t="s">
        <v>959</v>
      </c>
    </row>
    <row r="589" spans="1:12">
      <c r="C589" s="743"/>
      <c r="D589" s="683"/>
      <c r="E589" s="501"/>
      <c r="F589" s="649"/>
      <c r="G589" s="652"/>
      <c r="H589" s="501"/>
      <c r="I589" s="652"/>
      <c r="J589" s="501"/>
      <c r="K589" s="501"/>
      <c r="L589" s="669"/>
    </row>
    <row r="590" spans="1:12">
      <c r="C590" s="506"/>
      <c r="D590" s="506" t="s">
        <v>683</v>
      </c>
      <c r="E590" s="501" t="s">
        <v>2</v>
      </c>
      <c r="F590" s="649"/>
      <c r="G590" s="652"/>
      <c r="H590" s="501"/>
      <c r="I590" s="652"/>
      <c r="J590" s="501"/>
      <c r="K590" s="501"/>
      <c r="L590" s="669"/>
    </row>
    <row r="591" spans="1:12">
      <c r="C591" s="506"/>
      <c r="D591" s="506"/>
      <c r="E591" s="501"/>
      <c r="F591" s="649"/>
      <c r="G591" s="652"/>
      <c r="H591" s="501"/>
      <c r="I591" s="652"/>
      <c r="J591" s="501"/>
      <c r="K591" s="501"/>
      <c r="L591" s="669"/>
    </row>
    <row r="592" spans="1:12">
      <c r="A592" s="760"/>
      <c r="B592" s="760"/>
      <c r="C592" s="561">
        <v>7</v>
      </c>
      <c r="D592" s="751" t="s">
        <v>703</v>
      </c>
      <c r="E592" s="463"/>
      <c r="F592" s="463"/>
      <c r="G592" s="667"/>
      <c r="H592" s="501">
        <f t="shared" ref="H592:H593" si="3">G592*E592</f>
        <v>0</v>
      </c>
      <c r="I592" s="667"/>
      <c r="J592" s="501">
        <f t="shared" ref="J592:J593" si="4">I592*E592</f>
        <v>0</v>
      </c>
      <c r="K592" s="501">
        <f t="shared" ref="K592:K593" si="5">J592+H592</f>
        <v>0</v>
      </c>
      <c r="L592" s="668"/>
    </row>
    <row r="593" spans="3:12">
      <c r="C593" s="665"/>
      <c r="D593" s="753" t="s">
        <v>818</v>
      </c>
      <c r="E593" s="463"/>
      <c r="F593" s="463"/>
      <c r="G593" s="667"/>
      <c r="H593" s="501">
        <f t="shared" si="3"/>
        <v>0</v>
      </c>
      <c r="I593" s="667"/>
      <c r="J593" s="501">
        <f t="shared" si="4"/>
        <v>0</v>
      </c>
      <c r="K593" s="501">
        <f t="shared" si="5"/>
        <v>0</v>
      </c>
      <c r="L593" s="668"/>
    </row>
    <row r="594" spans="3:12">
      <c r="C594" s="665"/>
      <c r="D594" s="761" t="s">
        <v>974</v>
      </c>
      <c r="E594" s="463"/>
      <c r="F594" s="463"/>
      <c r="G594" s="667"/>
      <c r="H594" s="501"/>
      <c r="I594" s="667"/>
      <c r="J594" s="501"/>
      <c r="K594" s="501"/>
      <c r="L594" s="668"/>
    </row>
    <row r="595" spans="3:12">
      <c r="C595" s="665"/>
      <c r="D595" s="762" t="s">
        <v>819</v>
      </c>
      <c r="E595" s="463">
        <v>495</v>
      </c>
      <c r="F595" s="463" t="s">
        <v>40</v>
      </c>
      <c r="G595" s="667"/>
      <c r="H595" s="501"/>
      <c r="I595" s="667"/>
      <c r="J595" s="501"/>
      <c r="K595" s="501"/>
      <c r="L595" s="668"/>
    </row>
    <row r="596" spans="3:12">
      <c r="C596" s="665"/>
      <c r="D596" s="762" t="s">
        <v>1107</v>
      </c>
      <c r="E596" s="463">
        <v>49.5</v>
      </c>
      <c r="F596" s="463" t="s">
        <v>40</v>
      </c>
      <c r="G596" s="667"/>
      <c r="H596" s="501"/>
      <c r="I596" s="667"/>
      <c r="J596" s="501"/>
      <c r="K596" s="501"/>
      <c r="L596" s="668"/>
    </row>
    <row r="597" spans="3:12">
      <c r="C597" s="665"/>
      <c r="D597" s="762" t="s">
        <v>975</v>
      </c>
      <c r="E597" s="463">
        <v>495</v>
      </c>
      <c r="F597" s="463" t="s">
        <v>17</v>
      </c>
      <c r="G597" s="667"/>
      <c r="H597" s="501"/>
      <c r="I597" s="667"/>
      <c r="J597" s="501"/>
      <c r="K597" s="501"/>
      <c r="L597" s="668"/>
    </row>
    <row r="598" spans="3:12">
      <c r="C598" s="561"/>
      <c r="E598" s="763"/>
      <c r="F598" s="763"/>
      <c r="G598" s="764"/>
      <c r="H598" s="501"/>
      <c r="I598" s="764"/>
      <c r="J598" s="501"/>
      <c r="K598" s="501"/>
      <c r="L598" s="765"/>
    </row>
    <row r="599" spans="3:12">
      <c r="C599" s="506"/>
      <c r="D599" s="506" t="s">
        <v>820</v>
      </c>
      <c r="E599" s="501"/>
      <c r="F599" s="649"/>
      <c r="G599" s="652"/>
      <c r="H599" s="501"/>
      <c r="I599" s="652"/>
      <c r="J599" s="501"/>
      <c r="K599" s="501"/>
      <c r="L599" s="669"/>
    </row>
    <row r="600" spans="3:12">
      <c r="C600" s="506"/>
      <c r="D600" s="766" t="s">
        <v>1394</v>
      </c>
      <c r="E600" s="652"/>
      <c r="F600" s="501"/>
      <c r="G600" s="652"/>
      <c r="H600" s="501"/>
      <c r="I600" s="702"/>
      <c r="J600" s="501"/>
      <c r="K600" s="501"/>
      <c r="L600" s="669"/>
    </row>
    <row r="601" spans="3:12">
      <c r="C601" s="506">
        <v>8</v>
      </c>
      <c r="D601" s="762" t="s">
        <v>1392</v>
      </c>
      <c r="E601" s="652"/>
      <c r="F601" s="501"/>
      <c r="G601" s="652"/>
      <c r="H601" s="501"/>
      <c r="I601" s="702"/>
      <c r="J601" s="501"/>
      <c r="K601" s="501"/>
      <c r="L601" s="669"/>
    </row>
    <row r="602" spans="3:12">
      <c r="C602" s="506"/>
      <c r="D602" s="767" t="s">
        <v>809</v>
      </c>
      <c r="E602" s="652">
        <v>850</v>
      </c>
      <c r="F602" s="501" t="s">
        <v>17</v>
      </c>
      <c r="G602" s="652"/>
      <c r="H602" s="501"/>
      <c r="I602" s="702"/>
      <c r="J602" s="501"/>
      <c r="K602" s="501"/>
      <c r="L602" s="669"/>
    </row>
    <row r="603" spans="3:12">
      <c r="C603" s="506"/>
      <c r="D603" s="767" t="s">
        <v>810</v>
      </c>
      <c r="E603" s="652">
        <v>650</v>
      </c>
      <c r="F603" s="501" t="s">
        <v>17</v>
      </c>
      <c r="G603" s="652"/>
      <c r="H603" s="501"/>
      <c r="I603" s="702"/>
      <c r="J603" s="501"/>
      <c r="K603" s="501"/>
      <c r="L603" s="669"/>
    </row>
    <row r="604" spans="3:12">
      <c r="C604" s="506"/>
      <c r="D604" s="767" t="s">
        <v>976</v>
      </c>
      <c r="E604" s="652">
        <v>1655</v>
      </c>
      <c r="F604" s="501" t="s">
        <v>17</v>
      </c>
      <c r="G604" s="652"/>
      <c r="H604" s="501"/>
      <c r="I604" s="702"/>
      <c r="J604" s="501"/>
      <c r="K604" s="501"/>
      <c r="L604" s="669"/>
    </row>
    <row r="605" spans="3:12">
      <c r="C605" s="506"/>
      <c r="D605" s="767" t="s">
        <v>977</v>
      </c>
      <c r="E605" s="652">
        <v>330</v>
      </c>
      <c r="F605" s="501" t="s">
        <v>40</v>
      </c>
      <c r="G605" s="652"/>
      <c r="H605" s="501"/>
      <c r="I605" s="702"/>
      <c r="J605" s="501"/>
      <c r="K605" s="501"/>
      <c r="L605" s="669"/>
    </row>
    <row r="606" spans="3:12">
      <c r="C606" s="506"/>
      <c r="D606" s="767" t="s">
        <v>978</v>
      </c>
      <c r="E606" s="652">
        <v>165</v>
      </c>
      <c r="F606" s="501" t="s">
        <v>40</v>
      </c>
      <c r="G606" s="652"/>
      <c r="H606" s="501"/>
      <c r="I606" s="702"/>
      <c r="J606" s="501"/>
      <c r="K606" s="501"/>
      <c r="L606" s="669"/>
    </row>
    <row r="607" spans="3:12">
      <c r="C607" s="506"/>
      <c r="D607" s="767" t="s">
        <v>979</v>
      </c>
      <c r="E607" s="652">
        <v>250</v>
      </c>
      <c r="F607" s="501" t="s">
        <v>40</v>
      </c>
      <c r="G607" s="652"/>
      <c r="H607" s="501"/>
      <c r="I607" s="702"/>
      <c r="J607" s="501"/>
      <c r="K607" s="501"/>
      <c r="L607" s="669"/>
    </row>
    <row r="608" spans="3:12">
      <c r="C608" s="506"/>
      <c r="D608" s="767" t="s">
        <v>980</v>
      </c>
      <c r="E608" s="652"/>
      <c r="F608" s="501"/>
      <c r="G608" s="652"/>
      <c r="H608" s="501"/>
      <c r="I608" s="702"/>
      <c r="J608" s="501"/>
      <c r="K608" s="501"/>
      <c r="L608" s="669"/>
    </row>
    <row r="609" spans="3:12">
      <c r="C609" s="506"/>
      <c r="D609" s="767" t="s">
        <v>981</v>
      </c>
      <c r="E609" s="652">
        <v>1562</v>
      </c>
      <c r="F609" s="501" t="s">
        <v>20</v>
      </c>
      <c r="G609" s="652"/>
      <c r="H609" s="501"/>
      <c r="I609" s="702"/>
      <c r="J609" s="501"/>
      <c r="K609" s="501"/>
      <c r="L609" s="669"/>
    </row>
    <row r="610" spans="3:12">
      <c r="C610" s="506"/>
      <c r="D610" s="767" t="s">
        <v>982</v>
      </c>
      <c r="E610" s="652">
        <v>2777</v>
      </c>
      <c r="F610" s="501" t="s">
        <v>20</v>
      </c>
      <c r="G610" s="652"/>
      <c r="H610" s="501"/>
      <c r="I610" s="702"/>
      <c r="J610" s="501"/>
      <c r="K610" s="501"/>
      <c r="L610" s="669"/>
    </row>
    <row r="611" spans="3:12">
      <c r="C611" s="506"/>
      <c r="D611" s="767" t="s">
        <v>1211</v>
      </c>
      <c r="E611" s="652">
        <v>1705</v>
      </c>
      <c r="F611" s="501" t="s">
        <v>17</v>
      </c>
      <c r="G611" s="652"/>
      <c r="H611" s="501"/>
      <c r="I611" s="702"/>
      <c r="J611" s="501"/>
      <c r="K611" s="501"/>
      <c r="L611" s="669"/>
    </row>
    <row r="612" spans="3:12">
      <c r="C612" s="506"/>
      <c r="D612" s="767" t="s">
        <v>676</v>
      </c>
      <c r="E612" s="652">
        <v>66</v>
      </c>
      <c r="F612" s="501" t="s">
        <v>20</v>
      </c>
      <c r="G612" s="652"/>
      <c r="H612" s="501"/>
      <c r="I612" s="702"/>
      <c r="J612" s="501"/>
      <c r="K612" s="501"/>
      <c r="L612" s="669"/>
    </row>
    <row r="613" spans="3:12">
      <c r="C613" s="506"/>
      <c r="D613" s="767" t="s">
        <v>983</v>
      </c>
      <c r="E613" s="652">
        <v>505</v>
      </c>
      <c r="F613" s="501" t="s">
        <v>17</v>
      </c>
      <c r="G613" s="652"/>
      <c r="H613" s="501"/>
      <c r="I613" s="702"/>
      <c r="J613" s="501"/>
      <c r="K613" s="501"/>
      <c r="L613" s="669"/>
    </row>
    <row r="614" spans="3:12">
      <c r="C614" s="506"/>
      <c r="D614" s="767" t="s">
        <v>666</v>
      </c>
      <c r="E614" s="501">
        <v>115</v>
      </c>
      <c r="F614" s="501" t="s">
        <v>17</v>
      </c>
      <c r="G614" s="652"/>
      <c r="H614" s="501"/>
      <c r="I614" s="652"/>
      <c r="J614" s="501"/>
      <c r="K614" s="501"/>
      <c r="L614" s="669"/>
    </row>
    <row r="615" spans="3:12">
      <c r="C615" s="506"/>
      <c r="D615" s="767" t="s">
        <v>811</v>
      </c>
      <c r="E615" s="501">
        <v>1</v>
      </c>
      <c r="F615" s="501" t="s">
        <v>16</v>
      </c>
      <c r="G615" s="652"/>
      <c r="H615" s="501"/>
      <c r="I615" s="652"/>
      <c r="J615" s="501"/>
      <c r="K615" s="501"/>
      <c r="L615" s="669"/>
    </row>
    <row r="616" spans="3:12">
      <c r="C616" s="506"/>
      <c r="D616" s="767" t="s">
        <v>812</v>
      </c>
      <c r="E616" s="501">
        <v>1</v>
      </c>
      <c r="F616" s="501" t="s">
        <v>16</v>
      </c>
      <c r="G616" s="652"/>
      <c r="H616" s="501"/>
      <c r="I616" s="652"/>
      <c r="J616" s="501"/>
      <c r="K616" s="501"/>
      <c r="L616" s="669"/>
    </row>
    <row r="617" spans="3:12">
      <c r="C617" s="506"/>
      <c r="D617" s="767" t="s">
        <v>984</v>
      </c>
      <c r="E617" s="501">
        <v>396</v>
      </c>
      <c r="F617" s="501" t="s">
        <v>62</v>
      </c>
      <c r="G617" s="652"/>
      <c r="H617" s="501"/>
      <c r="I617" s="652"/>
      <c r="J617" s="501"/>
      <c r="K617" s="501"/>
      <c r="L617" s="669"/>
    </row>
    <row r="618" spans="3:12">
      <c r="C618" s="506"/>
      <c r="D618" s="767" t="s">
        <v>985</v>
      </c>
      <c r="E618" s="501">
        <v>100</v>
      </c>
      <c r="F618" s="501" t="s">
        <v>62</v>
      </c>
      <c r="G618" s="652"/>
      <c r="H618" s="501"/>
      <c r="I618" s="652"/>
      <c r="J618" s="501"/>
      <c r="K618" s="501"/>
      <c r="L618" s="669"/>
    </row>
    <row r="619" spans="3:12">
      <c r="C619" s="506"/>
      <c r="D619" s="767" t="s">
        <v>986</v>
      </c>
      <c r="E619" s="501"/>
      <c r="F619" s="501"/>
      <c r="G619" s="652"/>
      <c r="H619" s="501"/>
      <c r="I619" s="652"/>
      <c r="J619" s="501"/>
      <c r="K619" s="501"/>
      <c r="L619" s="669"/>
    </row>
    <row r="620" spans="3:12">
      <c r="C620" s="506"/>
      <c r="D620" s="767" t="s">
        <v>987</v>
      </c>
      <c r="E620" s="501">
        <v>6</v>
      </c>
      <c r="F620" s="501" t="s">
        <v>16</v>
      </c>
      <c r="G620" s="652"/>
      <c r="H620" s="501"/>
      <c r="I620" s="652"/>
      <c r="J620" s="501"/>
      <c r="K620" s="501"/>
      <c r="L620" s="669"/>
    </row>
    <row r="621" spans="3:12">
      <c r="C621" s="506"/>
      <c r="D621" s="767" t="s">
        <v>988</v>
      </c>
      <c r="E621" s="501">
        <v>231</v>
      </c>
      <c r="F621" s="501" t="s">
        <v>62</v>
      </c>
      <c r="G621" s="652"/>
      <c r="H621" s="501"/>
      <c r="I621" s="652"/>
      <c r="J621" s="501"/>
      <c r="K621" s="501"/>
      <c r="L621" s="669"/>
    </row>
    <row r="622" spans="3:12">
      <c r="C622" s="506"/>
      <c r="D622" s="767" t="s">
        <v>814</v>
      </c>
      <c r="E622" s="501">
        <v>6</v>
      </c>
      <c r="F622" s="501" t="s">
        <v>815</v>
      </c>
      <c r="G622" s="652"/>
      <c r="H622" s="501"/>
      <c r="I622" s="652"/>
      <c r="J622" s="501"/>
      <c r="K622" s="501"/>
      <c r="L622" s="669"/>
    </row>
    <row r="623" spans="3:12">
      <c r="C623" s="506"/>
      <c r="D623" s="767" t="s">
        <v>816</v>
      </c>
      <c r="E623" s="501">
        <v>60</v>
      </c>
      <c r="F623" s="501" t="s">
        <v>813</v>
      </c>
      <c r="G623" s="652"/>
      <c r="H623" s="501"/>
      <c r="I623" s="652"/>
      <c r="J623" s="501"/>
      <c r="K623" s="501"/>
      <c r="L623" s="669"/>
    </row>
    <row r="624" spans="3:12">
      <c r="C624" s="665"/>
      <c r="D624" s="768" t="s">
        <v>1327</v>
      </c>
      <c r="E624" s="463">
        <v>1</v>
      </c>
      <c r="F624" s="463" t="s">
        <v>603</v>
      </c>
      <c r="G624" s="667"/>
      <c r="H624" s="501"/>
      <c r="I624" s="667"/>
      <c r="J624" s="501"/>
      <c r="K624" s="501"/>
      <c r="L624" s="668"/>
    </row>
    <row r="625" spans="3:12">
      <c r="C625" s="665"/>
      <c r="D625" s="768"/>
      <c r="E625" s="463"/>
      <c r="F625" s="463"/>
      <c r="G625" s="667"/>
      <c r="H625" s="501"/>
      <c r="I625" s="667"/>
      <c r="J625" s="501"/>
      <c r="K625" s="501"/>
      <c r="L625" s="668"/>
    </row>
    <row r="626" spans="3:12">
      <c r="C626" s="665"/>
      <c r="D626" s="751" t="s">
        <v>1393</v>
      </c>
      <c r="E626" s="463"/>
      <c r="F626" s="463"/>
      <c r="G626" s="667"/>
      <c r="H626" s="501"/>
      <c r="I626" s="652"/>
      <c r="J626" s="501"/>
      <c r="K626" s="501"/>
      <c r="L626" s="668"/>
    </row>
    <row r="627" spans="3:12">
      <c r="C627" s="506"/>
      <c r="D627" s="767"/>
      <c r="E627" s="501"/>
      <c r="F627" s="649"/>
      <c r="G627" s="652"/>
      <c r="H627" s="501"/>
      <c r="I627" s="652"/>
      <c r="J627" s="501"/>
      <c r="K627" s="501"/>
      <c r="L627" s="669"/>
    </row>
    <row r="628" spans="3:12">
      <c r="C628" s="506">
        <v>9</v>
      </c>
      <c r="D628" s="767" t="s">
        <v>989</v>
      </c>
      <c r="E628" s="501"/>
      <c r="F628" s="649"/>
      <c r="G628" s="652"/>
      <c r="H628" s="501"/>
      <c r="I628" s="652"/>
      <c r="J628" s="501"/>
      <c r="K628" s="501"/>
      <c r="L628" s="669"/>
    </row>
    <row r="629" spans="3:12">
      <c r="C629" s="506">
        <v>9.1</v>
      </c>
      <c r="D629" s="767" t="s">
        <v>990</v>
      </c>
      <c r="E629" s="501">
        <v>1</v>
      </c>
      <c r="F629" s="649" t="s">
        <v>16</v>
      </c>
      <c r="G629" s="652"/>
      <c r="H629" s="501"/>
      <c r="I629" s="652"/>
      <c r="J629" s="501"/>
      <c r="K629" s="501"/>
      <c r="L629" s="669"/>
    </row>
    <row r="630" spans="3:12">
      <c r="C630" s="506">
        <v>9.1999999999999993</v>
      </c>
      <c r="D630" s="767" t="s">
        <v>991</v>
      </c>
      <c r="E630" s="501">
        <v>1</v>
      </c>
      <c r="F630" s="649" t="s">
        <v>16</v>
      </c>
      <c r="G630" s="652"/>
      <c r="H630" s="501"/>
      <c r="I630" s="652"/>
      <c r="J630" s="501"/>
      <c r="K630" s="501"/>
      <c r="L630" s="669"/>
    </row>
    <row r="631" spans="3:12">
      <c r="C631" s="506">
        <v>9.3000000000000007</v>
      </c>
      <c r="D631" s="767" t="s">
        <v>992</v>
      </c>
      <c r="E631" s="501">
        <v>18</v>
      </c>
      <c r="F631" s="649" t="s">
        <v>994</v>
      </c>
      <c r="G631" s="652"/>
      <c r="H631" s="501"/>
      <c r="I631" s="652"/>
      <c r="J631" s="501"/>
      <c r="K631" s="501"/>
      <c r="L631" s="669"/>
    </row>
    <row r="632" spans="3:12">
      <c r="C632" s="506">
        <v>9.4</v>
      </c>
      <c r="D632" s="767" t="s">
        <v>993</v>
      </c>
      <c r="E632" s="501">
        <v>18</v>
      </c>
      <c r="F632" s="649" t="s">
        <v>994</v>
      </c>
      <c r="G632" s="652"/>
      <c r="H632" s="501"/>
      <c r="I632" s="652"/>
      <c r="J632" s="501"/>
      <c r="K632" s="501"/>
      <c r="L632" s="669"/>
    </row>
    <row r="633" spans="3:12">
      <c r="C633" s="506">
        <v>9.5</v>
      </c>
      <c r="D633" s="767" t="s">
        <v>995</v>
      </c>
      <c r="E633" s="501">
        <v>170</v>
      </c>
      <c r="F633" s="649" t="s">
        <v>15</v>
      </c>
      <c r="G633" s="652"/>
      <c r="H633" s="501"/>
      <c r="I633" s="652"/>
      <c r="J633" s="501"/>
      <c r="K633" s="501"/>
      <c r="L633" s="669"/>
    </row>
    <row r="634" spans="3:12">
      <c r="C634" s="506">
        <v>9.6</v>
      </c>
      <c r="D634" s="767" t="s">
        <v>996</v>
      </c>
      <c r="E634" s="501">
        <v>2184</v>
      </c>
      <c r="F634" s="649" t="s">
        <v>17</v>
      </c>
      <c r="G634" s="652"/>
      <c r="H634" s="501"/>
      <c r="I634" s="652"/>
      <c r="J634" s="501"/>
      <c r="K634" s="501"/>
      <c r="L634" s="669"/>
    </row>
    <row r="635" spans="3:12">
      <c r="C635" s="506"/>
      <c r="D635" s="767"/>
      <c r="E635" s="501"/>
      <c r="F635" s="649"/>
      <c r="G635" s="652"/>
      <c r="H635" s="501"/>
      <c r="I635" s="652"/>
      <c r="J635" s="501"/>
      <c r="K635" s="501"/>
      <c r="L635" s="669"/>
    </row>
    <row r="636" spans="3:12">
      <c r="C636" s="506"/>
      <c r="D636" s="769"/>
      <c r="E636" s="563"/>
      <c r="F636" s="756"/>
      <c r="G636" s="757"/>
      <c r="H636" s="563"/>
      <c r="I636" s="757"/>
      <c r="J636" s="563"/>
      <c r="K636" s="563"/>
      <c r="L636" s="758"/>
    </row>
    <row r="637" spans="3:12">
      <c r="C637" s="507"/>
      <c r="D637" s="507" t="s">
        <v>997</v>
      </c>
      <c r="E637" s="504"/>
      <c r="F637" s="770"/>
      <c r="G637" s="504"/>
      <c r="H637" s="504"/>
      <c r="I637" s="504"/>
      <c r="J637" s="504"/>
      <c r="K637" s="504"/>
      <c r="L637" s="771"/>
    </row>
    <row r="638" spans="3:12">
      <c r="C638" s="772"/>
      <c r="D638" s="773"/>
      <c r="E638" s="774"/>
      <c r="F638" s="775"/>
      <c r="G638" s="774"/>
      <c r="H638" s="774"/>
      <c r="I638" s="774"/>
      <c r="J638" s="776"/>
      <c r="K638" s="774"/>
      <c r="L638" s="747"/>
    </row>
    <row r="639" spans="3:12">
      <c r="C639" s="772"/>
      <c r="D639" s="777"/>
      <c r="E639" s="774"/>
      <c r="F639" s="775"/>
      <c r="G639" s="774"/>
      <c r="H639" s="774"/>
      <c r="I639" s="774"/>
      <c r="J639" s="774"/>
      <c r="K639" s="774"/>
      <c r="L639" s="747"/>
    </row>
    <row r="640" spans="3:12">
      <c r="C640" s="772"/>
      <c r="D640" s="778"/>
      <c r="E640" s="774"/>
      <c r="F640" s="775"/>
      <c r="G640" s="774"/>
      <c r="H640" s="774"/>
      <c r="I640" s="774"/>
      <c r="J640" s="774"/>
      <c r="K640" s="774"/>
      <c r="L640" s="747"/>
    </row>
    <row r="641" spans="3:12">
      <c r="C641" s="772"/>
      <c r="D641" s="773"/>
      <c r="E641" s="774"/>
      <c r="F641" s="775"/>
      <c r="G641" s="774"/>
      <c r="H641" s="774"/>
      <c r="I641" s="774"/>
      <c r="J641" s="774"/>
      <c r="K641" s="774"/>
      <c r="L641" s="747"/>
    </row>
    <row r="642" spans="3:12">
      <c r="C642" s="772"/>
      <c r="D642" s="773"/>
      <c r="E642" s="774"/>
      <c r="F642" s="775"/>
      <c r="G642" s="774"/>
      <c r="H642" s="774"/>
      <c r="I642" s="774"/>
      <c r="J642" s="774"/>
      <c r="K642" s="774"/>
      <c r="L642" s="747"/>
    </row>
    <row r="643" spans="3:12">
      <c r="C643" s="772"/>
      <c r="D643" s="773"/>
      <c r="E643" s="774"/>
      <c r="F643" s="775"/>
      <c r="G643" s="774"/>
      <c r="H643" s="774"/>
      <c r="I643" s="774"/>
      <c r="J643" s="774"/>
      <c r="K643" s="774"/>
      <c r="L643" s="747"/>
    </row>
    <row r="644" spans="3:12">
      <c r="C644" s="572"/>
      <c r="D644" s="777"/>
      <c r="E644" s="774"/>
      <c r="F644" s="775"/>
      <c r="G644" s="774"/>
      <c r="H644" s="774"/>
      <c r="I644" s="774"/>
      <c r="J644" s="774"/>
      <c r="K644" s="774"/>
      <c r="L644" s="747"/>
    </row>
    <row r="645" spans="3:12">
      <c r="D645" s="627"/>
      <c r="G645" s="774"/>
      <c r="H645" s="774"/>
      <c r="I645" s="774"/>
      <c r="J645" s="774"/>
      <c r="K645" s="774"/>
      <c r="L645" s="747"/>
    </row>
    <row r="646" spans="3:12">
      <c r="D646" s="627"/>
      <c r="E646" s="560"/>
      <c r="F646" s="575"/>
      <c r="G646" s="774"/>
      <c r="H646" s="774"/>
      <c r="I646" s="774"/>
      <c r="J646" s="774"/>
      <c r="K646" s="774"/>
      <c r="L646" s="747"/>
    </row>
    <row r="647" spans="3:12">
      <c r="D647" s="772"/>
      <c r="F647" s="775"/>
      <c r="H647" s="780"/>
      <c r="I647" s="780"/>
      <c r="J647" s="780"/>
      <c r="K647" s="780"/>
      <c r="L647" s="747"/>
    </row>
    <row r="648" spans="3:12">
      <c r="L648" s="747"/>
    </row>
    <row r="649" spans="3:12">
      <c r="L649" s="747"/>
    </row>
    <row r="650" spans="3:12">
      <c r="L650" s="747"/>
    </row>
    <row r="651" spans="3:12">
      <c r="L651" s="747"/>
    </row>
    <row r="652" spans="3:12">
      <c r="L652" s="747"/>
    </row>
    <row r="653" spans="3:12">
      <c r="L653" s="747"/>
    </row>
    <row r="654" spans="3:12">
      <c r="L654" s="747"/>
    </row>
    <row r="655" spans="3:12">
      <c r="L655" s="747"/>
    </row>
    <row r="656" spans="3:12">
      <c r="L656" s="747"/>
    </row>
    <row r="657" spans="12:12">
      <c r="L657" s="747"/>
    </row>
    <row r="658" spans="12:12">
      <c r="L658" s="747"/>
    </row>
    <row r="659" spans="12:12">
      <c r="L659" s="747"/>
    </row>
    <row r="660" spans="12:12">
      <c r="L660" s="747"/>
    </row>
    <row r="661" spans="12:12">
      <c r="L661" s="747"/>
    </row>
    <row r="662" spans="12:12">
      <c r="L662" s="747"/>
    </row>
    <row r="663" spans="12:12">
      <c r="L663" s="747"/>
    </row>
    <row r="664" spans="12:12">
      <c r="L664" s="747"/>
    </row>
    <row r="665" spans="12:12">
      <c r="L665" s="747"/>
    </row>
    <row r="666" spans="12:12">
      <c r="L666" s="747"/>
    </row>
    <row r="667" spans="12:12">
      <c r="L667" s="747"/>
    </row>
    <row r="668" spans="12:12">
      <c r="L668" s="747"/>
    </row>
    <row r="669" spans="12:12">
      <c r="L669" s="747"/>
    </row>
    <row r="670" spans="12:12">
      <c r="L670" s="747"/>
    </row>
    <row r="671" spans="12:12">
      <c r="L671" s="747"/>
    </row>
    <row r="672" spans="12:12">
      <c r="L672" s="747"/>
    </row>
    <row r="673" spans="12:12">
      <c r="L673" s="747"/>
    </row>
    <row r="674" spans="12:12">
      <c r="L674" s="747"/>
    </row>
    <row r="675" spans="12:12">
      <c r="L675" s="747"/>
    </row>
    <row r="676" spans="12:12">
      <c r="L676" s="747"/>
    </row>
    <row r="677" spans="12:12">
      <c r="L677" s="747"/>
    </row>
    <row r="678" spans="12:12">
      <c r="L678" s="747"/>
    </row>
    <row r="679" spans="12:12">
      <c r="L679" s="747"/>
    </row>
    <row r="680" spans="12:12">
      <c r="L680" s="747"/>
    </row>
    <row r="681" spans="12:12">
      <c r="L681" s="747"/>
    </row>
    <row r="682" spans="12:12">
      <c r="L682" s="747"/>
    </row>
    <row r="683" spans="12:12">
      <c r="L683" s="747"/>
    </row>
    <row r="684" spans="12:12">
      <c r="L684" s="747"/>
    </row>
    <row r="685" spans="12:12">
      <c r="L685" s="747"/>
    </row>
    <row r="686" spans="12:12">
      <c r="L686" s="747"/>
    </row>
    <row r="687" spans="12:12">
      <c r="L687" s="747"/>
    </row>
    <row r="688" spans="12:12">
      <c r="L688" s="747"/>
    </row>
    <row r="689" spans="12:12">
      <c r="L689" s="747"/>
    </row>
    <row r="690" spans="12:12">
      <c r="L690" s="747"/>
    </row>
    <row r="691" spans="12:12">
      <c r="L691" s="747"/>
    </row>
    <row r="692" spans="12:12">
      <c r="L692" s="747"/>
    </row>
    <row r="693" spans="12:12">
      <c r="L693" s="747"/>
    </row>
    <row r="694" spans="12:12">
      <c r="L694" s="747"/>
    </row>
    <row r="695" spans="12:12">
      <c r="L695" s="747"/>
    </row>
    <row r="696" spans="12:12">
      <c r="L696" s="747"/>
    </row>
    <row r="697" spans="12:12">
      <c r="L697" s="747"/>
    </row>
    <row r="698" spans="12:12">
      <c r="L698" s="747"/>
    </row>
    <row r="699" spans="12:12">
      <c r="L699" s="747"/>
    </row>
    <row r="700" spans="12:12">
      <c r="L700" s="747"/>
    </row>
    <row r="701" spans="12:12">
      <c r="L701" s="747"/>
    </row>
    <row r="702" spans="12:12">
      <c r="L702" s="747"/>
    </row>
    <row r="703" spans="12:12">
      <c r="L703" s="747"/>
    </row>
    <row r="704" spans="12:12">
      <c r="L704" s="747"/>
    </row>
    <row r="705" spans="12:12">
      <c r="L705" s="747"/>
    </row>
    <row r="706" spans="12:12">
      <c r="L706" s="781"/>
    </row>
    <row r="707" spans="12:12">
      <c r="L707" s="747"/>
    </row>
    <row r="708" spans="12:12">
      <c r="L708" s="747"/>
    </row>
    <row r="709" spans="12:12">
      <c r="L709" s="747"/>
    </row>
    <row r="710" spans="12:12">
      <c r="L710" s="747"/>
    </row>
    <row r="711" spans="12:12">
      <c r="L711" s="747"/>
    </row>
    <row r="712" spans="12:12">
      <c r="L712" s="747"/>
    </row>
    <row r="713" spans="12:12">
      <c r="L713" s="747"/>
    </row>
    <row r="714" spans="12:12">
      <c r="L714" s="747"/>
    </row>
    <row r="715" spans="12:12">
      <c r="L715" s="747"/>
    </row>
    <row r="716" spans="12:12">
      <c r="L716" s="747"/>
    </row>
    <row r="717" spans="12:12">
      <c r="L717" s="747"/>
    </row>
    <row r="718" spans="12:12">
      <c r="L718" s="747"/>
    </row>
    <row r="719" spans="12:12">
      <c r="L719" s="747"/>
    </row>
    <row r="720" spans="12:12">
      <c r="L720" s="747"/>
    </row>
    <row r="721" spans="12:12">
      <c r="L721" s="747"/>
    </row>
    <row r="722" spans="12:12">
      <c r="L722" s="747"/>
    </row>
    <row r="723" spans="12:12">
      <c r="L723" s="747"/>
    </row>
    <row r="724" spans="12:12">
      <c r="L724" s="747"/>
    </row>
    <row r="725" spans="12:12">
      <c r="L725" s="747"/>
    </row>
    <row r="726" spans="12:12">
      <c r="L726" s="747"/>
    </row>
    <row r="727" spans="12:12">
      <c r="L727" s="747"/>
    </row>
    <row r="728" spans="12:12">
      <c r="L728" s="747"/>
    </row>
    <row r="729" spans="12:12">
      <c r="L729" s="747"/>
    </row>
    <row r="730" spans="12:12">
      <c r="L730" s="747"/>
    </row>
    <row r="731" spans="12:12">
      <c r="L731" s="747"/>
    </row>
    <row r="732" spans="12:12">
      <c r="L732" s="747"/>
    </row>
    <row r="733" spans="12:12">
      <c r="L733" s="747"/>
    </row>
    <row r="734" spans="12:12">
      <c r="L734" s="747"/>
    </row>
    <row r="735" spans="12:12">
      <c r="L735" s="747"/>
    </row>
    <row r="736" spans="12:12">
      <c r="L736" s="747"/>
    </row>
    <row r="737" spans="12:12">
      <c r="L737" s="782"/>
    </row>
    <row r="738" spans="12:12">
      <c r="L738" s="782"/>
    </row>
    <row r="739" spans="12:12">
      <c r="L739" s="782"/>
    </row>
    <row r="740" spans="12:12">
      <c r="L740" s="782"/>
    </row>
    <row r="741" spans="12:12">
      <c r="L741" s="782"/>
    </row>
    <row r="742" spans="12:12">
      <c r="L742" s="782"/>
    </row>
    <row r="743" spans="12:12">
      <c r="L743" s="747"/>
    </row>
    <row r="744" spans="12:12">
      <c r="L744" s="747"/>
    </row>
    <row r="745" spans="12:12">
      <c r="L745" s="747"/>
    </row>
    <row r="746" spans="12:12">
      <c r="L746" s="747"/>
    </row>
    <row r="747" spans="12:12">
      <c r="L747" s="747"/>
    </row>
    <row r="748" spans="12:12">
      <c r="L748" s="747"/>
    </row>
    <row r="749" spans="12:12">
      <c r="L749" s="747"/>
    </row>
    <row r="750" spans="12:12">
      <c r="L750" s="747"/>
    </row>
    <row r="751" spans="12:12">
      <c r="L751" s="747"/>
    </row>
    <row r="752" spans="12:12">
      <c r="L752" s="747"/>
    </row>
    <row r="753" spans="12:12">
      <c r="L753" s="747"/>
    </row>
    <row r="754" spans="12:12">
      <c r="L754" s="747"/>
    </row>
    <row r="755" spans="12:12">
      <c r="L755" s="747"/>
    </row>
    <row r="756" spans="12:12">
      <c r="L756" s="747"/>
    </row>
    <row r="757" spans="12:12">
      <c r="L757" s="747"/>
    </row>
    <row r="758" spans="12:12">
      <c r="L758" s="747"/>
    </row>
    <row r="759" spans="12:12">
      <c r="L759" s="747"/>
    </row>
    <row r="760" spans="12:12">
      <c r="L760" s="747"/>
    </row>
    <row r="761" spans="12:12">
      <c r="L761" s="747"/>
    </row>
    <row r="762" spans="12:12">
      <c r="L762" s="747"/>
    </row>
    <row r="763" spans="12:12">
      <c r="L763" s="747"/>
    </row>
    <row r="764" spans="12:12">
      <c r="L764" s="747"/>
    </row>
    <row r="765" spans="12:12">
      <c r="L765" s="747"/>
    </row>
    <row r="766" spans="12:12">
      <c r="L766" s="747"/>
    </row>
    <row r="767" spans="12:12">
      <c r="L767" s="747"/>
    </row>
    <row r="768" spans="12:12">
      <c r="L768" s="747"/>
    </row>
    <row r="769" spans="12:12">
      <c r="L769" s="747"/>
    </row>
    <row r="770" spans="12:12">
      <c r="L770" s="747"/>
    </row>
    <row r="771" spans="12:12">
      <c r="L771" s="747"/>
    </row>
    <row r="772" spans="12:12">
      <c r="L772" s="747"/>
    </row>
    <row r="773" spans="12:12">
      <c r="L773" s="747"/>
    </row>
    <row r="774" spans="12:12">
      <c r="L774" s="747"/>
    </row>
    <row r="775" spans="12:12">
      <c r="L775" s="747"/>
    </row>
    <row r="776" spans="12:12">
      <c r="L776" s="747"/>
    </row>
    <row r="777" spans="12:12">
      <c r="L777" s="747"/>
    </row>
    <row r="778" spans="12:12">
      <c r="L778" s="747"/>
    </row>
    <row r="779" spans="12:12">
      <c r="L779" s="747"/>
    </row>
    <row r="780" spans="12:12">
      <c r="L780" s="747"/>
    </row>
    <row r="781" spans="12:12">
      <c r="L781" s="747"/>
    </row>
    <row r="782" spans="12:12">
      <c r="L782" s="747"/>
    </row>
    <row r="783" spans="12:12">
      <c r="L783" s="747"/>
    </row>
    <row r="784" spans="12:12">
      <c r="L784" s="747"/>
    </row>
    <row r="785" spans="12:12">
      <c r="L785" s="747"/>
    </row>
    <row r="786" spans="12:12">
      <c r="L786" s="747"/>
    </row>
    <row r="787" spans="12:12">
      <c r="L787" s="747"/>
    </row>
    <row r="788" spans="12:12">
      <c r="L788" s="747"/>
    </row>
    <row r="789" spans="12:12">
      <c r="L789" s="747"/>
    </row>
    <row r="790" spans="12:12">
      <c r="L790" s="747"/>
    </row>
    <row r="791" spans="12:12">
      <c r="L791" s="747"/>
    </row>
    <row r="792" spans="12:12">
      <c r="L792" s="747"/>
    </row>
    <row r="793" spans="12:12">
      <c r="L793" s="747"/>
    </row>
    <row r="794" spans="12:12">
      <c r="L794" s="747"/>
    </row>
    <row r="795" spans="12:12">
      <c r="L795" s="747"/>
    </row>
    <row r="796" spans="12:12">
      <c r="L796" s="747"/>
    </row>
    <row r="797" spans="12:12">
      <c r="L797" s="747"/>
    </row>
    <row r="798" spans="12:12">
      <c r="L798" s="747"/>
    </row>
    <row r="799" spans="12:12">
      <c r="L799" s="747"/>
    </row>
    <row r="800" spans="12:12">
      <c r="L800" s="747"/>
    </row>
    <row r="801" spans="12:12">
      <c r="L801" s="747"/>
    </row>
    <row r="802" spans="12:12">
      <c r="L802" s="747"/>
    </row>
    <row r="803" spans="12:12">
      <c r="L803" s="747"/>
    </row>
    <row r="804" spans="12:12">
      <c r="L804" s="747"/>
    </row>
    <row r="805" spans="12:12">
      <c r="L805" s="747"/>
    </row>
    <row r="806" spans="12:12">
      <c r="L806" s="747"/>
    </row>
    <row r="807" spans="12:12">
      <c r="L807" s="747"/>
    </row>
    <row r="808" spans="12:12">
      <c r="L808" s="747"/>
    </row>
    <row r="809" spans="12:12">
      <c r="L809" s="747"/>
    </row>
    <row r="810" spans="12:12">
      <c r="L810" s="747"/>
    </row>
    <row r="811" spans="12:12">
      <c r="L811" s="747"/>
    </row>
    <row r="812" spans="12:12">
      <c r="L812" s="747"/>
    </row>
    <row r="813" spans="12:12">
      <c r="L813" s="747"/>
    </row>
    <row r="814" spans="12:12">
      <c r="L814" s="747"/>
    </row>
    <row r="815" spans="12:12">
      <c r="L815" s="747"/>
    </row>
    <row r="816" spans="12:12">
      <c r="L816" s="747"/>
    </row>
    <row r="817" spans="12:12">
      <c r="L817" s="747"/>
    </row>
    <row r="818" spans="12:12">
      <c r="L818" s="747"/>
    </row>
    <row r="819" spans="12:12">
      <c r="L819" s="747"/>
    </row>
    <row r="820" spans="12:12">
      <c r="L820" s="747"/>
    </row>
    <row r="821" spans="12:12">
      <c r="L821" s="747"/>
    </row>
    <row r="822" spans="12:12">
      <c r="L822" s="747"/>
    </row>
    <row r="823" spans="12:12">
      <c r="L823" s="747"/>
    </row>
    <row r="824" spans="12:12">
      <c r="L824" s="747"/>
    </row>
    <row r="825" spans="12:12">
      <c r="L825" s="747"/>
    </row>
    <row r="826" spans="12:12">
      <c r="L826" s="747"/>
    </row>
    <row r="827" spans="12:12">
      <c r="L827" s="747"/>
    </row>
    <row r="828" spans="12:12">
      <c r="L828" s="747"/>
    </row>
    <row r="829" spans="12:12">
      <c r="L829" s="747"/>
    </row>
    <row r="830" spans="12:12">
      <c r="L830" s="747"/>
    </row>
    <row r="831" spans="12:12">
      <c r="L831" s="747"/>
    </row>
    <row r="832" spans="12:12">
      <c r="L832" s="747"/>
    </row>
    <row r="833" spans="12:12">
      <c r="L833" s="747"/>
    </row>
    <row r="834" spans="12:12">
      <c r="L834" s="747"/>
    </row>
    <row r="835" spans="12:12">
      <c r="L835" s="747"/>
    </row>
    <row r="836" spans="12:12">
      <c r="L836" s="747"/>
    </row>
    <row r="837" spans="12:12">
      <c r="L837" s="747"/>
    </row>
    <row r="838" spans="12:12">
      <c r="L838" s="747"/>
    </row>
    <row r="839" spans="12:12">
      <c r="L839" s="747"/>
    </row>
    <row r="840" spans="12:12">
      <c r="L840" s="747"/>
    </row>
    <row r="841" spans="12:12">
      <c r="L841" s="747"/>
    </row>
    <row r="842" spans="12:12">
      <c r="L842" s="747"/>
    </row>
    <row r="843" spans="12:12">
      <c r="L843" s="747"/>
    </row>
    <row r="844" spans="12:12">
      <c r="L844" s="747"/>
    </row>
    <row r="845" spans="12:12">
      <c r="L845" s="747"/>
    </row>
    <row r="846" spans="12:12">
      <c r="L846" s="747"/>
    </row>
    <row r="847" spans="12:12">
      <c r="L847" s="747"/>
    </row>
    <row r="848" spans="12:12">
      <c r="L848" s="747"/>
    </row>
    <row r="849" spans="12:12">
      <c r="L849" s="747"/>
    </row>
    <row r="850" spans="12:12">
      <c r="L850" s="747"/>
    </row>
    <row r="851" spans="12:12">
      <c r="L851" s="747"/>
    </row>
    <row r="852" spans="12:12">
      <c r="L852" s="747"/>
    </row>
    <row r="853" spans="12:12">
      <c r="L853" s="747"/>
    </row>
    <row r="854" spans="12:12">
      <c r="L854" s="747"/>
    </row>
    <row r="855" spans="12:12">
      <c r="L855" s="747"/>
    </row>
    <row r="856" spans="12:12">
      <c r="L856" s="747"/>
    </row>
    <row r="857" spans="12:12">
      <c r="L857" s="747"/>
    </row>
    <row r="858" spans="12:12">
      <c r="L858" s="747"/>
    </row>
    <row r="859" spans="12:12">
      <c r="L859" s="747"/>
    </row>
    <row r="860" spans="12:12">
      <c r="L860" s="747"/>
    </row>
    <row r="861" spans="12:12">
      <c r="L861" s="747"/>
    </row>
    <row r="862" spans="12:12">
      <c r="L862" s="747"/>
    </row>
    <row r="863" spans="12:12">
      <c r="L863" s="747"/>
    </row>
    <row r="864" spans="12:12">
      <c r="L864" s="747"/>
    </row>
    <row r="865" spans="12:12">
      <c r="L865" s="747"/>
    </row>
    <row r="866" spans="12:12">
      <c r="L866" s="747"/>
    </row>
    <row r="867" spans="12:12">
      <c r="L867" s="747"/>
    </row>
    <row r="868" spans="12:12">
      <c r="L868" s="747"/>
    </row>
    <row r="869" spans="12:12">
      <c r="L869" s="747"/>
    </row>
    <row r="870" spans="12:12">
      <c r="L870" s="747"/>
    </row>
    <row r="871" spans="12:12">
      <c r="L871" s="747"/>
    </row>
    <row r="872" spans="12:12">
      <c r="L872" s="747"/>
    </row>
    <row r="873" spans="12:12">
      <c r="L873" s="747"/>
    </row>
    <row r="874" spans="12:12">
      <c r="L874" s="747"/>
    </row>
    <row r="875" spans="12:12">
      <c r="L875" s="747"/>
    </row>
    <row r="876" spans="12:12">
      <c r="L876" s="747"/>
    </row>
    <row r="877" spans="12:12">
      <c r="L877" s="747"/>
    </row>
    <row r="878" spans="12:12">
      <c r="L878" s="747"/>
    </row>
    <row r="879" spans="12:12">
      <c r="L879" s="747"/>
    </row>
    <row r="880" spans="12:12">
      <c r="L880" s="747"/>
    </row>
    <row r="881" spans="12:12">
      <c r="L881" s="747"/>
    </row>
    <row r="882" spans="12:12">
      <c r="L882" s="747"/>
    </row>
    <row r="883" spans="12:12">
      <c r="L883" s="747"/>
    </row>
    <row r="884" spans="12:12">
      <c r="L884" s="747"/>
    </row>
    <row r="885" spans="12:12">
      <c r="L885" s="747"/>
    </row>
    <row r="886" spans="12:12">
      <c r="L886" s="747"/>
    </row>
    <row r="887" spans="12:12">
      <c r="L887" s="747"/>
    </row>
    <row r="888" spans="12:12">
      <c r="L888" s="747"/>
    </row>
    <row r="889" spans="12:12">
      <c r="L889" s="747"/>
    </row>
    <row r="890" spans="12:12">
      <c r="L890" s="747"/>
    </row>
    <row r="891" spans="12:12">
      <c r="L891" s="747"/>
    </row>
    <row r="892" spans="12:12">
      <c r="L892" s="747"/>
    </row>
    <row r="893" spans="12:12">
      <c r="L893" s="747"/>
    </row>
    <row r="894" spans="12:12">
      <c r="L894" s="747"/>
    </row>
    <row r="895" spans="12:12">
      <c r="L895" s="747"/>
    </row>
    <row r="896" spans="12:12">
      <c r="L896" s="747"/>
    </row>
    <row r="897" spans="12:12">
      <c r="L897" s="747"/>
    </row>
    <row r="898" spans="12:12">
      <c r="L898" s="747"/>
    </row>
    <row r="899" spans="12:12">
      <c r="L899" s="747"/>
    </row>
    <row r="900" spans="12:12">
      <c r="L900" s="747"/>
    </row>
    <row r="901" spans="12:12">
      <c r="L901" s="747"/>
    </row>
    <row r="902" spans="12:12">
      <c r="L902" s="747"/>
    </row>
    <row r="903" spans="12:12">
      <c r="L903" s="747"/>
    </row>
    <row r="904" spans="12:12">
      <c r="L904" s="747"/>
    </row>
    <row r="905" spans="12:12">
      <c r="L905" s="747"/>
    </row>
    <row r="906" spans="12:12">
      <c r="L906" s="747"/>
    </row>
    <row r="907" spans="12:12">
      <c r="L907" s="747"/>
    </row>
    <row r="908" spans="12:12">
      <c r="L908" s="747"/>
    </row>
    <row r="909" spans="12:12">
      <c r="L909" s="747"/>
    </row>
    <row r="910" spans="12:12">
      <c r="L910" s="747"/>
    </row>
    <row r="911" spans="12:12">
      <c r="L911" s="747"/>
    </row>
    <row r="912" spans="12:12">
      <c r="L912" s="747"/>
    </row>
    <row r="913" spans="12:12">
      <c r="L913" s="747"/>
    </row>
    <row r="914" spans="12:12">
      <c r="L914" s="747"/>
    </row>
    <row r="915" spans="12:12">
      <c r="L915" s="747"/>
    </row>
    <row r="916" spans="12:12">
      <c r="L916" s="747"/>
    </row>
    <row r="917" spans="12:12">
      <c r="L917" s="747"/>
    </row>
    <row r="918" spans="12:12">
      <c r="L918" s="747"/>
    </row>
    <row r="919" spans="12:12">
      <c r="L919" s="747"/>
    </row>
    <row r="920" spans="12:12">
      <c r="L920" s="747"/>
    </row>
    <row r="921" spans="12:12">
      <c r="L921" s="747"/>
    </row>
    <row r="922" spans="12:12">
      <c r="L922" s="747"/>
    </row>
    <row r="923" spans="12:12">
      <c r="L923" s="747"/>
    </row>
    <row r="924" spans="12:12">
      <c r="L924" s="747"/>
    </row>
    <row r="925" spans="12:12">
      <c r="L925" s="747"/>
    </row>
    <row r="926" spans="12:12">
      <c r="L926" s="747"/>
    </row>
    <row r="927" spans="12:12">
      <c r="L927" s="747"/>
    </row>
    <row r="928" spans="12:12">
      <c r="L928" s="747"/>
    </row>
    <row r="929" spans="12:12">
      <c r="L929" s="747"/>
    </row>
    <row r="930" spans="12:12">
      <c r="L930" s="747"/>
    </row>
    <row r="931" spans="12:12">
      <c r="L931" s="747"/>
    </row>
    <row r="932" spans="12:12">
      <c r="L932" s="747"/>
    </row>
    <row r="933" spans="12:12">
      <c r="L933" s="747"/>
    </row>
    <row r="934" spans="12:12">
      <c r="L934" s="747"/>
    </row>
    <row r="935" spans="12:12">
      <c r="L935" s="747"/>
    </row>
    <row r="936" spans="12:12">
      <c r="L936" s="747"/>
    </row>
    <row r="937" spans="12:12">
      <c r="L937" s="747"/>
    </row>
    <row r="938" spans="12:12">
      <c r="L938" s="747"/>
    </row>
    <row r="939" spans="12:12">
      <c r="L939" s="747"/>
    </row>
    <row r="940" spans="12:12">
      <c r="L940" s="747"/>
    </row>
    <row r="941" spans="12:12">
      <c r="L941" s="747"/>
    </row>
    <row r="942" spans="12:12">
      <c r="L942" s="747"/>
    </row>
    <row r="943" spans="12:12">
      <c r="L943" s="747"/>
    </row>
    <row r="944" spans="12:12">
      <c r="L944" s="747"/>
    </row>
    <row r="945" spans="12:12">
      <c r="L945" s="747"/>
    </row>
    <row r="946" spans="12:12">
      <c r="L946" s="747"/>
    </row>
    <row r="947" spans="12:12">
      <c r="L947" s="747"/>
    </row>
    <row r="948" spans="12:12">
      <c r="L948" s="747"/>
    </row>
    <row r="949" spans="12:12">
      <c r="L949" s="747"/>
    </row>
    <row r="950" spans="12:12">
      <c r="L950" s="781"/>
    </row>
    <row r="951" spans="12:12">
      <c r="L951" s="781"/>
    </row>
    <row r="952" spans="12:12">
      <c r="L952" s="781"/>
    </row>
    <row r="953" spans="12:12">
      <c r="L953" s="781"/>
    </row>
    <row r="954" spans="12:12">
      <c r="L954" s="781"/>
    </row>
    <row r="955" spans="12:12">
      <c r="L955" s="747"/>
    </row>
    <row r="956" spans="12:12">
      <c r="L956" s="747"/>
    </row>
    <row r="957" spans="12:12">
      <c r="L957" s="747"/>
    </row>
    <row r="958" spans="12:12">
      <c r="L958" s="747"/>
    </row>
    <row r="959" spans="12:12">
      <c r="L959" s="747"/>
    </row>
    <row r="960" spans="12:12">
      <c r="L960" s="747"/>
    </row>
    <row r="961" spans="12:12">
      <c r="L961" s="747"/>
    </row>
    <row r="962" spans="12:12">
      <c r="L962" s="747"/>
    </row>
    <row r="963" spans="12:12">
      <c r="L963" s="747"/>
    </row>
    <row r="964" spans="12:12">
      <c r="L964" s="747"/>
    </row>
    <row r="965" spans="12:12">
      <c r="L965" s="747"/>
    </row>
    <row r="966" spans="12:12">
      <c r="L966" s="747"/>
    </row>
    <row r="967" spans="12:12">
      <c r="L967" s="747"/>
    </row>
    <row r="968" spans="12:12">
      <c r="L968" s="747"/>
    </row>
    <row r="969" spans="12:12">
      <c r="L969" s="747"/>
    </row>
    <row r="970" spans="12:12">
      <c r="L970" s="747"/>
    </row>
    <row r="971" spans="12:12">
      <c r="L971" s="747"/>
    </row>
    <row r="972" spans="12:12">
      <c r="L972" s="747"/>
    </row>
    <row r="973" spans="12:12">
      <c r="L973" s="747"/>
    </row>
    <row r="974" spans="12:12">
      <c r="L974" s="747"/>
    </row>
    <row r="975" spans="12:12">
      <c r="L975" s="747"/>
    </row>
    <row r="976" spans="12:12">
      <c r="L976" s="747"/>
    </row>
    <row r="977" spans="12:12">
      <c r="L977" s="747"/>
    </row>
    <row r="978" spans="12:12">
      <c r="L978" s="747"/>
    </row>
    <row r="979" spans="12:12">
      <c r="L979" s="747"/>
    </row>
    <row r="980" spans="12:12">
      <c r="L980" s="747"/>
    </row>
    <row r="981" spans="12:12">
      <c r="L981" s="747"/>
    </row>
    <row r="982" spans="12:12">
      <c r="L982" s="747"/>
    </row>
    <row r="983" spans="12:12">
      <c r="L983" s="747"/>
    </row>
    <row r="984" spans="12:12">
      <c r="L984" s="747"/>
    </row>
    <row r="985" spans="12:12">
      <c r="L985" s="747"/>
    </row>
    <row r="986" spans="12:12">
      <c r="L986" s="747"/>
    </row>
    <row r="987" spans="12:12">
      <c r="L987" s="747"/>
    </row>
    <row r="988" spans="12:12">
      <c r="L988" s="747"/>
    </row>
    <row r="989" spans="12:12">
      <c r="L989" s="747"/>
    </row>
    <row r="990" spans="12:12">
      <c r="L990" s="747"/>
    </row>
    <row r="991" spans="12:12">
      <c r="L991" s="747"/>
    </row>
    <row r="992" spans="12:12">
      <c r="L992" s="747"/>
    </row>
    <row r="993" spans="12:12">
      <c r="L993" s="747"/>
    </row>
    <row r="994" spans="12:12">
      <c r="L994" s="747"/>
    </row>
    <row r="995" spans="12:12">
      <c r="L995" s="747"/>
    </row>
    <row r="996" spans="12:12">
      <c r="L996" s="747"/>
    </row>
    <row r="997" spans="12:12">
      <c r="L997" s="747"/>
    </row>
    <row r="998" spans="12:12">
      <c r="L998" s="747"/>
    </row>
    <row r="999" spans="12:12">
      <c r="L999" s="747"/>
    </row>
    <row r="1000" spans="12:12">
      <c r="L1000" s="747"/>
    </row>
    <row r="1001" spans="12:12">
      <c r="L1001" s="747"/>
    </row>
    <row r="1002" spans="12:12">
      <c r="L1002" s="747"/>
    </row>
    <row r="1003" spans="12:12">
      <c r="L1003" s="747"/>
    </row>
    <row r="1004" spans="12:12">
      <c r="L1004" s="747"/>
    </row>
    <row r="1005" spans="12:12">
      <c r="L1005" s="747"/>
    </row>
    <row r="1006" spans="12:12">
      <c r="L1006" s="747"/>
    </row>
    <row r="1007" spans="12:12">
      <c r="L1007" s="747"/>
    </row>
    <row r="1008" spans="12:12">
      <c r="L1008" s="747"/>
    </row>
    <row r="1009" spans="12:12">
      <c r="L1009" s="747"/>
    </row>
    <row r="1010" spans="12:12">
      <c r="L1010" s="747"/>
    </row>
    <row r="1011" spans="12:12">
      <c r="L1011" s="747"/>
    </row>
    <row r="1012" spans="12:12">
      <c r="L1012" s="747"/>
    </row>
    <row r="1013" spans="12:12">
      <c r="L1013" s="747"/>
    </row>
    <row r="1014" spans="12:12">
      <c r="L1014" s="747"/>
    </row>
    <row r="1015" spans="12:12">
      <c r="L1015" s="747"/>
    </row>
    <row r="1016" spans="12:12">
      <c r="L1016" s="747"/>
    </row>
    <row r="1017" spans="12:12">
      <c r="L1017" s="747"/>
    </row>
    <row r="1018" spans="12:12">
      <c r="L1018" s="747"/>
    </row>
    <row r="1019" spans="12:12">
      <c r="L1019" s="747"/>
    </row>
    <row r="1020" spans="12:12">
      <c r="L1020" s="747"/>
    </row>
    <row r="1021" spans="12:12">
      <c r="L1021" s="747"/>
    </row>
    <row r="1022" spans="12:12">
      <c r="L1022" s="747"/>
    </row>
    <row r="1023" spans="12:12">
      <c r="L1023" s="747"/>
    </row>
    <row r="1024" spans="12:12">
      <c r="L1024" s="747"/>
    </row>
    <row r="1025" spans="12:12">
      <c r="L1025" s="747"/>
    </row>
    <row r="1026" spans="12:12">
      <c r="L1026" s="747"/>
    </row>
    <row r="1027" spans="12:12">
      <c r="L1027" s="747"/>
    </row>
    <row r="1028" spans="12:12">
      <c r="L1028" s="747"/>
    </row>
    <row r="1029" spans="12:12">
      <c r="L1029" s="747"/>
    </row>
    <row r="1030" spans="12:12">
      <c r="L1030" s="747"/>
    </row>
    <row r="1031" spans="12:12">
      <c r="L1031" s="747"/>
    </row>
    <row r="1032" spans="12:12">
      <c r="L1032" s="747"/>
    </row>
    <row r="1033" spans="12:12">
      <c r="L1033" s="747"/>
    </row>
    <row r="1034" spans="12:12">
      <c r="L1034" s="747"/>
    </row>
    <row r="1035" spans="12:12">
      <c r="L1035" s="747"/>
    </row>
    <row r="1036" spans="12:12">
      <c r="L1036" s="747"/>
    </row>
    <row r="1037" spans="12:12">
      <c r="L1037" s="747"/>
    </row>
    <row r="1038" spans="12:12">
      <c r="L1038" s="747"/>
    </row>
    <row r="1039" spans="12:12">
      <c r="L1039" s="747"/>
    </row>
    <row r="1040" spans="12:12">
      <c r="L1040" s="747"/>
    </row>
    <row r="1041" spans="12:12">
      <c r="L1041" s="747"/>
    </row>
    <row r="1042" spans="12:12">
      <c r="L1042" s="747"/>
    </row>
    <row r="1043" spans="12:12">
      <c r="L1043" s="747"/>
    </row>
    <row r="1044" spans="12:12">
      <c r="L1044" s="747"/>
    </row>
    <row r="1045" spans="12:12">
      <c r="L1045" s="747"/>
    </row>
    <row r="1046" spans="12:12">
      <c r="L1046" s="747"/>
    </row>
    <row r="1047" spans="12:12">
      <c r="L1047" s="747"/>
    </row>
    <row r="1048" spans="12:12">
      <c r="L1048" s="747"/>
    </row>
    <row r="1049" spans="12:12">
      <c r="L1049" s="747"/>
    </row>
    <row r="1050" spans="12:12">
      <c r="L1050" s="747"/>
    </row>
    <row r="1051" spans="12:12">
      <c r="L1051" s="747"/>
    </row>
    <row r="1052" spans="12:12">
      <c r="L1052" s="747"/>
    </row>
    <row r="1053" spans="12:12">
      <c r="L1053" s="747"/>
    </row>
    <row r="1054" spans="12:12">
      <c r="L1054" s="747"/>
    </row>
    <row r="1055" spans="12:12">
      <c r="L1055" s="747"/>
    </row>
    <row r="1056" spans="12:12">
      <c r="L1056" s="747"/>
    </row>
    <row r="1057" spans="12:12">
      <c r="L1057" s="747"/>
    </row>
    <row r="1058" spans="12:12">
      <c r="L1058" s="747"/>
    </row>
    <row r="1059" spans="12:12">
      <c r="L1059" s="747"/>
    </row>
    <row r="1060" spans="12:12">
      <c r="L1060" s="747"/>
    </row>
    <row r="1061" spans="12:12">
      <c r="L1061" s="747"/>
    </row>
    <row r="1062" spans="12:12">
      <c r="L1062" s="747"/>
    </row>
    <row r="1063" spans="12:12">
      <c r="L1063" s="747"/>
    </row>
    <row r="1064" spans="12:12">
      <c r="L1064" s="747"/>
    </row>
    <row r="1065" spans="12:12">
      <c r="L1065" s="747"/>
    </row>
    <row r="1066" spans="12:12">
      <c r="L1066" s="747"/>
    </row>
    <row r="1067" spans="12:12">
      <c r="L1067" s="747"/>
    </row>
    <row r="1068" spans="12:12">
      <c r="L1068" s="747"/>
    </row>
    <row r="1069" spans="12:12">
      <c r="L1069" s="747"/>
    </row>
    <row r="1070" spans="12:12">
      <c r="L1070" s="747"/>
    </row>
    <row r="1071" spans="12:12">
      <c r="L1071" s="747"/>
    </row>
    <row r="1072" spans="12:12">
      <c r="L1072" s="747"/>
    </row>
    <row r="1073" spans="12:12">
      <c r="L1073" s="747"/>
    </row>
    <row r="1074" spans="12:12">
      <c r="L1074" s="747"/>
    </row>
    <row r="1075" spans="12:12">
      <c r="L1075" s="747"/>
    </row>
    <row r="1076" spans="12:12">
      <c r="L1076" s="747"/>
    </row>
    <row r="1077" spans="12:12">
      <c r="L1077" s="747"/>
    </row>
    <row r="1078" spans="12:12">
      <c r="L1078" s="747"/>
    </row>
    <row r="1079" spans="12:12">
      <c r="L1079" s="747"/>
    </row>
    <row r="1080" spans="12:12">
      <c r="L1080" s="747"/>
    </row>
    <row r="1081" spans="12:12">
      <c r="L1081" s="747"/>
    </row>
    <row r="1082" spans="12:12">
      <c r="L1082" s="747"/>
    </row>
    <row r="1083" spans="12:12">
      <c r="L1083" s="747"/>
    </row>
    <row r="1084" spans="12:12">
      <c r="L1084" s="747"/>
    </row>
    <row r="1085" spans="12:12">
      <c r="L1085" s="747"/>
    </row>
    <row r="1086" spans="12:12">
      <c r="L1086" s="747"/>
    </row>
    <row r="1087" spans="12:12">
      <c r="L1087" s="747"/>
    </row>
    <row r="1088" spans="12:12">
      <c r="L1088" s="747"/>
    </row>
    <row r="1089" spans="12:12">
      <c r="L1089" s="747"/>
    </row>
    <row r="1090" spans="12:12">
      <c r="L1090" s="747"/>
    </row>
    <row r="1091" spans="12:12">
      <c r="L1091" s="747"/>
    </row>
    <row r="1092" spans="12:12">
      <c r="L1092" s="747"/>
    </row>
    <row r="1093" spans="12:12">
      <c r="L1093" s="747"/>
    </row>
    <row r="1094" spans="12:12">
      <c r="L1094" s="747"/>
    </row>
    <row r="1095" spans="12:12">
      <c r="L1095" s="747"/>
    </row>
    <row r="1096" spans="12:12">
      <c r="L1096" s="747"/>
    </row>
    <row r="1097" spans="12:12">
      <c r="L1097" s="747"/>
    </row>
    <row r="1098" spans="12:12">
      <c r="L1098" s="747"/>
    </row>
    <row r="1099" spans="12:12">
      <c r="L1099" s="747"/>
    </row>
    <row r="1100" spans="12:12">
      <c r="L1100" s="747"/>
    </row>
    <row r="1101" spans="12:12">
      <c r="L1101" s="747"/>
    </row>
    <row r="1102" spans="12:12">
      <c r="L1102" s="747"/>
    </row>
    <row r="1103" spans="12:12">
      <c r="L1103" s="747"/>
    </row>
    <row r="1104" spans="12:12">
      <c r="L1104" s="747"/>
    </row>
    <row r="1105" spans="12:12">
      <c r="L1105" s="747"/>
    </row>
    <row r="1106" spans="12:12">
      <c r="L1106" s="747"/>
    </row>
    <row r="1107" spans="12:12">
      <c r="L1107" s="747"/>
    </row>
    <row r="1108" spans="12:12">
      <c r="L1108" s="747"/>
    </row>
    <row r="1109" spans="12:12">
      <c r="L1109" s="747"/>
    </row>
    <row r="1110" spans="12:12">
      <c r="L1110" s="747"/>
    </row>
    <row r="1111" spans="12:12">
      <c r="L1111" s="747"/>
    </row>
    <row r="1112" spans="12:12">
      <c r="L1112" s="747"/>
    </row>
    <row r="1113" spans="12:12">
      <c r="L1113" s="747"/>
    </row>
    <row r="1114" spans="12:12">
      <c r="L1114" s="747"/>
    </row>
    <row r="1115" spans="12:12">
      <c r="L1115" s="747"/>
    </row>
    <row r="1116" spans="12:12">
      <c r="L1116" s="747"/>
    </row>
    <row r="1117" spans="12:12">
      <c r="L1117" s="747"/>
    </row>
    <row r="1118" spans="12:12">
      <c r="L1118" s="747"/>
    </row>
    <row r="1119" spans="12:12">
      <c r="L1119" s="747"/>
    </row>
    <row r="1120" spans="12:12">
      <c r="L1120" s="747"/>
    </row>
    <row r="1121" spans="1:12">
      <c r="L1121" s="747"/>
    </row>
    <row r="1122" spans="1:12">
      <c r="L1122" s="747"/>
    </row>
    <row r="1123" spans="1:12">
      <c r="L1123" s="747"/>
    </row>
    <row r="1124" spans="1:12">
      <c r="A1124" s="567"/>
      <c r="B1124" s="567"/>
      <c r="L1124" s="747"/>
    </row>
    <row r="1125" spans="1:12">
      <c r="L1125" s="747"/>
    </row>
    <row r="1126" spans="1:12">
      <c r="L1126" s="747"/>
    </row>
    <row r="1127" spans="1:12">
      <c r="L1127" s="747"/>
    </row>
    <row r="1128" spans="1:12">
      <c r="L1128" s="747"/>
    </row>
    <row r="1129" spans="1:12">
      <c r="L1129" s="747"/>
    </row>
    <row r="1130" spans="1:12">
      <c r="L1130" s="747"/>
    </row>
    <row r="1131" spans="1:12">
      <c r="L1131" s="747"/>
    </row>
    <row r="1132" spans="1:12">
      <c r="L1132" s="747"/>
    </row>
    <row r="1133" spans="1:12">
      <c r="L1133" s="747"/>
    </row>
    <row r="1134" spans="1:12">
      <c r="L1134" s="747"/>
    </row>
    <row r="1135" spans="1:12">
      <c r="L1135" s="747"/>
    </row>
    <row r="1136" spans="1:12">
      <c r="L1136" s="747"/>
    </row>
    <row r="1137" spans="12:12">
      <c r="L1137" s="747"/>
    </row>
    <row r="1138" spans="12:12">
      <c r="L1138" s="747"/>
    </row>
    <row r="1139" spans="12:12">
      <c r="L1139" s="747"/>
    </row>
    <row r="1140" spans="12:12">
      <c r="L1140" s="747"/>
    </row>
    <row r="1141" spans="12:12">
      <c r="L1141" s="747"/>
    </row>
    <row r="1142" spans="12:12">
      <c r="L1142" s="747"/>
    </row>
    <row r="1143" spans="12:12">
      <c r="L1143" s="747"/>
    </row>
    <row r="1144" spans="12:12">
      <c r="L1144" s="747"/>
    </row>
    <row r="1145" spans="12:12">
      <c r="L1145" s="747"/>
    </row>
    <row r="1146" spans="12:12">
      <c r="L1146" s="747"/>
    </row>
    <row r="1147" spans="12:12">
      <c r="L1147" s="747"/>
    </row>
    <row r="1148" spans="12:12">
      <c r="L1148" s="747"/>
    </row>
    <row r="1149" spans="12:12">
      <c r="L1149" s="747"/>
    </row>
    <row r="1150" spans="12:12">
      <c r="L1150" s="747"/>
    </row>
    <row r="1151" spans="12:12">
      <c r="L1151" s="747"/>
    </row>
    <row r="1152" spans="12:12">
      <c r="L1152" s="747"/>
    </row>
    <row r="1153" spans="1:12">
      <c r="L1153" s="747"/>
    </row>
    <row r="1154" spans="1:12">
      <c r="L1154" s="747"/>
    </row>
    <row r="1155" spans="1:12">
      <c r="L1155" s="747"/>
    </row>
    <row r="1156" spans="1:12">
      <c r="L1156" s="747"/>
    </row>
    <row r="1157" spans="1:12">
      <c r="L1157" s="747"/>
    </row>
    <row r="1158" spans="1:12">
      <c r="L1158" s="747"/>
    </row>
    <row r="1159" spans="1:12">
      <c r="L1159" s="747"/>
    </row>
    <row r="1160" spans="1:12" s="567" customFormat="1">
      <c r="A1160" s="565"/>
      <c r="B1160" s="565"/>
      <c r="C1160" s="565"/>
      <c r="D1160" s="565"/>
      <c r="E1160" s="775"/>
      <c r="F1160" s="572"/>
      <c r="G1160" s="779"/>
      <c r="H1160" s="605"/>
      <c r="I1160" s="605"/>
      <c r="J1160" s="605"/>
      <c r="K1160" s="605"/>
      <c r="L1160" s="747"/>
    </row>
    <row r="1161" spans="1:12">
      <c r="L1161" s="747"/>
    </row>
    <row r="1162" spans="1:12">
      <c r="L1162" s="747"/>
    </row>
    <row r="1163" spans="1:12">
      <c r="L1163" s="747"/>
    </row>
    <row r="1164" spans="1:12">
      <c r="L1164" s="747"/>
    </row>
    <row r="1165" spans="1:12">
      <c r="L1165" s="747"/>
    </row>
    <row r="1166" spans="1:12">
      <c r="L1166" s="747"/>
    </row>
    <row r="1167" spans="1:12">
      <c r="L1167" s="747"/>
    </row>
    <row r="1168" spans="1:12">
      <c r="L1168" s="747"/>
    </row>
    <row r="1169" spans="12:12">
      <c r="L1169" s="747"/>
    </row>
    <row r="1170" spans="12:12">
      <c r="L1170" s="747"/>
    </row>
    <row r="1171" spans="12:12">
      <c r="L1171" s="747"/>
    </row>
    <row r="1172" spans="12:12">
      <c r="L1172" s="747"/>
    </row>
    <row r="1173" spans="12:12">
      <c r="L1173" s="747"/>
    </row>
    <row r="1174" spans="12:12">
      <c r="L1174" s="747"/>
    </row>
    <row r="1175" spans="12:12">
      <c r="L1175" s="747"/>
    </row>
    <row r="1176" spans="12:12">
      <c r="L1176" s="747"/>
    </row>
    <row r="1177" spans="12:12">
      <c r="L1177" s="747"/>
    </row>
    <row r="1178" spans="12:12">
      <c r="L1178" s="747"/>
    </row>
    <row r="1179" spans="12:12">
      <c r="L1179" s="747"/>
    </row>
    <row r="1180" spans="12:12">
      <c r="L1180" s="747"/>
    </row>
    <row r="1181" spans="12:12">
      <c r="L1181" s="747"/>
    </row>
    <row r="1182" spans="12:12">
      <c r="L1182" s="747"/>
    </row>
    <row r="1183" spans="12:12">
      <c r="L1183" s="747"/>
    </row>
    <row r="1184" spans="12:12">
      <c r="L1184" s="747"/>
    </row>
    <row r="1185" spans="12:12">
      <c r="L1185" s="747"/>
    </row>
    <row r="1186" spans="12:12">
      <c r="L1186" s="747"/>
    </row>
    <row r="1187" spans="12:12">
      <c r="L1187" s="747"/>
    </row>
    <row r="1188" spans="12:12">
      <c r="L1188" s="747"/>
    </row>
    <row r="1189" spans="12:12">
      <c r="L1189" s="747"/>
    </row>
    <row r="1190" spans="12:12">
      <c r="L1190" s="747"/>
    </row>
    <row r="1191" spans="12:12">
      <c r="L1191" s="747"/>
    </row>
    <row r="1192" spans="12:12">
      <c r="L1192" s="747"/>
    </row>
    <row r="1193" spans="12:12">
      <c r="L1193" s="747"/>
    </row>
    <row r="1194" spans="12:12">
      <c r="L1194" s="747"/>
    </row>
    <row r="1195" spans="12:12">
      <c r="L1195" s="747"/>
    </row>
    <row r="1196" spans="12:12">
      <c r="L1196" s="747"/>
    </row>
    <row r="1197" spans="12:12">
      <c r="L1197" s="747"/>
    </row>
    <row r="1198" spans="12:12">
      <c r="L1198" s="747"/>
    </row>
    <row r="1199" spans="12:12">
      <c r="L1199" s="747"/>
    </row>
    <row r="1200" spans="12:12">
      <c r="L1200" s="747"/>
    </row>
    <row r="1201" spans="12:12">
      <c r="L1201" s="747"/>
    </row>
    <row r="1202" spans="12:12">
      <c r="L1202" s="747"/>
    </row>
    <row r="1203" spans="12:12">
      <c r="L1203" s="747"/>
    </row>
    <row r="1204" spans="12:12">
      <c r="L1204" s="747"/>
    </row>
    <row r="1205" spans="12:12">
      <c r="L1205" s="747"/>
    </row>
    <row r="1206" spans="12:12">
      <c r="L1206" s="747"/>
    </row>
    <row r="1207" spans="12:12">
      <c r="L1207" s="747"/>
    </row>
    <row r="1208" spans="12:12">
      <c r="L1208" s="747"/>
    </row>
    <row r="1209" spans="12:12">
      <c r="L1209" s="747"/>
    </row>
    <row r="1210" spans="12:12">
      <c r="L1210" s="747"/>
    </row>
    <row r="1211" spans="12:12">
      <c r="L1211" s="747"/>
    </row>
    <row r="1212" spans="12:12" ht="23.25" hidden="1" customHeight="1">
      <c r="L1212" s="747"/>
    </row>
    <row r="1213" spans="12:12" ht="23.25" hidden="1" customHeight="1">
      <c r="L1213" s="747"/>
    </row>
    <row r="1214" spans="12:12" ht="23.25" hidden="1" customHeight="1">
      <c r="L1214" s="747"/>
    </row>
    <row r="1215" spans="12:12" ht="23.25" hidden="1" customHeight="1">
      <c r="L1215" s="747"/>
    </row>
    <row r="1216" spans="12:12" ht="23.25" hidden="1" customHeight="1">
      <c r="L1216" s="747"/>
    </row>
    <row r="1217" spans="12:12" ht="23.25" hidden="1" customHeight="1">
      <c r="L1217" s="747"/>
    </row>
    <row r="1218" spans="12:12" ht="23.25" hidden="1" customHeight="1">
      <c r="L1218" s="747"/>
    </row>
    <row r="1219" spans="12:12" ht="23.25" hidden="1" customHeight="1">
      <c r="L1219" s="747"/>
    </row>
    <row r="1220" spans="12:12" ht="23.25" hidden="1" customHeight="1">
      <c r="L1220" s="747"/>
    </row>
    <row r="1221" spans="12:12" ht="23.25" hidden="1" customHeight="1">
      <c r="L1221" s="747"/>
    </row>
    <row r="1222" spans="12:12" ht="23.25" hidden="1" customHeight="1">
      <c r="L1222" s="747"/>
    </row>
    <row r="1223" spans="12:12" ht="23.25" hidden="1" customHeight="1">
      <c r="L1223" s="747"/>
    </row>
    <row r="1224" spans="12:12" ht="23.25" hidden="1" customHeight="1">
      <c r="L1224" s="747"/>
    </row>
    <row r="1225" spans="12:12" ht="23.25" hidden="1" customHeight="1">
      <c r="L1225" s="747"/>
    </row>
    <row r="1226" spans="12:12" ht="23.25" hidden="1" customHeight="1">
      <c r="L1226" s="747"/>
    </row>
    <row r="1227" spans="12:12" ht="23.25" hidden="1" customHeight="1">
      <c r="L1227" s="747"/>
    </row>
    <row r="1228" spans="12:12" ht="23.25" hidden="1" customHeight="1">
      <c r="L1228" s="747"/>
    </row>
    <row r="1229" spans="12:12" ht="23.25" hidden="1" customHeight="1">
      <c r="L1229" s="747"/>
    </row>
    <row r="1230" spans="12:12" ht="23.25" hidden="1" customHeight="1">
      <c r="L1230" s="747"/>
    </row>
    <row r="1231" spans="12:12" ht="23.25" hidden="1" customHeight="1">
      <c r="L1231" s="747"/>
    </row>
    <row r="1232" spans="12:12" ht="23.25" hidden="1" customHeight="1">
      <c r="L1232" s="747"/>
    </row>
    <row r="1233" spans="12:12" ht="23.25" hidden="1" customHeight="1">
      <c r="L1233" s="747"/>
    </row>
    <row r="1234" spans="12:12" ht="23.25" hidden="1" customHeight="1">
      <c r="L1234" s="747"/>
    </row>
    <row r="1235" spans="12:12" ht="23.25" hidden="1" customHeight="1">
      <c r="L1235" s="747"/>
    </row>
    <row r="1236" spans="12:12" ht="23.25" hidden="1" customHeight="1">
      <c r="L1236" s="747"/>
    </row>
    <row r="1237" spans="12:12" ht="23.25" hidden="1" customHeight="1">
      <c r="L1237" s="747"/>
    </row>
    <row r="1238" spans="12:12" ht="23.25" hidden="1" customHeight="1">
      <c r="L1238" s="747"/>
    </row>
    <row r="1239" spans="12:12" ht="23.25" hidden="1" customHeight="1">
      <c r="L1239" s="747"/>
    </row>
    <row r="1240" spans="12:12" ht="23.25" hidden="1" customHeight="1">
      <c r="L1240" s="747"/>
    </row>
    <row r="1241" spans="12:12" ht="23.25" hidden="1" customHeight="1">
      <c r="L1241" s="747"/>
    </row>
    <row r="1242" spans="12:12" ht="23.25" hidden="1" customHeight="1">
      <c r="L1242" s="747"/>
    </row>
    <row r="1243" spans="12:12" ht="23.25" hidden="1" customHeight="1">
      <c r="L1243" s="747"/>
    </row>
    <row r="1244" spans="12:12" ht="23.25" hidden="1" customHeight="1">
      <c r="L1244" s="747"/>
    </row>
    <row r="1245" spans="12:12" ht="23.25" hidden="1" customHeight="1">
      <c r="L1245" s="747"/>
    </row>
    <row r="1246" spans="12:12" ht="23.25" hidden="1" customHeight="1">
      <c r="L1246" s="747"/>
    </row>
    <row r="1247" spans="12:12" ht="23.25" hidden="1" customHeight="1">
      <c r="L1247" s="747"/>
    </row>
    <row r="1248" spans="12:12" ht="23.25" hidden="1" customHeight="1">
      <c r="L1248" s="747"/>
    </row>
    <row r="1249" spans="12:12" ht="23.25" hidden="1" customHeight="1">
      <c r="L1249" s="747"/>
    </row>
    <row r="1250" spans="12:12" ht="23.25" hidden="1" customHeight="1">
      <c r="L1250" s="747"/>
    </row>
    <row r="1251" spans="12:12" ht="23.25" hidden="1" customHeight="1">
      <c r="L1251" s="747"/>
    </row>
    <row r="1252" spans="12:12" ht="23.25" hidden="1" customHeight="1">
      <c r="L1252" s="747"/>
    </row>
    <row r="1253" spans="12:12" ht="23.25" hidden="1" customHeight="1">
      <c r="L1253" s="747"/>
    </row>
    <row r="1254" spans="12:12" ht="23.25" hidden="1" customHeight="1">
      <c r="L1254" s="747"/>
    </row>
    <row r="1255" spans="12:12">
      <c r="L1255" s="747"/>
    </row>
    <row r="1256" spans="12:12">
      <c r="L1256" s="747"/>
    </row>
    <row r="1257" spans="12:12">
      <c r="L1257" s="747"/>
    </row>
    <row r="1258" spans="12:12" ht="23.25" hidden="1" customHeight="1">
      <c r="L1258" s="747"/>
    </row>
    <row r="1259" spans="12:12" ht="23.25" hidden="1" customHeight="1">
      <c r="L1259" s="747"/>
    </row>
    <row r="1260" spans="12:12" ht="23.25" hidden="1" customHeight="1">
      <c r="L1260" s="747"/>
    </row>
    <row r="1261" spans="12:12">
      <c r="L1261" s="747"/>
    </row>
    <row r="1262" spans="12:12">
      <c r="L1262" s="747"/>
    </row>
    <row r="1263" spans="12:12" ht="23.25" hidden="1" customHeight="1">
      <c r="L1263" s="747"/>
    </row>
    <row r="1264" spans="12:12" ht="23.25" hidden="1" customHeight="1">
      <c r="L1264" s="747"/>
    </row>
    <row r="1265" spans="12:12" ht="23.25" hidden="1" customHeight="1">
      <c r="L1265" s="747"/>
    </row>
    <row r="1266" spans="12:12" ht="23.25" hidden="1" customHeight="1">
      <c r="L1266" s="747"/>
    </row>
    <row r="1267" spans="12:12" ht="23.25" hidden="1" customHeight="1">
      <c r="L1267" s="747"/>
    </row>
    <row r="1268" spans="12:12" ht="23.25" hidden="1" customHeight="1">
      <c r="L1268" s="747"/>
    </row>
    <row r="1269" spans="12:12" ht="23.25" hidden="1" customHeight="1">
      <c r="L1269" s="747"/>
    </row>
    <row r="1270" spans="12:12" ht="23.25" hidden="1" customHeight="1">
      <c r="L1270" s="747"/>
    </row>
    <row r="1271" spans="12:12" ht="23.25" hidden="1" customHeight="1">
      <c r="L1271" s="747"/>
    </row>
    <row r="1272" spans="12:12" ht="23.25" hidden="1" customHeight="1">
      <c r="L1272" s="747"/>
    </row>
    <row r="1273" spans="12:12" ht="23.25" hidden="1" customHeight="1">
      <c r="L1273" s="747"/>
    </row>
    <row r="1274" spans="12:12" ht="23.25" hidden="1" customHeight="1">
      <c r="L1274" s="747"/>
    </row>
    <row r="1275" spans="12:12" ht="23.25" hidden="1" customHeight="1">
      <c r="L1275" s="747"/>
    </row>
    <row r="1276" spans="12:12" ht="23.25" hidden="1" customHeight="1">
      <c r="L1276" s="747"/>
    </row>
    <row r="1277" spans="12:12" ht="23.25" hidden="1" customHeight="1">
      <c r="L1277" s="747"/>
    </row>
    <row r="1278" spans="12:12" ht="23.25" hidden="1" customHeight="1">
      <c r="L1278" s="747"/>
    </row>
    <row r="1279" spans="12:12" ht="23.25" hidden="1" customHeight="1">
      <c r="L1279" s="747"/>
    </row>
    <row r="1280" spans="12:12" ht="23.25" hidden="1" customHeight="1">
      <c r="L1280" s="747"/>
    </row>
    <row r="1281" spans="12:12" ht="23.25" hidden="1" customHeight="1">
      <c r="L1281" s="747"/>
    </row>
    <row r="1282" spans="12:12" ht="23.25" hidden="1" customHeight="1">
      <c r="L1282" s="747"/>
    </row>
    <row r="1283" spans="12:12">
      <c r="L1283" s="747"/>
    </row>
    <row r="1284" spans="12:12">
      <c r="L1284" s="747"/>
    </row>
    <row r="1285" spans="12:12">
      <c r="L1285" s="747"/>
    </row>
    <row r="1286" spans="12:12">
      <c r="L1286" s="747"/>
    </row>
    <row r="1287" spans="12:12">
      <c r="L1287" s="747"/>
    </row>
    <row r="1288" spans="12:12">
      <c r="L1288" s="747"/>
    </row>
    <row r="1289" spans="12:12">
      <c r="L1289" s="747"/>
    </row>
    <row r="1290" spans="12:12" ht="23.25" hidden="1" customHeight="1">
      <c r="L1290" s="747"/>
    </row>
    <row r="1291" spans="12:12" ht="23.25" hidden="1" customHeight="1">
      <c r="L1291" s="747"/>
    </row>
    <row r="1292" spans="12:12" ht="23.25" hidden="1" customHeight="1">
      <c r="L1292" s="747"/>
    </row>
    <row r="1293" spans="12:12">
      <c r="L1293" s="747"/>
    </row>
    <row r="1294" spans="12:12" ht="23.25" hidden="1" customHeight="1">
      <c r="L1294" s="747"/>
    </row>
    <row r="1295" spans="12:12" ht="23.25" hidden="1" customHeight="1">
      <c r="L1295" s="747"/>
    </row>
    <row r="1296" spans="12:12">
      <c r="L1296" s="747"/>
    </row>
    <row r="1297" spans="12:12" ht="23.25" hidden="1" customHeight="1">
      <c r="L1297" s="747"/>
    </row>
    <row r="1298" spans="12:12">
      <c r="L1298" s="747"/>
    </row>
    <row r="1299" spans="12:12">
      <c r="L1299" s="747"/>
    </row>
    <row r="1300" spans="12:12">
      <c r="L1300" s="747"/>
    </row>
    <row r="1301" spans="12:12">
      <c r="L1301" s="747"/>
    </row>
    <row r="1302" spans="12:12">
      <c r="L1302" s="747"/>
    </row>
    <row r="1303" spans="12:12">
      <c r="L1303" s="747"/>
    </row>
    <row r="1304" spans="12:12">
      <c r="L1304" s="747"/>
    </row>
    <row r="1305" spans="12:12">
      <c r="L1305" s="747"/>
    </row>
    <row r="1306" spans="12:12">
      <c r="L1306" s="747"/>
    </row>
    <row r="1307" spans="12:12" ht="23.25" hidden="1" customHeight="1">
      <c r="L1307" s="747"/>
    </row>
    <row r="1308" spans="12:12">
      <c r="L1308" s="747"/>
    </row>
    <row r="1309" spans="12:12" ht="23.25" hidden="1" customHeight="1">
      <c r="L1309" s="747"/>
    </row>
    <row r="1310" spans="12:12">
      <c r="L1310" s="747"/>
    </row>
    <row r="1311" spans="12:12">
      <c r="L1311" s="747"/>
    </row>
    <row r="1312" spans="12:12">
      <c r="L1312" s="747"/>
    </row>
    <row r="1313" spans="12:12">
      <c r="L1313" s="747"/>
    </row>
    <row r="1314" spans="12:12" ht="23.25" hidden="1" customHeight="1">
      <c r="L1314" s="747"/>
    </row>
    <row r="1315" spans="12:12">
      <c r="L1315" s="747"/>
    </row>
    <row r="1316" spans="12:12">
      <c r="L1316" s="747"/>
    </row>
    <row r="1317" spans="12:12">
      <c r="L1317" s="747"/>
    </row>
    <row r="1318" spans="12:12">
      <c r="L1318" s="747"/>
    </row>
    <row r="1319" spans="12:12">
      <c r="L1319" s="747"/>
    </row>
    <row r="1320" spans="12:12" ht="23.25" hidden="1" customHeight="1">
      <c r="L1320" s="747"/>
    </row>
    <row r="1321" spans="12:12">
      <c r="L1321" s="747"/>
    </row>
    <row r="1322" spans="12:12">
      <c r="L1322" s="747"/>
    </row>
    <row r="1323" spans="12:12">
      <c r="L1323" s="747"/>
    </row>
    <row r="1324" spans="12:12">
      <c r="L1324" s="747"/>
    </row>
    <row r="1325" spans="12:12" ht="23.25" hidden="1" customHeight="1">
      <c r="L1325" s="747"/>
    </row>
    <row r="1326" spans="12:12" ht="23.25" hidden="1" customHeight="1">
      <c r="L1326" s="747"/>
    </row>
    <row r="1327" spans="12:12" ht="23.25" hidden="1" customHeight="1">
      <c r="L1327" s="747"/>
    </row>
    <row r="1328" spans="12:12" ht="23.25" hidden="1" customHeight="1">
      <c r="L1328" s="747"/>
    </row>
    <row r="1329" spans="12:12" ht="23.25" hidden="1" customHeight="1">
      <c r="L1329" s="747"/>
    </row>
    <row r="1330" spans="12:12" ht="23.25" hidden="1" customHeight="1">
      <c r="L1330" s="747"/>
    </row>
    <row r="1331" spans="12:12" ht="23.25" hidden="1" customHeight="1">
      <c r="L1331" s="747"/>
    </row>
    <row r="1332" spans="12:12" ht="23.25" hidden="1" customHeight="1">
      <c r="L1332" s="747"/>
    </row>
    <row r="1333" spans="12:12" ht="23.25" hidden="1" customHeight="1">
      <c r="L1333" s="747"/>
    </row>
    <row r="1334" spans="12:12" ht="23.25" hidden="1" customHeight="1">
      <c r="L1334" s="747"/>
    </row>
    <row r="1335" spans="12:12" ht="23.25" hidden="1" customHeight="1">
      <c r="L1335" s="747"/>
    </row>
    <row r="1336" spans="12:12" ht="23.25" hidden="1" customHeight="1">
      <c r="L1336" s="747"/>
    </row>
    <row r="1337" spans="12:12">
      <c r="L1337" s="747"/>
    </row>
    <row r="1338" spans="12:12">
      <c r="L1338" s="747"/>
    </row>
    <row r="1339" spans="12:12">
      <c r="L1339" s="747"/>
    </row>
    <row r="1340" spans="12:12">
      <c r="L1340" s="747"/>
    </row>
    <row r="1341" spans="12:12">
      <c r="L1341" s="747"/>
    </row>
    <row r="1342" spans="12:12">
      <c r="L1342" s="747"/>
    </row>
    <row r="1343" spans="12:12">
      <c r="L1343" s="747"/>
    </row>
    <row r="1344" spans="12:12">
      <c r="L1344" s="747"/>
    </row>
    <row r="1345" spans="12:12">
      <c r="L1345" s="747"/>
    </row>
    <row r="1346" spans="12:12">
      <c r="L1346" s="747"/>
    </row>
    <row r="1347" spans="12:12" ht="23.25" hidden="1" customHeight="1">
      <c r="L1347" s="747"/>
    </row>
    <row r="1348" spans="12:12" ht="23.25" hidden="1" customHeight="1">
      <c r="L1348" s="747"/>
    </row>
    <row r="1349" spans="12:12" ht="23.25" hidden="1" customHeight="1">
      <c r="L1349" s="747"/>
    </row>
    <row r="1350" spans="12:12" ht="23.25" hidden="1" customHeight="1">
      <c r="L1350" s="747"/>
    </row>
    <row r="1351" spans="12:12" ht="23.25" hidden="1" customHeight="1">
      <c r="L1351" s="747"/>
    </row>
    <row r="1352" spans="12:12" ht="23.25" hidden="1" customHeight="1">
      <c r="L1352" s="747"/>
    </row>
    <row r="1353" spans="12:12" ht="23.25" hidden="1" customHeight="1">
      <c r="L1353" s="747"/>
    </row>
    <row r="1354" spans="12:12" ht="23.25" hidden="1" customHeight="1">
      <c r="L1354" s="747"/>
    </row>
    <row r="1355" spans="12:12" ht="23.25" hidden="1" customHeight="1">
      <c r="L1355" s="747"/>
    </row>
    <row r="1356" spans="12:12" ht="23.25" hidden="1" customHeight="1">
      <c r="L1356" s="747"/>
    </row>
    <row r="1357" spans="12:12" ht="23.25" hidden="1" customHeight="1">
      <c r="L1357" s="747"/>
    </row>
    <row r="1358" spans="12:12" ht="23.25" hidden="1" customHeight="1">
      <c r="L1358" s="747"/>
    </row>
    <row r="1359" spans="12:12" ht="23.25" hidden="1" customHeight="1">
      <c r="L1359" s="747"/>
    </row>
    <row r="1360" spans="12:12" ht="23.25" hidden="1" customHeight="1">
      <c r="L1360" s="747"/>
    </row>
    <row r="1361" spans="12:12" ht="23.25" hidden="1" customHeight="1">
      <c r="L1361" s="747"/>
    </row>
    <row r="1362" spans="12:12" ht="23.25" hidden="1" customHeight="1">
      <c r="L1362" s="747"/>
    </row>
    <row r="1363" spans="12:12" ht="23.25" hidden="1" customHeight="1">
      <c r="L1363" s="747"/>
    </row>
    <row r="1364" spans="12:12" ht="23.25" hidden="1" customHeight="1">
      <c r="L1364" s="747"/>
    </row>
    <row r="1365" spans="12:12" ht="23.25" hidden="1" customHeight="1">
      <c r="L1365" s="747"/>
    </row>
    <row r="1366" spans="12:12" ht="23.25" hidden="1" customHeight="1">
      <c r="L1366" s="747"/>
    </row>
    <row r="1367" spans="12:12" ht="23.25" hidden="1" customHeight="1">
      <c r="L1367" s="747"/>
    </row>
    <row r="1368" spans="12:12" ht="23.25" hidden="1" customHeight="1">
      <c r="L1368" s="747"/>
    </row>
    <row r="1369" spans="12:12" ht="23.25" hidden="1" customHeight="1">
      <c r="L1369" s="747"/>
    </row>
    <row r="1370" spans="12:12" ht="23.25" hidden="1" customHeight="1">
      <c r="L1370" s="747"/>
    </row>
    <row r="1371" spans="12:12" ht="23.25" hidden="1" customHeight="1">
      <c r="L1371" s="747"/>
    </row>
    <row r="1372" spans="12:12" ht="23.25" hidden="1" customHeight="1">
      <c r="L1372" s="747"/>
    </row>
    <row r="1373" spans="12:12" ht="23.25" hidden="1" customHeight="1">
      <c r="L1373" s="747"/>
    </row>
    <row r="1374" spans="12:12" ht="23.25" hidden="1" customHeight="1">
      <c r="L1374" s="747"/>
    </row>
    <row r="1375" spans="12:12" ht="23.25" hidden="1" customHeight="1">
      <c r="L1375" s="747"/>
    </row>
    <row r="1376" spans="12:12" ht="23.25" hidden="1" customHeight="1">
      <c r="L1376" s="747"/>
    </row>
    <row r="1377" spans="12:12" ht="23.25" hidden="1" customHeight="1">
      <c r="L1377" s="747"/>
    </row>
    <row r="1378" spans="12:12" ht="23.25" hidden="1" customHeight="1">
      <c r="L1378" s="747"/>
    </row>
    <row r="1379" spans="12:12" ht="23.25" hidden="1" customHeight="1">
      <c r="L1379" s="747"/>
    </row>
    <row r="1380" spans="12:12" ht="23.25" hidden="1" customHeight="1">
      <c r="L1380" s="747"/>
    </row>
    <row r="1381" spans="12:12" ht="23.25" hidden="1" customHeight="1">
      <c r="L1381" s="747"/>
    </row>
    <row r="1382" spans="12:12" ht="23.25" hidden="1" customHeight="1">
      <c r="L1382" s="747"/>
    </row>
    <row r="1383" spans="12:12" ht="23.25" hidden="1" customHeight="1">
      <c r="L1383" s="747"/>
    </row>
    <row r="1384" spans="12:12" ht="23.25" hidden="1" customHeight="1">
      <c r="L1384" s="747"/>
    </row>
    <row r="1385" spans="12:12" ht="23.25" hidden="1" customHeight="1">
      <c r="L1385" s="747"/>
    </row>
    <row r="1386" spans="12:12" ht="23.25" hidden="1" customHeight="1">
      <c r="L1386" s="747"/>
    </row>
    <row r="1387" spans="12:12" ht="23.25" hidden="1" customHeight="1">
      <c r="L1387" s="747"/>
    </row>
    <row r="1388" spans="12:12" ht="23.25" hidden="1" customHeight="1">
      <c r="L1388" s="747"/>
    </row>
    <row r="1389" spans="12:12" ht="23.25" hidden="1" customHeight="1">
      <c r="L1389" s="747"/>
    </row>
    <row r="1390" spans="12:12" ht="23.25" hidden="1" customHeight="1">
      <c r="L1390" s="747"/>
    </row>
    <row r="1391" spans="12:12" ht="23.25" hidden="1" customHeight="1">
      <c r="L1391" s="747"/>
    </row>
    <row r="1392" spans="12:12" ht="23.25" hidden="1" customHeight="1">
      <c r="L1392" s="747"/>
    </row>
    <row r="1393" spans="12:12" ht="23.25" hidden="1" customHeight="1">
      <c r="L1393" s="747"/>
    </row>
    <row r="1394" spans="12:12">
      <c r="L1394" s="747"/>
    </row>
    <row r="1395" spans="12:12">
      <c r="L1395" s="747"/>
    </row>
    <row r="1396" spans="12:12">
      <c r="L1396" s="747"/>
    </row>
    <row r="1397" spans="12:12">
      <c r="L1397" s="747"/>
    </row>
    <row r="1398" spans="12:12" ht="23.25" hidden="1" customHeight="1">
      <c r="L1398" s="747"/>
    </row>
    <row r="1399" spans="12:12" ht="23.25" hidden="1" customHeight="1">
      <c r="L1399" s="747"/>
    </row>
    <row r="1400" spans="12:12" ht="23.25" hidden="1" customHeight="1">
      <c r="L1400" s="747"/>
    </row>
    <row r="1401" spans="12:12" ht="23.25" hidden="1" customHeight="1">
      <c r="L1401" s="747"/>
    </row>
    <row r="1402" spans="12:12" ht="23.25" hidden="1" customHeight="1">
      <c r="L1402" s="747"/>
    </row>
    <row r="1403" spans="12:12">
      <c r="L1403" s="747"/>
    </row>
    <row r="1404" spans="12:12">
      <c r="L1404" s="747"/>
    </row>
    <row r="1405" spans="12:12">
      <c r="L1405" s="747"/>
    </row>
    <row r="1406" spans="12:12">
      <c r="L1406" s="747"/>
    </row>
    <row r="1407" spans="12:12">
      <c r="L1407" s="747"/>
    </row>
    <row r="1408" spans="12:12">
      <c r="L1408" s="747"/>
    </row>
    <row r="1409" spans="12:12">
      <c r="L1409" s="747"/>
    </row>
    <row r="1410" spans="12:12">
      <c r="L1410" s="747"/>
    </row>
    <row r="1411" spans="12:12">
      <c r="L1411" s="747"/>
    </row>
    <row r="1412" spans="12:12">
      <c r="L1412" s="747"/>
    </row>
    <row r="1413" spans="12:12">
      <c r="L1413" s="747"/>
    </row>
    <row r="1414" spans="12:12" ht="23.25" hidden="1" customHeight="1">
      <c r="L1414" s="747"/>
    </row>
    <row r="1415" spans="12:12" ht="23.25" hidden="1" customHeight="1">
      <c r="L1415" s="747"/>
    </row>
    <row r="1416" spans="12:12" ht="23.25" hidden="1" customHeight="1">
      <c r="L1416" s="747"/>
    </row>
    <row r="1417" spans="12:12" ht="23.25" hidden="1" customHeight="1">
      <c r="L1417" s="747"/>
    </row>
    <row r="1418" spans="12:12" ht="23.25" hidden="1" customHeight="1">
      <c r="L1418" s="747"/>
    </row>
    <row r="1419" spans="12:12" ht="23.25" hidden="1" customHeight="1">
      <c r="L1419" s="747"/>
    </row>
    <row r="1420" spans="12:12" ht="23.25" hidden="1" customHeight="1">
      <c r="L1420" s="747"/>
    </row>
    <row r="1421" spans="12:12" ht="23.25" hidden="1" customHeight="1">
      <c r="L1421" s="747"/>
    </row>
    <row r="1422" spans="12:12" ht="23.25" hidden="1" customHeight="1">
      <c r="L1422" s="747"/>
    </row>
    <row r="1423" spans="12:12" ht="23.25" hidden="1" customHeight="1">
      <c r="L1423" s="747"/>
    </row>
    <row r="1424" spans="12:12" ht="23.25" hidden="1" customHeight="1">
      <c r="L1424" s="747"/>
    </row>
    <row r="1425" spans="12:12" ht="23.25" hidden="1" customHeight="1">
      <c r="L1425" s="747"/>
    </row>
    <row r="1426" spans="12:12" ht="23.25" hidden="1" customHeight="1">
      <c r="L1426" s="747"/>
    </row>
    <row r="1427" spans="12:12" ht="23.25" hidden="1" customHeight="1">
      <c r="L1427" s="747"/>
    </row>
    <row r="1428" spans="12:12" ht="23.25" hidden="1" customHeight="1">
      <c r="L1428" s="747"/>
    </row>
    <row r="1429" spans="12:12" ht="23.25" hidden="1" customHeight="1">
      <c r="L1429" s="747"/>
    </row>
    <row r="1430" spans="12:12" ht="23.25" hidden="1" customHeight="1">
      <c r="L1430" s="747"/>
    </row>
    <row r="1431" spans="12:12" ht="23.25" hidden="1" customHeight="1">
      <c r="L1431" s="747"/>
    </row>
    <row r="1432" spans="12:12">
      <c r="L1432" s="747"/>
    </row>
    <row r="1433" spans="12:12">
      <c r="L1433" s="747"/>
    </row>
    <row r="1434" spans="12:12" ht="23.25" hidden="1" customHeight="1">
      <c r="L1434" s="747"/>
    </row>
    <row r="1435" spans="12:12" ht="23.25" hidden="1" customHeight="1">
      <c r="L1435" s="747"/>
    </row>
    <row r="1436" spans="12:12" ht="23.25" hidden="1" customHeight="1">
      <c r="L1436" s="747"/>
    </row>
    <row r="1437" spans="12:12" ht="23.25" hidden="1" customHeight="1">
      <c r="L1437" s="747"/>
    </row>
    <row r="1438" spans="12:12" ht="23.25" hidden="1" customHeight="1">
      <c r="L1438" s="747"/>
    </row>
    <row r="1439" spans="12:12" ht="23.25" hidden="1" customHeight="1">
      <c r="L1439" s="747"/>
    </row>
    <row r="1440" spans="12:12" ht="23.25" hidden="1" customHeight="1">
      <c r="L1440" s="747"/>
    </row>
    <row r="1441" spans="12:12">
      <c r="L1441" s="747"/>
    </row>
    <row r="1442" spans="12:12">
      <c r="L1442" s="747"/>
    </row>
    <row r="1443" spans="12:12">
      <c r="L1443" s="747"/>
    </row>
    <row r="1444" spans="12:12">
      <c r="L1444" s="747"/>
    </row>
    <row r="1445" spans="12:12">
      <c r="L1445" s="747"/>
    </row>
    <row r="1446" spans="12:12">
      <c r="L1446" s="747"/>
    </row>
    <row r="1447" spans="12:12">
      <c r="L1447" s="747"/>
    </row>
    <row r="1448" spans="12:12">
      <c r="L1448" s="747"/>
    </row>
    <row r="1449" spans="12:12">
      <c r="L1449" s="747"/>
    </row>
    <row r="1450" spans="12:12" ht="23.25" hidden="1" customHeight="1">
      <c r="L1450" s="747"/>
    </row>
    <row r="1451" spans="12:12">
      <c r="L1451" s="747"/>
    </row>
    <row r="1452" spans="12:12">
      <c r="L1452" s="747"/>
    </row>
    <row r="1453" spans="12:12">
      <c r="L1453" s="747"/>
    </row>
    <row r="1454" spans="12:12">
      <c r="L1454" s="747"/>
    </row>
    <row r="1455" spans="12:12" ht="23.25" hidden="1" customHeight="1">
      <c r="L1455" s="747"/>
    </row>
    <row r="1456" spans="12:12">
      <c r="L1456" s="747"/>
    </row>
    <row r="1457" spans="12:12" ht="23.25" hidden="1" customHeight="1">
      <c r="L1457" s="747"/>
    </row>
    <row r="1458" spans="12:12">
      <c r="L1458" s="747"/>
    </row>
    <row r="1459" spans="12:12">
      <c r="L1459" s="747"/>
    </row>
    <row r="1460" spans="12:12">
      <c r="L1460" s="747"/>
    </row>
    <row r="1461" spans="12:12">
      <c r="L1461" s="747"/>
    </row>
    <row r="1462" spans="12:12" ht="23.25" hidden="1" customHeight="1">
      <c r="L1462" s="747"/>
    </row>
    <row r="1463" spans="12:12">
      <c r="L1463" s="747"/>
    </row>
    <row r="1464" spans="12:12">
      <c r="L1464" s="747"/>
    </row>
    <row r="1465" spans="12:12">
      <c r="L1465" s="747"/>
    </row>
    <row r="1466" spans="12:12">
      <c r="L1466" s="747"/>
    </row>
    <row r="1467" spans="12:12" ht="23.25" hidden="1" customHeight="1">
      <c r="L1467" s="747"/>
    </row>
    <row r="1468" spans="12:12">
      <c r="L1468" s="747"/>
    </row>
    <row r="1469" spans="12:12">
      <c r="L1469" s="747"/>
    </row>
    <row r="1470" spans="12:12" ht="23.25" hidden="1" customHeight="1">
      <c r="L1470" s="747"/>
    </row>
    <row r="1471" spans="12:12" ht="23.25" hidden="1" customHeight="1">
      <c r="L1471" s="747"/>
    </row>
    <row r="1472" spans="12:12" ht="23.25" hidden="1" customHeight="1">
      <c r="L1472" s="747"/>
    </row>
    <row r="1473" spans="12:12" ht="23.25" hidden="1" customHeight="1">
      <c r="L1473" s="747"/>
    </row>
    <row r="1474" spans="12:12">
      <c r="L1474" s="747"/>
    </row>
    <row r="1475" spans="12:12">
      <c r="L1475" s="747"/>
    </row>
    <row r="1476" spans="12:12">
      <c r="L1476" s="747"/>
    </row>
    <row r="1477" spans="12:12" ht="23.25" hidden="1" customHeight="1">
      <c r="L1477" s="747"/>
    </row>
    <row r="1478" spans="12:12">
      <c r="L1478" s="747"/>
    </row>
    <row r="1479" spans="12:12">
      <c r="L1479" s="747"/>
    </row>
    <row r="1480" spans="12:12" ht="23.25" hidden="1" customHeight="1">
      <c r="L1480" s="747"/>
    </row>
    <row r="1481" spans="12:12" ht="23.25" hidden="1" customHeight="1">
      <c r="L1481" s="747"/>
    </row>
    <row r="1482" spans="12:12">
      <c r="L1482" s="747"/>
    </row>
    <row r="1483" spans="12:12">
      <c r="L1483" s="747"/>
    </row>
    <row r="1484" spans="12:12">
      <c r="L1484" s="747"/>
    </row>
    <row r="1485" spans="12:12">
      <c r="L1485" s="747"/>
    </row>
    <row r="1486" spans="12:12">
      <c r="L1486" s="747"/>
    </row>
    <row r="1487" spans="12:12" ht="23.25" hidden="1" customHeight="1">
      <c r="L1487" s="747"/>
    </row>
    <row r="1488" spans="12:12">
      <c r="L1488" s="747"/>
    </row>
    <row r="1489" spans="12:12" ht="23.25" hidden="1" customHeight="1">
      <c r="L1489" s="747"/>
    </row>
    <row r="1490" spans="12:12" ht="23.25" hidden="1" customHeight="1">
      <c r="L1490" s="747"/>
    </row>
    <row r="1491" spans="12:12">
      <c r="L1491" s="747"/>
    </row>
    <row r="1492" spans="12:12">
      <c r="L1492" s="747"/>
    </row>
    <row r="1493" spans="12:12">
      <c r="L1493" s="747"/>
    </row>
    <row r="1494" spans="12:12">
      <c r="L1494" s="747"/>
    </row>
    <row r="1495" spans="12:12" ht="23.25" hidden="1" customHeight="1">
      <c r="L1495" s="747"/>
    </row>
    <row r="1496" spans="12:12">
      <c r="L1496" s="747"/>
    </row>
    <row r="1497" spans="12:12">
      <c r="L1497" s="747"/>
    </row>
    <row r="1498" spans="12:12">
      <c r="L1498" s="747"/>
    </row>
    <row r="1499" spans="12:12">
      <c r="L1499" s="747"/>
    </row>
    <row r="1500" spans="12:12">
      <c r="L1500" s="747"/>
    </row>
    <row r="1501" spans="12:12">
      <c r="L1501" s="747"/>
    </row>
    <row r="1502" spans="12:12" ht="23.25" hidden="1" customHeight="1">
      <c r="L1502" s="747"/>
    </row>
    <row r="1503" spans="12:12" ht="23.25" hidden="1" customHeight="1">
      <c r="L1503" s="747"/>
    </row>
    <row r="1504" spans="12:12" ht="23.25" hidden="1" customHeight="1">
      <c r="L1504" s="747"/>
    </row>
    <row r="1505" spans="12:12">
      <c r="L1505" s="747"/>
    </row>
    <row r="1506" spans="12:12">
      <c r="L1506" s="747"/>
    </row>
    <row r="1507" spans="12:12">
      <c r="L1507" s="747"/>
    </row>
    <row r="1508" spans="12:12">
      <c r="L1508" s="747"/>
    </row>
    <row r="1509" spans="12:12">
      <c r="L1509" s="747"/>
    </row>
    <row r="1510" spans="12:12" ht="23.25" hidden="1" customHeight="1">
      <c r="L1510" s="747"/>
    </row>
    <row r="1511" spans="12:12">
      <c r="L1511" s="747"/>
    </row>
    <row r="1512" spans="12:12">
      <c r="L1512" s="747"/>
    </row>
    <row r="1513" spans="12:12">
      <c r="L1513" s="747"/>
    </row>
    <row r="1514" spans="12:12">
      <c r="L1514" s="747"/>
    </row>
    <row r="1515" spans="12:12">
      <c r="L1515" s="747"/>
    </row>
    <row r="1516" spans="12:12">
      <c r="L1516" s="747"/>
    </row>
    <row r="1517" spans="12:12">
      <c r="L1517" s="747"/>
    </row>
    <row r="1518" spans="12:12" ht="23.25" hidden="1" customHeight="1">
      <c r="L1518" s="747"/>
    </row>
    <row r="1519" spans="12:12" ht="23.25" hidden="1" customHeight="1">
      <c r="L1519" s="747"/>
    </row>
    <row r="1520" spans="12:12" ht="23.25" hidden="1" customHeight="1">
      <c r="L1520" s="747"/>
    </row>
    <row r="1521" spans="12:12" ht="23.25" hidden="1" customHeight="1">
      <c r="L1521" s="747"/>
    </row>
    <row r="1522" spans="12:12" ht="23.25" hidden="1" customHeight="1">
      <c r="L1522" s="747"/>
    </row>
    <row r="1523" spans="12:12" ht="23.25" hidden="1" customHeight="1">
      <c r="L1523" s="747"/>
    </row>
    <row r="1524" spans="12:12" ht="23.25" hidden="1" customHeight="1">
      <c r="L1524" s="747"/>
    </row>
    <row r="1525" spans="12:12" ht="23.25" hidden="1" customHeight="1">
      <c r="L1525" s="747"/>
    </row>
    <row r="1526" spans="12:12" ht="23.25" hidden="1" customHeight="1">
      <c r="L1526" s="747"/>
    </row>
    <row r="1527" spans="12:12">
      <c r="L1527" s="747"/>
    </row>
    <row r="1528" spans="12:12">
      <c r="L1528" s="747"/>
    </row>
    <row r="1529" spans="12:12">
      <c r="L1529" s="747"/>
    </row>
    <row r="1530" spans="12:12">
      <c r="L1530" s="747"/>
    </row>
    <row r="1531" spans="12:12">
      <c r="L1531" s="747"/>
    </row>
    <row r="1532" spans="12:12">
      <c r="L1532" s="747"/>
    </row>
    <row r="1533" spans="12:12">
      <c r="L1533" s="747"/>
    </row>
    <row r="1534" spans="12:12">
      <c r="L1534" s="747"/>
    </row>
    <row r="1535" spans="12:12">
      <c r="L1535" s="747"/>
    </row>
    <row r="1536" spans="12:12">
      <c r="L1536" s="747"/>
    </row>
    <row r="1537" spans="12:12">
      <c r="L1537" s="747"/>
    </row>
    <row r="1538" spans="12:12">
      <c r="L1538" s="747"/>
    </row>
    <row r="1539" spans="12:12">
      <c r="L1539" s="747"/>
    </row>
    <row r="1540" spans="12:12">
      <c r="L1540" s="747"/>
    </row>
    <row r="1541" spans="12:12">
      <c r="L1541" s="747"/>
    </row>
    <row r="1542" spans="12:12">
      <c r="L1542" s="747"/>
    </row>
    <row r="1543" spans="12:12">
      <c r="L1543" s="747"/>
    </row>
    <row r="1544" spans="12:12">
      <c r="L1544" s="747"/>
    </row>
    <row r="1545" spans="12:12">
      <c r="L1545" s="747"/>
    </row>
    <row r="1546" spans="12:12">
      <c r="L1546" s="747"/>
    </row>
    <row r="1547" spans="12:12">
      <c r="L1547" s="747"/>
    </row>
    <row r="1548" spans="12:12">
      <c r="L1548" s="747"/>
    </row>
    <row r="1549" spans="12:12">
      <c r="L1549" s="747"/>
    </row>
    <row r="1550" spans="12:12">
      <c r="L1550" s="747"/>
    </row>
    <row r="1551" spans="12:12">
      <c r="L1551" s="747"/>
    </row>
    <row r="1552" spans="12:12">
      <c r="L1552" s="747"/>
    </row>
    <row r="1553" spans="12:12">
      <c r="L1553" s="747"/>
    </row>
    <row r="1554" spans="12:12">
      <c r="L1554" s="747"/>
    </row>
    <row r="1555" spans="12:12">
      <c r="L1555" s="747"/>
    </row>
    <row r="1556" spans="12:12">
      <c r="L1556" s="747"/>
    </row>
    <row r="1557" spans="12:12">
      <c r="L1557" s="747"/>
    </row>
    <row r="1558" spans="12:12">
      <c r="L1558" s="747"/>
    </row>
    <row r="1559" spans="12:12">
      <c r="L1559" s="747"/>
    </row>
    <row r="1560" spans="12:12">
      <c r="L1560" s="747"/>
    </row>
    <row r="1561" spans="12:12">
      <c r="L1561" s="747"/>
    </row>
    <row r="1562" spans="12:12">
      <c r="L1562" s="747"/>
    </row>
    <row r="1563" spans="12:12">
      <c r="L1563" s="747"/>
    </row>
    <row r="1564" spans="12:12">
      <c r="L1564" s="747"/>
    </row>
    <row r="1565" spans="12:12">
      <c r="L1565" s="747"/>
    </row>
    <row r="1566" spans="12:12">
      <c r="L1566" s="747"/>
    </row>
    <row r="1567" spans="12:12">
      <c r="L1567" s="747"/>
    </row>
    <row r="1568" spans="12:12">
      <c r="L1568" s="747"/>
    </row>
    <row r="1569" spans="12:12">
      <c r="L1569" s="747"/>
    </row>
    <row r="1570" spans="12:12">
      <c r="L1570" s="747"/>
    </row>
    <row r="1571" spans="12:12">
      <c r="L1571" s="747"/>
    </row>
    <row r="1572" spans="12:12">
      <c r="L1572" s="747"/>
    </row>
    <row r="1573" spans="12:12">
      <c r="L1573" s="747"/>
    </row>
    <row r="1574" spans="12:12">
      <c r="L1574" s="747"/>
    </row>
    <row r="1575" spans="12:12">
      <c r="L1575" s="747"/>
    </row>
    <row r="1576" spans="12:12">
      <c r="L1576" s="747"/>
    </row>
    <row r="1577" spans="12:12">
      <c r="L1577" s="747"/>
    </row>
    <row r="1578" spans="12:12">
      <c r="L1578" s="747"/>
    </row>
    <row r="1579" spans="12:12">
      <c r="L1579" s="747"/>
    </row>
    <row r="1580" spans="12:12">
      <c r="L1580" s="747"/>
    </row>
    <row r="1581" spans="12:12">
      <c r="L1581" s="747"/>
    </row>
    <row r="1582" spans="12:12">
      <c r="L1582" s="747"/>
    </row>
    <row r="1583" spans="12:12">
      <c r="L1583" s="747"/>
    </row>
    <row r="1584" spans="12:12">
      <c r="L1584" s="747"/>
    </row>
    <row r="1585" spans="12:12">
      <c r="L1585" s="747"/>
    </row>
    <row r="1586" spans="12:12">
      <c r="L1586" s="747"/>
    </row>
    <row r="1587" spans="12:12">
      <c r="L1587" s="747"/>
    </row>
    <row r="1588" spans="12:12">
      <c r="L1588" s="747"/>
    </row>
    <row r="1589" spans="12:12">
      <c r="L1589" s="747"/>
    </row>
    <row r="1590" spans="12:12">
      <c r="L1590" s="747"/>
    </row>
    <row r="1591" spans="12:12">
      <c r="L1591" s="747"/>
    </row>
    <row r="1592" spans="12:12" ht="23.25" hidden="1" customHeight="1">
      <c r="L1592" s="747"/>
    </row>
    <row r="1593" spans="12:12" ht="23.25" hidden="1" customHeight="1">
      <c r="L1593" s="747"/>
    </row>
    <row r="1594" spans="12:12" ht="23.25" hidden="1" customHeight="1">
      <c r="L1594" s="747"/>
    </row>
    <row r="1595" spans="12:12" ht="23.25" hidden="1" customHeight="1">
      <c r="L1595" s="747"/>
    </row>
    <row r="1596" spans="12:12" ht="23.25" hidden="1" customHeight="1">
      <c r="L1596" s="747"/>
    </row>
    <row r="1597" spans="12:12" ht="23.25" hidden="1" customHeight="1">
      <c r="L1597" s="747"/>
    </row>
    <row r="1598" spans="12:12" ht="23.25" hidden="1" customHeight="1">
      <c r="L1598" s="747"/>
    </row>
    <row r="1599" spans="12:12" ht="23.25" hidden="1" customHeight="1">
      <c r="L1599" s="747"/>
    </row>
    <row r="1600" spans="12:12" ht="23.25" hidden="1" customHeight="1">
      <c r="L1600" s="747"/>
    </row>
    <row r="1601" spans="12:12" ht="23.25" hidden="1" customHeight="1">
      <c r="L1601" s="747"/>
    </row>
    <row r="1602" spans="12:12" ht="23.25" hidden="1" customHeight="1">
      <c r="L1602" s="747"/>
    </row>
    <row r="1603" spans="12:12" ht="23.25" hidden="1" customHeight="1">
      <c r="L1603" s="747"/>
    </row>
    <row r="1604" spans="12:12" ht="23.25" hidden="1" customHeight="1">
      <c r="L1604" s="747"/>
    </row>
    <row r="1605" spans="12:12" ht="23.25" hidden="1" customHeight="1">
      <c r="L1605" s="747"/>
    </row>
    <row r="1606" spans="12:12" ht="23.25" hidden="1" customHeight="1">
      <c r="L1606" s="747"/>
    </row>
    <row r="1607" spans="12:12" ht="23.25" hidden="1" customHeight="1">
      <c r="L1607" s="747"/>
    </row>
    <row r="1608" spans="12:12" ht="23.25" hidden="1" customHeight="1">
      <c r="L1608" s="747"/>
    </row>
    <row r="1609" spans="12:12" ht="23.25" hidden="1" customHeight="1">
      <c r="L1609" s="747"/>
    </row>
    <row r="1610" spans="12:12" ht="23.25" hidden="1" customHeight="1">
      <c r="L1610" s="747"/>
    </row>
    <row r="1611" spans="12:12" ht="23.25" hidden="1" customHeight="1">
      <c r="L1611" s="747"/>
    </row>
    <row r="1612" spans="12:12" ht="23.25" hidden="1" customHeight="1">
      <c r="L1612" s="747"/>
    </row>
    <row r="1613" spans="12:12" ht="23.25" hidden="1" customHeight="1">
      <c r="L1613" s="747"/>
    </row>
    <row r="1614" spans="12:12" ht="23.25" hidden="1" customHeight="1">
      <c r="L1614" s="747"/>
    </row>
    <row r="1615" spans="12:12" ht="23.25" hidden="1" customHeight="1">
      <c r="L1615" s="747"/>
    </row>
    <row r="1616" spans="12:12" ht="23.25" hidden="1" customHeight="1">
      <c r="L1616" s="747"/>
    </row>
    <row r="1617" spans="12:12" ht="23.25" hidden="1" customHeight="1">
      <c r="L1617" s="747"/>
    </row>
    <row r="1618" spans="12:12" ht="23.25" hidden="1" customHeight="1">
      <c r="L1618" s="747"/>
    </row>
    <row r="1619" spans="12:12" ht="23.25" hidden="1" customHeight="1">
      <c r="L1619" s="747"/>
    </row>
    <row r="1620" spans="12:12" ht="23.25" hidden="1" customHeight="1">
      <c r="L1620" s="747"/>
    </row>
    <row r="1621" spans="12:12" ht="23.25" hidden="1" customHeight="1">
      <c r="L1621" s="747"/>
    </row>
    <row r="1622" spans="12:12" ht="23.25" hidden="1" customHeight="1">
      <c r="L1622" s="747"/>
    </row>
    <row r="1623" spans="12:12" ht="23.25" hidden="1" customHeight="1">
      <c r="L1623" s="747"/>
    </row>
    <row r="1624" spans="12:12" ht="23.25" hidden="1" customHeight="1">
      <c r="L1624" s="747"/>
    </row>
    <row r="1625" spans="12:12" ht="23.25" hidden="1" customHeight="1">
      <c r="L1625" s="747"/>
    </row>
    <row r="1626" spans="12:12" ht="23.25" hidden="1" customHeight="1">
      <c r="L1626" s="747"/>
    </row>
    <row r="1627" spans="12:12" ht="23.25" hidden="1" customHeight="1">
      <c r="L1627" s="747"/>
    </row>
    <row r="1628" spans="12:12" ht="23.25" hidden="1" customHeight="1">
      <c r="L1628" s="747"/>
    </row>
    <row r="1629" spans="12:12" ht="23.25" hidden="1" customHeight="1">
      <c r="L1629" s="747"/>
    </row>
    <row r="1630" spans="12:12" ht="23.25" hidden="1" customHeight="1">
      <c r="L1630" s="747"/>
    </row>
    <row r="1631" spans="12:12" ht="23.25" hidden="1" customHeight="1">
      <c r="L1631" s="747"/>
    </row>
    <row r="1632" spans="12:12" ht="23.25" hidden="1" customHeight="1">
      <c r="L1632" s="747"/>
    </row>
    <row r="1633" spans="12:12" ht="23.25" hidden="1" customHeight="1">
      <c r="L1633" s="747"/>
    </row>
    <row r="1634" spans="12:12" ht="23.25" hidden="1" customHeight="1">
      <c r="L1634" s="747"/>
    </row>
    <row r="1635" spans="12:12" ht="23.25" hidden="1" customHeight="1">
      <c r="L1635" s="747"/>
    </row>
    <row r="1636" spans="12:12" ht="23.25" hidden="1" customHeight="1">
      <c r="L1636" s="747"/>
    </row>
    <row r="1637" spans="12:12" ht="23.25" hidden="1" customHeight="1">
      <c r="L1637" s="747"/>
    </row>
    <row r="1638" spans="12:12" ht="23.25" hidden="1" customHeight="1">
      <c r="L1638" s="747"/>
    </row>
    <row r="1639" spans="12:12">
      <c r="L1639" s="747"/>
    </row>
    <row r="1640" spans="12:12" ht="23.25" hidden="1" customHeight="1">
      <c r="L1640" s="747"/>
    </row>
    <row r="1641" spans="12:12" ht="23.25" hidden="1" customHeight="1">
      <c r="L1641" s="747"/>
    </row>
    <row r="1642" spans="12:12" ht="23.25" hidden="1" customHeight="1">
      <c r="L1642" s="747"/>
    </row>
    <row r="1643" spans="12:12">
      <c r="L1643" s="747"/>
    </row>
    <row r="1644" spans="12:12">
      <c r="L1644" s="747"/>
    </row>
    <row r="1645" spans="12:12" ht="23.25" hidden="1" customHeight="1">
      <c r="L1645" s="747"/>
    </row>
    <row r="1646" spans="12:12" ht="23.25" hidden="1" customHeight="1">
      <c r="L1646" s="747"/>
    </row>
    <row r="1647" spans="12:12" ht="23.25" hidden="1" customHeight="1">
      <c r="L1647" s="747"/>
    </row>
    <row r="1648" spans="12:12" ht="23.25" hidden="1" customHeight="1">
      <c r="L1648" s="747"/>
    </row>
    <row r="1649" spans="12:12" ht="23.25" hidden="1" customHeight="1">
      <c r="L1649" s="747"/>
    </row>
    <row r="1650" spans="12:12" ht="23.25" hidden="1" customHeight="1">
      <c r="L1650" s="747"/>
    </row>
    <row r="1651" spans="12:12" ht="23.25" hidden="1" customHeight="1">
      <c r="L1651" s="747"/>
    </row>
    <row r="1652" spans="12:12" ht="23.25" hidden="1" customHeight="1">
      <c r="L1652" s="747"/>
    </row>
    <row r="1653" spans="12:12" ht="23.25" hidden="1" customHeight="1">
      <c r="L1653" s="747"/>
    </row>
    <row r="1654" spans="12:12" ht="23.25" hidden="1" customHeight="1">
      <c r="L1654" s="747"/>
    </row>
    <row r="1655" spans="12:12" ht="23.25" hidden="1" customHeight="1">
      <c r="L1655" s="747"/>
    </row>
    <row r="1656" spans="12:12" ht="23.25" hidden="1" customHeight="1">
      <c r="L1656" s="747"/>
    </row>
    <row r="1657" spans="12:12" ht="23.25" hidden="1" customHeight="1">
      <c r="L1657" s="747"/>
    </row>
    <row r="1658" spans="12:12" ht="23.25" hidden="1" customHeight="1">
      <c r="L1658" s="747"/>
    </row>
    <row r="1659" spans="12:12">
      <c r="L1659" s="747"/>
    </row>
    <row r="1660" spans="12:12">
      <c r="L1660" s="747"/>
    </row>
    <row r="1661" spans="12:12">
      <c r="L1661" s="747"/>
    </row>
    <row r="1662" spans="12:12">
      <c r="L1662" s="747"/>
    </row>
    <row r="1663" spans="12:12">
      <c r="L1663" s="747"/>
    </row>
    <row r="1664" spans="12:12">
      <c r="L1664" s="747"/>
    </row>
    <row r="1665" spans="12:12" ht="23.25" hidden="1" customHeight="1">
      <c r="L1665" s="747"/>
    </row>
    <row r="1666" spans="12:12" ht="23.25" hidden="1" customHeight="1">
      <c r="L1666" s="747"/>
    </row>
    <row r="1667" spans="12:12" ht="23.25" hidden="1" customHeight="1">
      <c r="L1667" s="747"/>
    </row>
    <row r="1668" spans="12:12" ht="23.25" hidden="1" customHeight="1">
      <c r="L1668" s="747"/>
    </row>
    <row r="1669" spans="12:12" ht="23.25" hidden="1" customHeight="1">
      <c r="L1669" s="747"/>
    </row>
    <row r="1670" spans="12:12" ht="23.25" hidden="1" customHeight="1">
      <c r="L1670" s="747"/>
    </row>
    <row r="1671" spans="12:12" ht="23.25" hidden="1" customHeight="1">
      <c r="L1671" s="747"/>
    </row>
    <row r="1672" spans="12:12" ht="23.25" hidden="1" customHeight="1">
      <c r="L1672" s="747"/>
    </row>
    <row r="1673" spans="12:12" ht="23.25" hidden="1" customHeight="1">
      <c r="L1673" s="747"/>
    </row>
    <row r="1674" spans="12:12" ht="23.25" hidden="1" customHeight="1">
      <c r="L1674" s="747"/>
    </row>
    <row r="1675" spans="12:12" ht="23.25" hidden="1" customHeight="1">
      <c r="L1675" s="747"/>
    </row>
    <row r="1676" spans="12:12" ht="23.25" hidden="1" customHeight="1">
      <c r="L1676" s="747"/>
    </row>
    <row r="1677" spans="12:12" ht="23.25" hidden="1" customHeight="1">
      <c r="L1677" s="747"/>
    </row>
    <row r="1678" spans="12:12" ht="23.25" hidden="1" customHeight="1">
      <c r="L1678" s="747"/>
    </row>
    <row r="1679" spans="12:12">
      <c r="L1679" s="747"/>
    </row>
    <row r="1680" spans="12:12">
      <c r="L1680" s="747"/>
    </row>
    <row r="1681" spans="12:12" ht="23.25" hidden="1" customHeight="1">
      <c r="L1681" s="747"/>
    </row>
    <row r="1682" spans="12:12" ht="23.25" hidden="1" customHeight="1">
      <c r="L1682" s="747"/>
    </row>
    <row r="1683" spans="12:12" ht="23.25" hidden="1" customHeight="1">
      <c r="L1683" s="747"/>
    </row>
    <row r="1684" spans="12:12" ht="23.25" hidden="1" customHeight="1">
      <c r="L1684" s="747"/>
    </row>
    <row r="1685" spans="12:12" ht="23.25" hidden="1" customHeight="1">
      <c r="L1685" s="747"/>
    </row>
    <row r="1686" spans="12:12" ht="23.25" hidden="1" customHeight="1">
      <c r="L1686" s="747"/>
    </row>
    <row r="1687" spans="12:12" ht="23.25" hidden="1" customHeight="1">
      <c r="L1687" s="747"/>
    </row>
    <row r="1688" spans="12:12" ht="23.25" hidden="1" customHeight="1">
      <c r="L1688" s="747"/>
    </row>
    <row r="1689" spans="12:12">
      <c r="L1689" s="747"/>
    </row>
    <row r="1690" spans="12:12">
      <c r="L1690" s="747"/>
    </row>
    <row r="1691" spans="12:12">
      <c r="L1691" s="747"/>
    </row>
    <row r="1692" spans="12:12">
      <c r="L1692" s="747"/>
    </row>
    <row r="1693" spans="12:12" ht="23.25" hidden="1" customHeight="1">
      <c r="L1693" s="747"/>
    </row>
    <row r="1694" spans="12:12">
      <c r="L1694" s="747"/>
    </row>
    <row r="1695" spans="12:12">
      <c r="L1695" s="747"/>
    </row>
    <row r="1696" spans="12:12">
      <c r="L1696" s="747"/>
    </row>
    <row r="1697" spans="12:12">
      <c r="L1697" s="747"/>
    </row>
    <row r="1698" spans="12:12">
      <c r="L1698" s="747"/>
    </row>
    <row r="1699" spans="12:12" ht="23.25" hidden="1" customHeight="1">
      <c r="L1699" s="747"/>
    </row>
    <row r="1700" spans="12:12" ht="23.25" hidden="1" customHeight="1">
      <c r="L1700" s="747"/>
    </row>
    <row r="1701" spans="12:12">
      <c r="L1701" s="747"/>
    </row>
    <row r="1702" spans="12:12">
      <c r="L1702" s="747"/>
    </row>
    <row r="1703" spans="12:12">
      <c r="L1703" s="747"/>
    </row>
    <row r="1704" spans="12:12" ht="23.25" hidden="1" customHeight="1">
      <c r="L1704" s="747"/>
    </row>
    <row r="1705" spans="12:12" ht="23.25" hidden="1" customHeight="1">
      <c r="L1705" s="747"/>
    </row>
    <row r="1706" spans="12:12">
      <c r="L1706" s="747"/>
    </row>
    <row r="1707" spans="12:12" ht="23.25" hidden="1" customHeight="1">
      <c r="L1707" s="747"/>
    </row>
    <row r="1708" spans="12:12">
      <c r="L1708" s="747"/>
    </row>
    <row r="1709" spans="12:12">
      <c r="L1709" s="747"/>
    </row>
    <row r="1710" spans="12:12">
      <c r="L1710" s="747"/>
    </row>
    <row r="1711" spans="12:12">
      <c r="L1711" s="747"/>
    </row>
    <row r="1712" spans="12:12" ht="23.25" hidden="1" customHeight="1">
      <c r="L1712" s="747"/>
    </row>
    <row r="1713" spans="12:12" ht="23.25" hidden="1" customHeight="1">
      <c r="L1713" s="747"/>
    </row>
    <row r="1714" spans="12:12">
      <c r="L1714" s="747"/>
    </row>
    <row r="1715" spans="12:12" ht="23.25" hidden="1" customHeight="1">
      <c r="L1715" s="747"/>
    </row>
    <row r="1716" spans="12:12" ht="23.25" hidden="1" customHeight="1">
      <c r="L1716" s="747"/>
    </row>
    <row r="1717" spans="12:12" ht="23.25" hidden="1" customHeight="1">
      <c r="L1717" s="747"/>
    </row>
    <row r="1718" spans="12:12" ht="23.25" hidden="1" customHeight="1">
      <c r="L1718" s="747"/>
    </row>
    <row r="1719" spans="12:12">
      <c r="L1719" s="747"/>
    </row>
    <row r="1720" spans="12:12">
      <c r="L1720" s="747"/>
    </row>
    <row r="1721" spans="12:12" ht="23.25" hidden="1" customHeight="1">
      <c r="L1721" s="747"/>
    </row>
    <row r="1722" spans="12:12">
      <c r="L1722" s="747"/>
    </row>
    <row r="1723" spans="12:12">
      <c r="L1723" s="747"/>
    </row>
    <row r="1724" spans="12:12">
      <c r="L1724" s="747"/>
    </row>
    <row r="1725" spans="12:12" ht="23.25" hidden="1" customHeight="1">
      <c r="L1725" s="747"/>
    </row>
    <row r="1726" spans="12:12" ht="23.25" hidden="1" customHeight="1">
      <c r="L1726" s="747"/>
    </row>
    <row r="1727" spans="12:12">
      <c r="L1727" s="747"/>
    </row>
    <row r="1728" spans="12:12">
      <c r="L1728" s="747"/>
    </row>
    <row r="1729" spans="12:12">
      <c r="L1729" s="747"/>
    </row>
    <row r="1730" spans="12:12">
      <c r="L1730" s="747"/>
    </row>
    <row r="1731" spans="12:12">
      <c r="L1731" s="747"/>
    </row>
    <row r="1732" spans="12:12" ht="23.25" hidden="1" customHeight="1">
      <c r="L1732" s="747"/>
    </row>
    <row r="1733" spans="12:12">
      <c r="L1733" s="747"/>
    </row>
    <row r="1734" spans="12:12" ht="23.25" hidden="1" customHeight="1">
      <c r="L1734" s="747"/>
    </row>
    <row r="1735" spans="12:12" ht="23.25" hidden="1" customHeight="1">
      <c r="L1735" s="747"/>
    </row>
    <row r="1736" spans="12:12" ht="23.25" hidden="1" customHeight="1">
      <c r="L1736" s="747"/>
    </row>
    <row r="1737" spans="12:12" ht="23.25" hidden="1" customHeight="1">
      <c r="L1737" s="747"/>
    </row>
    <row r="1738" spans="12:12">
      <c r="L1738" s="747"/>
    </row>
    <row r="1739" spans="12:12">
      <c r="L1739" s="747"/>
    </row>
    <row r="1740" spans="12:12" ht="23.25" hidden="1" customHeight="1">
      <c r="L1740" s="747"/>
    </row>
    <row r="1741" spans="12:12">
      <c r="L1741" s="747"/>
    </row>
    <row r="1742" spans="12:12">
      <c r="L1742" s="747"/>
    </row>
    <row r="1743" spans="12:12">
      <c r="L1743" s="747"/>
    </row>
    <row r="1744" spans="12:12">
      <c r="L1744" s="747"/>
    </row>
    <row r="1745" spans="12:12">
      <c r="L1745" s="747"/>
    </row>
    <row r="1746" spans="12:12">
      <c r="L1746" s="747"/>
    </row>
    <row r="1747" spans="12:12" ht="23.25" hidden="1" customHeight="1">
      <c r="L1747" s="747"/>
    </row>
    <row r="1748" spans="12:12" ht="23.25" hidden="1" customHeight="1">
      <c r="L1748" s="747"/>
    </row>
    <row r="1749" spans="12:12" ht="23.25" hidden="1" customHeight="1">
      <c r="L1749" s="747"/>
    </row>
    <row r="1750" spans="12:12">
      <c r="L1750" s="747"/>
    </row>
    <row r="1751" spans="12:12">
      <c r="L1751" s="747"/>
    </row>
    <row r="1752" spans="12:12">
      <c r="L1752" s="747"/>
    </row>
    <row r="1753" spans="12:12">
      <c r="L1753" s="747"/>
    </row>
    <row r="1754" spans="12:12">
      <c r="L1754" s="747"/>
    </row>
    <row r="1755" spans="12:12">
      <c r="L1755" s="747"/>
    </row>
    <row r="1756" spans="12:12">
      <c r="L1756" s="747"/>
    </row>
    <row r="1757" spans="12:12">
      <c r="L1757" s="747"/>
    </row>
    <row r="1758" spans="12:12">
      <c r="L1758" s="747"/>
    </row>
    <row r="1759" spans="12:12">
      <c r="L1759" s="747"/>
    </row>
    <row r="1760" spans="12:12">
      <c r="L1760" s="747"/>
    </row>
    <row r="1761" spans="12:12">
      <c r="L1761" s="747"/>
    </row>
    <row r="1762" spans="12:12">
      <c r="L1762" s="747"/>
    </row>
    <row r="1763" spans="12:12" ht="23.25" hidden="1" customHeight="1">
      <c r="L1763" s="747"/>
    </row>
    <row r="1764" spans="12:12" ht="23.25" hidden="1" customHeight="1">
      <c r="L1764" s="747"/>
    </row>
    <row r="1765" spans="12:12" ht="23.25" hidden="1" customHeight="1">
      <c r="L1765" s="747"/>
    </row>
    <row r="1766" spans="12:12" ht="23.25" hidden="1" customHeight="1">
      <c r="L1766" s="747"/>
    </row>
    <row r="1767" spans="12:12" ht="23.25" hidden="1" customHeight="1">
      <c r="L1767" s="747"/>
    </row>
    <row r="1768" spans="12:12" ht="23.25" hidden="1" customHeight="1">
      <c r="L1768" s="747"/>
    </row>
    <row r="1769" spans="12:12" ht="23.25" hidden="1" customHeight="1">
      <c r="L1769" s="747"/>
    </row>
    <row r="1770" spans="12:12" ht="23.25" hidden="1" customHeight="1">
      <c r="L1770" s="747"/>
    </row>
    <row r="1771" spans="12:12" ht="23.25" hidden="1" customHeight="1">
      <c r="L1771" s="747"/>
    </row>
    <row r="1772" spans="12:12">
      <c r="L1772" s="747"/>
    </row>
    <row r="1773" spans="12:12">
      <c r="L1773" s="747"/>
    </row>
    <row r="1774" spans="12:12">
      <c r="L1774" s="747"/>
    </row>
    <row r="1775" spans="12:12">
      <c r="L1775" s="747"/>
    </row>
    <row r="1776" spans="12:12">
      <c r="L1776" s="747"/>
    </row>
    <row r="1777" spans="12:12">
      <c r="L1777" s="747"/>
    </row>
    <row r="1778" spans="12:12">
      <c r="L1778" s="747"/>
    </row>
    <row r="1779" spans="12:12">
      <c r="L1779" s="747"/>
    </row>
    <row r="1780" spans="12:12">
      <c r="L1780" s="747"/>
    </row>
    <row r="1781" spans="12:12">
      <c r="L1781" s="747"/>
    </row>
    <row r="1782" spans="12:12">
      <c r="L1782" s="747"/>
    </row>
    <row r="1783" spans="12:12">
      <c r="L1783" s="747"/>
    </row>
    <row r="1784" spans="12:12">
      <c r="L1784" s="747"/>
    </row>
    <row r="1785" spans="12:12">
      <c r="L1785" s="747"/>
    </row>
    <row r="1786" spans="12:12">
      <c r="L1786" s="747"/>
    </row>
    <row r="1787" spans="12:12">
      <c r="L1787" s="747"/>
    </row>
    <row r="1788" spans="12:12">
      <c r="L1788" s="747"/>
    </row>
    <row r="1789" spans="12:12">
      <c r="L1789" s="747"/>
    </row>
    <row r="1790" spans="12:12">
      <c r="L1790" s="747"/>
    </row>
    <row r="1791" spans="12:12">
      <c r="L1791" s="747"/>
    </row>
    <row r="1792" spans="12:12">
      <c r="L1792" s="747"/>
    </row>
    <row r="1793" spans="12:12">
      <c r="L1793" s="747"/>
    </row>
    <row r="1794" spans="12:12">
      <c r="L1794" s="747"/>
    </row>
    <row r="1795" spans="12:12">
      <c r="L1795" s="747"/>
    </row>
    <row r="1796" spans="12:12">
      <c r="L1796" s="747"/>
    </row>
    <row r="1797" spans="12:12">
      <c r="L1797" s="747"/>
    </row>
    <row r="1798" spans="12:12">
      <c r="L1798" s="747"/>
    </row>
    <row r="1799" spans="12:12">
      <c r="L1799" s="747"/>
    </row>
    <row r="1800" spans="12:12">
      <c r="L1800" s="747"/>
    </row>
    <row r="1801" spans="12:12">
      <c r="L1801" s="747"/>
    </row>
    <row r="1802" spans="12:12">
      <c r="L1802" s="747"/>
    </row>
    <row r="1803" spans="12:12">
      <c r="L1803" s="747"/>
    </row>
    <row r="1804" spans="12:12">
      <c r="L1804" s="747"/>
    </row>
    <row r="1805" spans="12:12">
      <c r="L1805" s="747"/>
    </row>
    <row r="1806" spans="12:12">
      <c r="L1806" s="747"/>
    </row>
    <row r="1807" spans="12:12">
      <c r="L1807" s="747"/>
    </row>
    <row r="1808" spans="12:12">
      <c r="L1808" s="747"/>
    </row>
    <row r="1809" spans="12:12">
      <c r="L1809" s="747"/>
    </row>
    <row r="1810" spans="12:12">
      <c r="L1810" s="747"/>
    </row>
    <row r="1811" spans="12:12">
      <c r="L1811" s="747"/>
    </row>
    <row r="1812" spans="12:12">
      <c r="L1812" s="747"/>
    </row>
    <row r="1813" spans="12:12">
      <c r="L1813" s="747"/>
    </row>
    <row r="1814" spans="12:12">
      <c r="L1814" s="747"/>
    </row>
    <row r="1815" spans="12:12">
      <c r="L1815" s="747"/>
    </row>
    <row r="1816" spans="12:12">
      <c r="L1816" s="747"/>
    </row>
    <row r="1817" spans="12:12">
      <c r="L1817" s="747"/>
    </row>
    <row r="1818" spans="12:12">
      <c r="L1818" s="747"/>
    </row>
    <row r="1819" spans="12:12">
      <c r="L1819" s="747"/>
    </row>
    <row r="1820" spans="12:12">
      <c r="L1820" s="747"/>
    </row>
    <row r="1821" spans="12:12">
      <c r="L1821" s="747"/>
    </row>
    <row r="1822" spans="12:12">
      <c r="L1822" s="747"/>
    </row>
    <row r="1823" spans="12:12">
      <c r="L1823" s="747"/>
    </row>
    <row r="1824" spans="12:12">
      <c r="L1824" s="747"/>
    </row>
    <row r="1825" spans="12:12">
      <c r="L1825" s="747"/>
    </row>
    <row r="1826" spans="12:12">
      <c r="L1826" s="747"/>
    </row>
    <row r="1827" spans="12:12">
      <c r="L1827" s="747"/>
    </row>
    <row r="1828" spans="12:12">
      <c r="L1828" s="747"/>
    </row>
    <row r="1829" spans="12:12">
      <c r="L1829" s="747"/>
    </row>
    <row r="1830" spans="12:12">
      <c r="L1830" s="747"/>
    </row>
    <row r="1831" spans="12:12">
      <c r="L1831" s="747"/>
    </row>
    <row r="1832" spans="12:12">
      <c r="L1832" s="747"/>
    </row>
    <row r="1833" spans="12:12">
      <c r="L1833" s="747"/>
    </row>
    <row r="1834" spans="12:12">
      <c r="L1834" s="747"/>
    </row>
    <row r="1835" spans="12:12">
      <c r="L1835" s="747"/>
    </row>
    <row r="1836" spans="12:12">
      <c r="L1836" s="747"/>
    </row>
    <row r="1837" spans="12:12" ht="23.25" hidden="1" customHeight="1">
      <c r="L1837" s="747"/>
    </row>
    <row r="1838" spans="12:12" ht="23.25" hidden="1" customHeight="1">
      <c r="L1838" s="747"/>
    </row>
    <row r="1839" spans="12:12" ht="23.25" hidden="1" customHeight="1">
      <c r="L1839" s="747"/>
    </row>
    <row r="1840" spans="12:12" ht="23.25" hidden="1" customHeight="1">
      <c r="L1840" s="747"/>
    </row>
    <row r="1841" spans="12:12" ht="23.25" hidden="1" customHeight="1">
      <c r="L1841" s="747"/>
    </row>
    <row r="1842" spans="12:12" ht="23.25" hidden="1" customHeight="1">
      <c r="L1842" s="747"/>
    </row>
    <row r="1843" spans="12:12" ht="23.25" hidden="1" customHeight="1">
      <c r="L1843" s="747"/>
    </row>
    <row r="1844" spans="12:12" ht="23.25" hidden="1" customHeight="1">
      <c r="L1844" s="747"/>
    </row>
    <row r="1845" spans="12:12" ht="23.25" hidden="1" customHeight="1">
      <c r="L1845" s="747"/>
    </row>
    <row r="1846" spans="12:12" ht="23.25" hidden="1" customHeight="1">
      <c r="L1846" s="747"/>
    </row>
    <row r="1847" spans="12:12" ht="23.25" hidden="1" customHeight="1">
      <c r="L1847" s="747"/>
    </row>
    <row r="1848" spans="12:12" ht="23.25" hidden="1" customHeight="1">
      <c r="L1848" s="747"/>
    </row>
    <row r="1849" spans="12:12" ht="23.25" hidden="1" customHeight="1">
      <c r="L1849" s="747"/>
    </row>
    <row r="1850" spans="12:12" ht="23.25" hidden="1" customHeight="1">
      <c r="L1850" s="747"/>
    </row>
    <row r="1851" spans="12:12" ht="23.25" hidden="1" customHeight="1">
      <c r="L1851" s="747"/>
    </row>
    <row r="1852" spans="12:12" ht="23.25" hidden="1" customHeight="1">
      <c r="L1852" s="747"/>
    </row>
    <row r="1853" spans="12:12" ht="23.25" hidden="1" customHeight="1">
      <c r="L1853" s="747"/>
    </row>
    <row r="1854" spans="12:12" ht="23.25" hidden="1" customHeight="1">
      <c r="L1854" s="747"/>
    </row>
    <row r="1855" spans="12:12" ht="23.25" hidden="1" customHeight="1">
      <c r="L1855" s="747"/>
    </row>
    <row r="1856" spans="12:12" ht="23.25" hidden="1" customHeight="1">
      <c r="L1856" s="747"/>
    </row>
    <row r="1857" spans="12:12" ht="23.25" hidden="1" customHeight="1">
      <c r="L1857" s="747"/>
    </row>
    <row r="1858" spans="12:12" ht="23.25" hidden="1" customHeight="1">
      <c r="L1858" s="747"/>
    </row>
    <row r="1859" spans="12:12" ht="23.25" hidden="1" customHeight="1">
      <c r="L1859" s="747"/>
    </row>
    <row r="1860" spans="12:12" ht="23.25" hidden="1" customHeight="1">
      <c r="L1860" s="747"/>
    </row>
    <row r="1861" spans="12:12" ht="23.25" hidden="1" customHeight="1">
      <c r="L1861" s="747"/>
    </row>
    <row r="1862" spans="12:12" ht="23.25" hidden="1" customHeight="1">
      <c r="L1862" s="747"/>
    </row>
    <row r="1863" spans="12:12" ht="23.25" hidden="1" customHeight="1">
      <c r="L1863" s="747"/>
    </row>
    <row r="1864" spans="12:12" ht="23.25" hidden="1" customHeight="1">
      <c r="L1864" s="747"/>
    </row>
    <row r="1865" spans="12:12" ht="23.25" hidden="1" customHeight="1">
      <c r="L1865" s="747"/>
    </row>
    <row r="1866" spans="12:12" ht="23.25" hidden="1" customHeight="1">
      <c r="L1866" s="747"/>
    </row>
    <row r="1867" spans="12:12" ht="23.25" hidden="1" customHeight="1">
      <c r="L1867" s="747"/>
    </row>
    <row r="1868" spans="12:12" ht="23.25" hidden="1" customHeight="1">
      <c r="L1868" s="747"/>
    </row>
    <row r="1869" spans="12:12" ht="23.25" hidden="1" customHeight="1">
      <c r="L1869" s="747"/>
    </row>
    <row r="1870" spans="12:12" ht="23.25" hidden="1" customHeight="1">
      <c r="L1870" s="747"/>
    </row>
    <row r="1871" spans="12:12" ht="23.25" hidden="1" customHeight="1">
      <c r="L1871" s="747"/>
    </row>
    <row r="1872" spans="12:12" ht="23.25" hidden="1" customHeight="1">
      <c r="L1872" s="747"/>
    </row>
    <row r="1873" spans="12:12" ht="23.25" hidden="1" customHeight="1">
      <c r="L1873" s="747"/>
    </row>
    <row r="1874" spans="12:12" ht="23.25" hidden="1" customHeight="1">
      <c r="L1874" s="747"/>
    </row>
    <row r="1875" spans="12:12" ht="23.25" hidden="1" customHeight="1">
      <c r="L1875" s="747"/>
    </row>
    <row r="1876" spans="12:12" ht="23.25" hidden="1" customHeight="1">
      <c r="L1876" s="747"/>
    </row>
    <row r="1877" spans="12:12" ht="23.25" hidden="1" customHeight="1">
      <c r="L1877" s="747"/>
    </row>
    <row r="1878" spans="12:12" ht="23.25" hidden="1" customHeight="1">
      <c r="L1878" s="747"/>
    </row>
    <row r="1879" spans="12:12" ht="23.25" hidden="1" customHeight="1">
      <c r="L1879" s="747"/>
    </row>
    <row r="1880" spans="12:12" ht="23.25" hidden="1" customHeight="1">
      <c r="L1880" s="747"/>
    </row>
    <row r="1881" spans="12:12" ht="23.25" hidden="1" customHeight="1">
      <c r="L1881" s="747"/>
    </row>
    <row r="1882" spans="12:12" ht="23.25" hidden="1" customHeight="1">
      <c r="L1882" s="747"/>
    </row>
    <row r="1883" spans="12:12" ht="23.25" hidden="1" customHeight="1">
      <c r="L1883" s="747"/>
    </row>
    <row r="1884" spans="12:12">
      <c r="L1884" s="747"/>
    </row>
    <row r="1885" spans="12:12" ht="23.25" hidden="1" customHeight="1">
      <c r="L1885" s="747"/>
    </row>
    <row r="1886" spans="12:12" ht="23.25" hidden="1" customHeight="1">
      <c r="L1886" s="747"/>
    </row>
    <row r="1887" spans="12:12" ht="23.25" hidden="1" customHeight="1">
      <c r="L1887" s="747"/>
    </row>
    <row r="1888" spans="12:12" ht="23.25" hidden="1" customHeight="1">
      <c r="L1888" s="747"/>
    </row>
    <row r="1889" spans="12:12" ht="23.25" hidden="1" customHeight="1">
      <c r="L1889" s="747"/>
    </row>
    <row r="1890" spans="12:12">
      <c r="L1890" s="747"/>
    </row>
    <row r="1891" spans="12:12">
      <c r="L1891" s="747"/>
    </row>
    <row r="1892" spans="12:12" ht="23.25" hidden="1" customHeight="1">
      <c r="L1892" s="747"/>
    </row>
    <row r="1893" spans="12:12" ht="23.25" hidden="1" customHeight="1">
      <c r="L1893" s="747"/>
    </row>
    <row r="1894" spans="12:12" ht="23.25" hidden="1" customHeight="1">
      <c r="L1894" s="747"/>
    </row>
    <row r="1895" spans="12:12" ht="23.25" hidden="1" customHeight="1">
      <c r="L1895" s="747"/>
    </row>
    <row r="1896" spans="12:12" ht="23.25" hidden="1" customHeight="1">
      <c r="L1896" s="747"/>
    </row>
    <row r="1897" spans="12:12" ht="23.25" hidden="1" customHeight="1">
      <c r="L1897" s="747"/>
    </row>
    <row r="1898" spans="12:12" ht="23.25" hidden="1" customHeight="1">
      <c r="L1898" s="747"/>
    </row>
    <row r="1899" spans="12:12" ht="23.25" hidden="1" customHeight="1">
      <c r="L1899" s="747"/>
    </row>
    <row r="1900" spans="12:12" ht="23.25" hidden="1" customHeight="1">
      <c r="L1900" s="747"/>
    </row>
    <row r="1901" spans="12:12" ht="23.25" hidden="1" customHeight="1">
      <c r="L1901" s="747"/>
    </row>
    <row r="1902" spans="12:12" ht="23.25" hidden="1" customHeight="1">
      <c r="L1902" s="747"/>
    </row>
    <row r="1903" spans="12:12" ht="23.25" hidden="1" customHeight="1">
      <c r="L1903" s="747"/>
    </row>
    <row r="1904" spans="12:12" ht="23.25" hidden="1" customHeight="1">
      <c r="L1904" s="747"/>
    </row>
    <row r="1905" spans="12:12" ht="23.25" hidden="1" customHeight="1">
      <c r="L1905" s="747"/>
    </row>
    <row r="1906" spans="12:12" ht="23.25" hidden="1" customHeight="1">
      <c r="L1906" s="747"/>
    </row>
    <row r="1907" spans="12:12" ht="23.25" hidden="1" customHeight="1">
      <c r="L1907" s="747"/>
    </row>
    <row r="1908" spans="12:12" ht="23.25" hidden="1" customHeight="1">
      <c r="L1908" s="747"/>
    </row>
    <row r="1909" spans="12:12" ht="23.25" hidden="1" customHeight="1">
      <c r="L1909" s="747"/>
    </row>
    <row r="1910" spans="12:12">
      <c r="L1910" s="747"/>
    </row>
    <row r="1911" spans="12:12">
      <c r="L1911" s="747"/>
    </row>
    <row r="1912" spans="12:12">
      <c r="L1912" s="747"/>
    </row>
    <row r="1913" spans="12:12">
      <c r="L1913" s="747"/>
    </row>
    <row r="1914" spans="12:12">
      <c r="L1914" s="747"/>
    </row>
    <row r="1915" spans="12:12">
      <c r="L1915" s="747"/>
    </row>
    <row r="1916" spans="12:12">
      <c r="L1916" s="747"/>
    </row>
    <row r="1917" spans="12:12" ht="23.25" hidden="1" customHeight="1">
      <c r="L1917" s="747"/>
    </row>
    <row r="1918" spans="12:12" ht="23.25" hidden="1" customHeight="1">
      <c r="L1918" s="747"/>
    </row>
    <row r="1919" spans="12:12" ht="23.25" hidden="1" customHeight="1">
      <c r="L1919" s="747"/>
    </row>
    <row r="1920" spans="12:12" ht="23.25" hidden="1" customHeight="1">
      <c r="L1920" s="747"/>
    </row>
    <row r="1921" spans="12:12" ht="23.25" hidden="1" customHeight="1">
      <c r="L1921" s="747"/>
    </row>
    <row r="1922" spans="12:12" ht="23.25" hidden="1" customHeight="1">
      <c r="L1922" s="747"/>
    </row>
    <row r="1923" spans="12:12" ht="23.25" hidden="1" customHeight="1">
      <c r="L1923" s="747"/>
    </row>
    <row r="1924" spans="12:12" ht="23.25" hidden="1" customHeight="1">
      <c r="L1924" s="747"/>
    </row>
    <row r="1925" spans="12:12" ht="23.25" hidden="1" customHeight="1">
      <c r="L1925" s="747"/>
    </row>
    <row r="1926" spans="12:12">
      <c r="L1926" s="747"/>
    </row>
    <row r="1927" spans="12:12">
      <c r="L1927" s="747"/>
    </row>
    <row r="1928" spans="12:12" ht="23.25" hidden="1" customHeight="1">
      <c r="L1928" s="747"/>
    </row>
    <row r="1929" spans="12:12" ht="23.25" hidden="1" customHeight="1">
      <c r="L1929" s="747"/>
    </row>
    <row r="1930" spans="12:12" ht="23.25" hidden="1" customHeight="1">
      <c r="L1930" s="747"/>
    </row>
    <row r="1931" spans="12:12" ht="23.25" hidden="1" customHeight="1">
      <c r="L1931" s="747"/>
    </row>
    <row r="1932" spans="12:12" ht="23.25" hidden="1" customHeight="1">
      <c r="L1932" s="747"/>
    </row>
    <row r="1933" spans="12:12" ht="23.25" hidden="1" customHeight="1">
      <c r="L1933" s="747"/>
    </row>
    <row r="1934" spans="12:12">
      <c r="L1934" s="747"/>
    </row>
    <row r="1935" spans="12:12">
      <c r="L1935" s="747"/>
    </row>
    <row r="1936" spans="12:12">
      <c r="L1936" s="747"/>
    </row>
    <row r="1937" spans="12:12">
      <c r="L1937" s="747"/>
    </row>
    <row r="1938" spans="12:12" ht="23.25" hidden="1" customHeight="1">
      <c r="L1938" s="747"/>
    </row>
    <row r="1939" spans="12:12">
      <c r="L1939" s="747"/>
    </row>
    <row r="1940" spans="12:12" ht="23.25" hidden="1" customHeight="1">
      <c r="L1940" s="747"/>
    </row>
    <row r="1941" spans="12:12">
      <c r="L1941" s="747"/>
    </row>
    <row r="1942" spans="12:12">
      <c r="L1942" s="747"/>
    </row>
    <row r="1943" spans="12:12">
      <c r="L1943" s="747"/>
    </row>
    <row r="1944" spans="12:12" ht="23.25" hidden="1" customHeight="1">
      <c r="L1944" s="747"/>
    </row>
    <row r="1945" spans="12:12" ht="23.25" hidden="1" customHeight="1">
      <c r="L1945" s="747"/>
    </row>
    <row r="1946" spans="12:12">
      <c r="L1946" s="747"/>
    </row>
    <row r="1947" spans="12:12" ht="23.25" hidden="1" customHeight="1">
      <c r="L1947" s="747"/>
    </row>
    <row r="1948" spans="12:12">
      <c r="L1948" s="747"/>
    </row>
    <row r="1949" spans="12:12" ht="23.25" hidden="1" customHeight="1">
      <c r="L1949" s="747"/>
    </row>
    <row r="1950" spans="12:12" ht="23.25" hidden="1" customHeight="1">
      <c r="L1950" s="747"/>
    </row>
    <row r="1951" spans="12:12" ht="23.25" hidden="1" customHeight="1">
      <c r="L1951" s="747"/>
    </row>
    <row r="1952" spans="12:12">
      <c r="L1952" s="747"/>
    </row>
    <row r="1953" spans="12:12">
      <c r="L1953" s="747"/>
    </row>
    <row r="1954" spans="12:12">
      <c r="L1954" s="747"/>
    </row>
    <row r="1955" spans="12:12">
      <c r="L1955" s="747"/>
    </row>
    <row r="1956" spans="12:12">
      <c r="L1956" s="747"/>
    </row>
    <row r="1957" spans="12:12">
      <c r="L1957" s="747"/>
    </row>
    <row r="1958" spans="12:12">
      <c r="L1958" s="747"/>
    </row>
    <row r="1959" spans="12:12">
      <c r="L1959" s="747"/>
    </row>
    <row r="1960" spans="12:12" ht="23.25" hidden="1" customHeight="1">
      <c r="L1960" s="747"/>
    </row>
    <row r="1961" spans="12:12" ht="23.25" hidden="1" customHeight="1">
      <c r="L1961" s="747"/>
    </row>
    <row r="1962" spans="12:12" ht="23.25" hidden="1" customHeight="1">
      <c r="L1962" s="747"/>
    </row>
    <row r="1963" spans="12:12" ht="23.25" hidden="1" customHeight="1">
      <c r="L1963" s="747"/>
    </row>
    <row r="1964" spans="12:12" ht="23.25" hidden="1" customHeight="1">
      <c r="L1964" s="747"/>
    </row>
    <row r="1965" spans="12:12">
      <c r="L1965" s="747"/>
    </row>
    <row r="1966" spans="12:12" ht="23.25" hidden="1" customHeight="1">
      <c r="L1966" s="747"/>
    </row>
    <row r="1967" spans="12:12">
      <c r="L1967" s="747"/>
    </row>
    <row r="1968" spans="12:12">
      <c r="L1968" s="747"/>
    </row>
    <row r="1969" spans="12:12">
      <c r="L1969" s="747"/>
    </row>
    <row r="1970" spans="12:12" ht="23.25" hidden="1" customHeight="1">
      <c r="L1970" s="747"/>
    </row>
    <row r="1971" spans="12:12" ht="23.25" hidden="1" customHeight="1">
      <c r="L1971" s="747"/>
    </row>
    <row r="1972" spans="12:12">
      <c r="L1972" s="747"/>
    </row>
    <row r="1973" spans="12:12">
      <c r="L1973" s="747"/>
    </row>
    <row r="1974" spans="12:12">
      <c r="L1974" s="747"/>
    </row>
    <row r="1975" spans="12:12">
      <c r="L1975" s="747"/>
    </row>
    <row r="1976" spans="12:12">
      <c r="L1976" s="747"/>
    </row>
    <row r="1977" spans="12:12" ht="23.25" hidden="1" customHeight="1">
      <c r="L1977" s="747"/>
    </row>
    <row r="1978" spans="12:12">
      <c r="L1978" s="747"/>
    </row>
    <row r="1979" spans="12:12" ht="23.25" hidden="1" customHeight="1">
      <c r="L1979" s="747"/>
    </row>
    <row r="1980" spans="12:12">
      <c r="L1980" s="747"/>
    </row>
    <row r="1981" spans="12:12">
      <c r="L1981" s="747"/>
    </row>
    <row r="1982" spans="12:12" ht="23.25" hidden="1" customHeight="1">
      <c r="L1982" s="747"/>
    </row>
    <row r="1983" spans="12:12">
      <c r="L1983" s="747"/>
    </row>
    <row r="1984" spans="12:12" ht="23.25" hidden="1" customHeight="1">
      <c r="L1984" s="747"/>
    </row>
    <row r="1985" spans="12:12" ht="23.25" hidden="1" customHeight="1">
      <c r="L1985" s="747"/>
    </row>
    <row r="1986" spans="12:12">
      <c r="L1986" s="747"/>
    </row>
    <row r="1987" spans="12:12">
      <c r="L1987" s="747"/>
    </row>
    <row r="1988" spans="12:12">
      <c r="L1988" s="747"/>
    </row>
    <row r="1989" spans="12:12">
      <c r="L1989" s="747"/>
    </row>
    <row r="1990" spans="12:12">
      <c r="L1990" s="747"/>
    </row>
    <row r="1991" spans="12:12">
      <c r="L1991" s="747"/>
    </row>
    <row r="1992" spans="12:12" ht="23.25" hidden="1" customHeight="1">
      <c r="L1992" s="747"/>
    </row>
    <row r="1993" spans="12:12" ht="23.25" hidden="1" customHeight="1">
      <c r="L1993" s="747"/>
    </row>
    <row r="1994" spans="12:12" ht="23.25" hidden="1" customHeight="1">
      <c r="L1994" s="747"/>
    </row>
    <row r="1995" spans="12:12">
      <c r="L1995" s="747"/>
    </row>
    <row r="1996" spans="12:12">
      <c r="L1996" s="747"/>
    </row>
    <row r="1997" spans="12:12">
      <c r="L1997" s="747"/>
    </row>
    <row r="1998" spans="12:12">
      <c r="L1998" s="747"/>
    </row>
    <row r="1999" spans="12:12" ht="23.25" hidden="1" customHeight="1">
      <c r="L1999" s="747"/>
    </row>
    <row r="2000" spans="12:12">
      <c r="L2000" s="747"/>
    </row>
    <row r="2001" spans="12:12">
      <c r="L2001" s="747"/>
    </row>
    <row r="2002" spans="12:12">
      <c r="L2002" s="747"/>
    </row>
    <row r="2003" spans="12:12">
      <c r="L2003" s="747"/>
    </row>
    <row r="2004" spans="12:12">
      <c r="L2004" s="747"/>
    </row>
    <row r="2005" spans="12:12">
      <c r="L2005" s="747"/>
    </row>
    <row r="2006" spans="12:12" ht="23.25" hidden="1" customHeight="1">
      <c r="L2006" s="747"/>
    </row>
    <row r="2007" spans="12:12" ht="23.25" hidden="1" customHeight="1">
      <c r="L2007" s="747"/>
    </row>
    <row r="2008" spans="12:12" ht="23.25" hidden="1" customHeight="1">
      <c r="L2008" s="747"/>
    </row>
    <row r="2009" spans="12:12" ht="23.25" hidden="1" customHeight="1">
      <c r="L2009" s="747"/>
    </row>
    <row r="2010" spans="12:12" ht="23.25" hidden="1" customHeight="1">
      <c r="L2010" s="747"/>
    </row>
    <row r="2011" spans="12:12" ht="23.25" hidden="1" customHeight="1">
      <c r="L2011" s="747"/>
    </row>
    <row r="2012" spans="12:12" ht="23.25" hidden="1" customHeight="1">
      <c r="L2012" s="747"/>
    </row>
    <row r="2013" spans="12:12" ht="23.25" hidden="1" customHeight="1">
      <c r="L2013" s="747"/>
    </row>
    <row r="2014" spans="12:12">
      <c r="L2014" s="747"/>
    </row>
    <row r="2015" spans="12:12">
      <c r="L2015" s="747"/>
    </row>
    <row r="2016" spans="12:12">
      <c r="L2016" s="747"/>
    </row>
    <row r="2017" spans="12:12">
      <c r="L2017" s="747"/>
    </row>
    <row r="2018" spans="12:12">
      <c r="L2018" s="747"/>
    </row>
    <row r="2019" spans="12:12">
      <c r="L2019" s="747"/>
    </row>
    <row r="2020" spans="12:12">
      <c r="L2020" s="747"/>
    </row>
    <row r="2021" spans="12:12">
      <c r="L2021" s="747"/>
    </row>
    <row r="2022" spans="12:12">
      <c r="L2022" s="747"/>
    </row>
    <row r="2023" spans="12:12">
      <c r="L2023" s="747"/>
    </row>
    <row r="2024" spans="12:12">
      <c r="L2024" s="747"/>
    </row>
    <row r="2025" spans="12:12">
      <c r="L2025" s="747"/>
    </row>
    <row r="2026" spans="12:12">
      <c r="L2026" s="747"/>
    </row>
    <row r="2027" spans="12:12">
      <c r="L2027" s="747"/>
    </row>
    <row r="2028" spans="12:12">
      <c r="L2028" s="747"/>
    </row>
    <row r="2029" spans="12:12">
      <c r="L2029" s="747"/>
    </row>
    <row r="2030" spans="12:12">
      <c r="L2030" s="747"/>
    </row>
    <row r="2031" spans="12:12">
      <c r="L2031" s="747"/>
    </row>
    <row r="2032" spans="12:12">
      <c r="L2032" s="747"/>
    </row>
    <row r="2033" spans="12:12">
      <c r="L2033" s="747"/>
    </row>
    <row r="2034" spans="12:12">
      <c r="L2034" s="747"/>
    </row>
    <row r="2035" spans="12:12">
      <c r="L2035" s="747"/>
    </row>
    <row r="2036" spans="12:12">
      <c r="L2036" s="747"/>
    </row>
    <row r="2037" spans="12:12">
      <c r="L2037" s="747"/>
    </row>
    <row r="2038" spans="12:12">
      <c r="L2038" s="747"/>
    </row>
    <row r="2039" spans="12:12">
      <c r="L2039" s="747"/>
    </row>
    <row r="2040" spans="12:12">
      <c r="L2040" s="747"/>
    </row>
    <row r="2041" spans="12:12">
      <c r="L2041" s="747"/>
    </row>
    <row r="2042" spans="12:12">
      <c r="L2042" s="747"/>
    </row>
    <row r="2043" spans="12:12">
      <c r="L2043" s="747"/>
    </row>
    <row r="2044" spans="12:12">
      <c r="L2044" s="747"/>
    </row>
    <row r="2045" spans="12:12">
      <c r="L2045" s="747"/>
    </row>
    <row r="2046" spans="12:12">
      <c r="L2046" s="747"/>
    </row>
    <row r="2047" spans="12:12">
      <c r="L2047" s="747"/>
    </row>
    <row r="2048" spans="12:12">
      <c r="L2048" s="747"/>
    </row>
    <row r="2049" spans="12:12">
      <c r="L2049" s="747"/>
    </row>
    <row r="2050" spans="12:12">
      <c r="L2050" s="747"/>
    </row>
    <row r="2051" spans="12:12">
      <c r="L2051" s="747"/>
    </row>
    <row r="2052" spans="12:12">
      <c r="L2052" s="747"/>
    </row>
    <row r="2053" spans="12:12">
      <c r="L2053" s="747"/>
    </row>
    <row r="2054" spans="12:12">
      <c r="L2054" s="747"/>
    </row>
    <row r="2055" spans="12:12">
      <c r="L2055" s="747"/>
    </row>
    <row r="2056" spans="12:12">
      <c r="L2056" s="747"/>
    </row>
    <row r="2057" spans="12:12">
      <c r="L2057" s="747"/>
    </row>
    <row r="2058" spans="12:12">
      <c r="L2058" s="747"/>
    </row>
    <row r="2059" spans="12:12">
      <c r="L2059" s="747"/>
    </row>
    <row r="2060" spans="12:12">
      <c r="L2060" s="747"/>
    </row>
    <row r="2061" spans="12:12">
      <c r="L2061" s="747"/>
    </row>
    <row r="2062" spans="12:12">
      <c r="L2062" s="747"/>
    </row>
    <row r="2063" spans="12:12">
      <c r="L2063" s="747"/>
    </row>
    <row r="2064" spans="12:12">
      <c r="L2064" s="747"/>
    </row>
    <row r="2065" spans="12:12">
      <c r="L2065" s="747"/>
    </row>
    <row r="2066" spans="12:12">
      <c r="L2066" s="747"/>
    </row>
    <row r="2067" spans="12:12">
      <c r="L2067" s="747"/>
    </row>
    <row r="2068" spans="12:12">
      <c r="L2068" s="747"/>
    </row>
    <row r="2069" spans="12:12">
      <c r="L2069" s="747"/>
    </row>
    <row r="2070" spans="12:12" ht="23.25" hidden="1" customHeight="1">
      <c r="L2070" s="747"/>
    </row>
    <row r="2071" spans="12:12" ht="23.25" hidden="1" customHeight="1">
      <c r="L2071" s="747"/>
    </row>
    <row r="2072" spans="12:12" ht="23.25" hidden="1" customHeight="1">
      <c r="L2072" s="747"/>
    </row>
    <row r="2073" spans="12:12" ht="23.25" hidden="1" customHeight="1">
      <c r="L2073" s="747"/>
    </row>
    <row r="2074" spans="12:12" ht="23.25" hidden="1" customHeight="1">
      <c r="L2074" s="747"/>
    </row>
    <row r="2075" spans="12:12" ht="23.25" hidden="1" customHeight="1">
      <c r="L2075" s="747"/>
    </row>
    <row r="2076" spans="12:12" ht="23.25" hidden="1" customHeight="1">
      <c r="L2076" s="747"/>
    </row>
    <row r="2077" spans="12:12" ht="23.25" hidden="1" customHeight="1">
      <c r="L2077" s="747"/>
    </row>
    <row r="2078" spans="12:12" ht="23.25" hidden="1" customHeight="1">
      <c r="L2078" s="747"/>
    </row>
    <row r="2079" spans="12:12" ht="23.25" hidden="1" customHeight="1">
      <c r="L2079" s="747"/>
    </row>
    <row r="2080" spans="12:12" ht="23.25" hidden="1" customHeight="1">
      <c r="L2080" s="747"/>
    </row>
    <row r="2081" spans="12:12" ht="23.25" hidden="1" customHeight="1">
      <c r="L2081" s="747"/>
    </row>
    <row r="2082" spans="12:12" ht="23.25" hidden="1" customHeight="1">
      <c r="L2082" s="747"/>
    </row>
    <row r="2083" spans="12:12" ht="23.25" hidden="1" customHeight="1">
      <c r="L2083" s="747"/>
    </row>
    <row r="2084" spans="12:12" ht="23.25" hidden="1" customHeight="1">
      <c r="L2084" s="747"/>
    </row>
    <row r="2085" spans="12:12" ht="23.25" hidden="1" customHeight="1">
      <c r="L2085" s="747"/>
    </row>
    <row r="2086" spans="12:12" ht="23.25" hidden="1" customHeight="1">
      <c r="L2086" s="747"/>
    </row>
    <row r="2087" spans="12:12" ht="23.25" hidden="1" customHeight="1">
      <c r="L2087" s="747"/>
    </row>
    <row r="2088" spans="12:12" ht="23.25" hidden="1" customHeight="1">
      <c r="L2088" s="747"/>
    </row>
    <row r="2089" spans="12:12" ht="23.25" hidden="1" customHeight="1">
      <c r="L2089" s="747"/>
    </row>
    <row r="2090" spans="12:12" ht="23.25" hidden="1" customHeight="1">
      <c r="L2090" s="747"/>
    </row>
    <row r="2091" spans="12:12" ht="23.25" hidden="1" customHeight="1">
      <c r="L2091" s="747"/>
    </row>
    <row r="2092" spans="12:12" ht="23.25" hidden="1" customHeight="1">
      <c r="L2092" s="747"/>
    </row>
    <row r="2093" spans="12:12" ht="23.25" hidden="1" customHeight="1">
      <c r="L2093" s="747"/>
    </row>
    <row r="2094" spans="12:12" ht="23.25" hidden="1" customHeight="1">
      <c r="L2094" s="747"/>
    </row>
    <row r="2095" spans="12:12" ht="23.25" hidden="1" customHeight="1">
      <c r="L2095" s="747"/>
    </row>
    <row r="2096" spans="12:12" ht="23.25" hidden="1" customHeight="1">
      <c r="L2096" s="747"/>
    </row>
    <row r="2097" spans="12:12" ht="23.25" hidden="1" customHeight="1">
      <c r="L2097" s="747"/>
    </row>
    <row r="2098" spans="12:12" ht="23.25" hidden="1" customHeight="1">
      <c r="L2098" s="747"/>
    </row>
    <row r="2099" spans="12:12" ht="23.25" hidden="1" customHeight="1">
      <c r="L2099" s="747"/>
    </row>
    <row r="2100" spans="12:12" ht="23.25" hidden="1" customHeight="1">
      <c r="L2100" s="747"/>
    </row>
    <row r="2101" spans="12:12" ht="23.25" hidden="1" customHeight="1">
      <c r="L2101" s="747"/>
    </row>
    <row r="2102" spans="12:12" ht="23.25" hidden="1" customHeight="1">
      <c r="L2102" s="747"/>
    </row>
    <row r="2103" spans="12:12" ht="23.25" hidden="1" customHeight="1">
      <c r="L2103" s="747"/>
    </row>
    <row r="2104" spans="12:12" ht="23.25" hidden="1" customHeight="1">
      <c r="L2104" s="747"/>
    </row>
    <row r="2105" spans="12:12" ht="23.25" hidden="1" customHeight="1">
      <c r="L2105" s="747"/>
    </row>
    <row r="2106" spans="12:12" ht="23.25" hidden="1" customHeight="1">
      <c r="L2106" s="747"/>
    </row>
    <row r="2107" spans="12:12" ht="23.25" hidden="1" customHeight="1">
      <c r="L2107" s="747"/>
    </row>
    <row r="2108" spans="12:12" ht="23.25" hidden="1" customHeight="1">
      <c r="L2108" s="747"/>
    </row>
    <row r="2109" spans="12:12" ht="23.25" hidden="1" customHeight="1">
      <c r="L2109" s="747"/>
    </row>
    <row r="2110" spans="12:12" ht="23.25" hidden="1" customHeight="1">
      <c r="L2110" s="747"/>
    </row>
    <row r="2111" spans="12:12" ht="23.25" hidden="1" customHeight="1">
      <c r="L2111" s="747"/>
    </row>
    <row r="2112" spans="12:12" ht="23.25" hidden="1" customHeight="1">
      <c r="L2112" s="747"/>
    </row>
    <row r="2113" spans="12:12" ht="23.25" hidden="1" customHeight="1">
      <c r="L2113" s="747"/>
    </row>
    <row r="2114" spans="12:12" ht="23.25" hidden="1" customHeight="1">
      <c r="L2114" s="747"/>
    </row>
    <row r="2115" spans="12:12" ht="23.25" hidden="1" customHeight="1">
      <c r="L2115" s="747"/>
    </row>
    <row r="2116" spans="12:12" ht="23.25" hidden="1" customHeight="1">
      <c r="L2116" s="747"/>
    </row>
    <row r="2117" spans="12:12">
      <c r="L2117" s="747"/>
    </row>
    <row r="2118" spans="12:12" ht="23.25" hidden="1" customHeight="1">
      <c r="L2118" s="747"/>
    </row>
    <row r="2119" spans="12:12" ht="23.25" hidden="1" customHeight="1">
      <c r="L2119" s="747"/>
    </row>
    <row r="2120" spans="12:12" ht="23.25" hidden="1" customHeight="1">
      <c r="L2120" s="747"/>
    </row>
    <row r="2121" spans="12:12" ht="23.25" hidden="1" customHeight="1">
      <c r="L2121" s="747"/>
    </row>
    <row r="2122" spans="12:12" ht="23.25" hidden="1" customHeight="1">
      <c r="L2122" s="747"/>
    </row>
    <row r="2123" spans="12:12" ht="23.25" hidden="1" customHeight="1">
      <c r="L2123" s="747"/>
    </row>
    <row r="2124" spans="12:12" ht="23.25" hidden="1" customHeight="1">
      <c r="L2124" s="747"/>
    </row>
    <row r="2125" spans="12:12">
      <c r="L2125" s="747"/>
    </row>
    <row r="2126" spans="12:12" ht="23.25" hidden="1" customHeight="1">
      <c r="L2126" s="747"/>
    </row>
    <row r="2127" spans="12:12" ht="23.25" hidden="1" customHeight="1">
      <c r="L2127" s="747"/>
    </row>
    <row r="2128" spans="12:12" ht="23.25" hidden="1" customHeight="1"/>
    <row r="2129" ht="23.25" hidden="1" customHeight="1"/>
    <row r="2130" ht="23.25" hidden="1" customHeight="1"/>
    <row r="2131" ht="23.25" hidden="1" customHeight="1"/>
    <row r="2132" ht="23.25" hidden="1" customHeight="1"/>
    <row r="2133" ht="23.25" hidden="1" customHeight="1"/>
    <row r="2134" ht="23.25" hidden="1" customHeight="1"/>
    <row r="2135" ht="23.25" hidden="1" customHeight="1"/>
    <row r="2136" ht="23.25" hidden="1" customHeight="1"/>
    <row r="2137" ht="23.25" hidden="1" customHeight="1"/>
    <row r="2138" ht="23.25" hidden="1" customHeight="1"/>
    <row r="2139" ht="23.25" hidden="1" customHeight="1"/>
    <row r="2140" ht="23.25" hidden="1" customHeight="1"/>
    <row r="2141" ht="23.25" hidden="1" customHeight="1"/>
    <row r="2142" ht="23.25" hidden="1" customHeight="1"/>
    <row r="2143" ht="23.25" hidden="1" customHeight="1"/>
    <row r="2144" ht="23.25" hidden="1" customHeight="1"/>
    <row r="2145" ht="23.25" hidden="1" customHeight="1"/>
    <row r="2146" ht="23.25" hidden="1" customHeight="1"/>
    <row r="2147" ht="23.25" hidden="1" customHeight="1"/>
    <row r="2148" ht="23.25" hidden="1" customHeight="1"/>
    <row r="2149" ht="23.25" hidden="1" customHeight="1"/>
    <row r="2155" ht="23.25" hidden="1" customHeight="1"/>
    <row r="2156" ht="23.25" hidden="1" customHeight="1"/>
    <row r="2157" ht="23.25" hidden="1" customHeight="1"/>
    <row r="2158" ht="23.25" hidden="1" customHeight="1"/>
    <row r="2159" ht="23.25" hidden="1" customHeight="1"/>
    <row r="2160" ht="23.25" hidden="1" customHeight="1"/>
    <row r="2161" ht="23.25" hidden="1" customHeight="1"/>
    <row r="2162" ht="23.25" hidden="1" customHeight="1"/>
    <row r="2163" ht="23.25" hidden="1" customHeight="1"/>
    <row r="2164" ht="23.25" hidden="1" customHeight="1"/>
    <row r="2165" ht="23.25" hidden="1" customHeight="1"/>
    <row r="2168" ht="23.25" hidden="1" customHeight="1"/>
    <row r="2169" ht="23.25" hidden="1" customHeight="1"/>
    <row r="2170" ht="23.25" hidden="1" customHeight="1"/>
    <row r="2171" ht="23.25" hidden="1" customHeight="1"/>
    <row r="2172" ht="23.25" hidden="1" customHeight="1"/>
    <row r="2175" ht="23.25" hidden="1" customHeight="1"/>
    <row r="2176" ht="23.25" hidden="1" customHeight="1"/>
    <row r="2177" ht="23.25" hidden="1" customHeight="1"/>
    <row r="2178" ht="23.25" hidden="1" customHeight="1"/>
    <row r="2179" ht="23.25" hidden="1" customHeight="1"/>
    <row r="2180" ht="23.25" hidden="1" customHeight="1"/>
    <row r="2181" ht="23.25" hidden="1" customHeight="1"/>
    <row r="2182" ht="23.25" hidden="1" customHeight="1"/>
    <row r="2186" ht="23.25" hidden="1" customHeight="1"/>
    <row r="2187" ht="23.25" hidden="1" customHeight="1"/>
    <row r="2190" ht="23.25" hidden="1" customHeight="1"/>
    <row r="2191" ht="23.25" hidden="1" customHeight="1"/>
    <row r="2192" ht="23.25" hidden="1" customHeight="1"/>
    <row r="2194" ht="23.25" hidden="1" customHeight="1"/>
    <row r="2195" ht="23.25" hidden="1" customHeight="1"/>
    <row r="2196" ht="23.25" hidden="1" customHeight="1"/>
    <row r="2197" ht="23.25" hidden="1" customHeight="1"/>
    <row r="2198" ht="23.25" hidden="1" customHeight="1"/>
    <row r="2200" ht="23.25" hidden="1" customHeight="1"/>
    <row r="2201" ht="23.25" hidden="1" customHeight="1"/>
    <row r="2202" ht="23.25" hidden="1" customHeight="1"/>
    <row r="2206" ht="23.25" hidden="1" customHeight="1"/>
    <row r="2207" ht="23.25" hidden="1" customHeight="1"/>
    <row r="2208" ht="23.25" hidden="1" customHeight="1"/>
    <row r="2209" ht="23.25" hidden="1" customHeight="1"/>
    <row r="2213" ht="23.25" hidden="1" customHeight="1"/>
    <row r="2214" ht="23.25" hidden="1" customHeight="1"/>
    <row r="2215" ht="23.25" hidden="1" customHeight="1"/>
    <row r="2217" ht="23.25" hidden="1" customHeight="1"/>
    <row r="2218" ht="23.25" hidden="1" customHeight="1"/>
    <row r="2219" ht="23.25" hidden="1" customHeight="1"/>
    <row r="2221" ht="23.25" hidden="1" customHeight="1"/>
    <row r="2222" ht="23.25" hidden="1" customHeight="1"/>
    <row r="2223" ht="23.25" hidden="1" customHeight="1"/>
    <row r="2227" ht="23.25" hidden="1" customHeight="1"/>
    <row r="2228" ht="23.25" hidden="1" customHeight="1"/>
    <row r="2231" ht="23.25" hidden="1" customHeight="1"/>
    <row r="2233" ht="23.25" hidden="1" customHeight="1"/>
    <row r="2238" ht="23.25" hidden="1" customHeight="1"/>
    <row r="2239" ht="23.25" hidden="1" customHeight="1"/>
    <row r="2240" ht="23.25" hidden="1" customHeight="1"/>
    <row r="2241" ht="23.25" hidden="1" customHeight="1"/>
    <row r="2242" ht="23.25" hidden="1" customHeight="1"/>
    <row r="2243" ht="23.25" hidden="1" customHeight="1"/>
    <row r="2244" ht="23.25" hidden="1" customHeight="1"/>
    <row r="2245" ht="23.25" hidden="1" customHeight="1"/>
    <row r="2246" ht="23.25" hidden="1" customHeight="1"/>
    <row r="2256" ht="23.25" hidden="1" customHeight="1"/>
    <row r="2257" ht="23.25" hidden="1" customHeight="1"/>
    <row r="2258" ht="23.25" hidden="1" customHeight="1"/>
    <row r="2259" ht="23.25" hidden="1" customHeight="1"/>
    <row r="2260" ht="23.25" hidden="1" customHeight="1"/>
    <row r="2265" ht="23.25" hidden="1" customHeight="1"/>
    <row r="2266" ht="23.25" hidden="1" customHeight="1"/>
    <row r="2267" ht="23.25" hidden="1" customHeight="1"/>
    <row r="2269" ht="23.25" hidden="1" customHeight="1"/>
    <row r="2270" ht="23.25" hidden="1" customHeight="1"/>
    <row r="2274" ht="23.25" hidden="1" customHeight="1"/>
    <row r="2275" ht="23.25" hidden="1" customHeight="1"/>
    <row r="2276" ht="23.25" hidden="1" customHeight="1"/>
    <row r="2277" ht="23.25" hidden="1" customHeight="1"/>
    <row r="2278" ht="23.25" hidden="1" customHeight="1"/>
    <row r="2279" ht="23.25" hidden="1" customHeight="1"/>
    <row r="2280" ht="23.25" hidden="1" customHeight="1"/>
    <row r="2281" ht="23.25" hidden="1" customHeight="1"/>
    <row r="2282" ht="23.25" hidden="1" customHeight="1"/>
    <row r="2284" ht="23.25" hidden="1" customHeight="1"/>
    <row r="2292" ht="23.25" hidden="1" customHeight="1"/>
    <row r="2293" ht="23.25" hidden="1" customHeight="1"/>
    <row r="2294" ht="23.25" hidden="1" customHeight="1"/>
    <row r="2295" ht="23.25" hidden="1" customHeight="1"/>
    <row r="2296" ht="23.25" hidden="1" customHeight="1"/>
    <row r="2297" ht="23.25" hidden="1" customHeight="1"/>
    <row r="2298" ht="23.25" hidden="1" customHeight="1"/>
    <row r="2299" ht="23.25" hidden="1" customHeight="1"/>
    <row r="2301" ht="23.25" hidden="1" customHeight="1"/>
    <row r="2310" ht="23.25" hidden="1" customHeight="1"/>
    <row r="2311" ht="23.25" hidden="1" customHeight="1"/>
    <row r="2314" ht="23.25" hidden="1" customHeight="1"/>
    <row r="2316" ht="23.25" hidden="1" customHeight="1"/>
    <row r="2379" ht="23.25" hidden="1" customHeight="1"/>
    <row r="2380" ht="23.25" hidden="1" customHeight="1"/>
    <row r="2381" ht="23.25" hidden="1" customHeight="1"/>
    <row r="2382" ht="23.25" hidden="1" customHeight="1"/>
    <row r="2384" ht="23.25" hidden="1" customHeight="1"/>
    <row r="2385" ht="23.25" hidden="1" customHeight="1"/>
    <row r="2386" ht="23.25" hidden="1" customHeight="1"/>
    <row r="2387" ht="23.25" hidden="1" customHeight="1"/>
    <row r="2388" ht="23.25" hidden="1" customHeight="1"/>
    <row r="2389" ht="23.25" hidden="1" customHeight="1"/>
    <row r="2390" ht="23.25" hidden="1" customHeight="1"/>
    <row r="2391" ht="23.25" hidden="1" customHeight="1"/>
    <row r="2393" ht="23.25" hidden="1" customHeight="1"/>
    <row r="2397" ht="23.25" hidden="1" customHeight="1"/>
    <row r="2398" ht="23.25" hidden="1" customHeight="1"/>
    <row r="2399" ht="23.25" hidden="1" customHeight="1"/>
    <row r="2400" ht="23.25" hidden="1" customHeight="1"/>
    <row r="2401" ht="23.25" hidden="1" customHeight="1"/>
    <row r="2403" ht="23.25" hidden="1" customHeight="1"/>
    <row r="2404" ht="23.25" hidden="1" customHeight="1"/>
    <row r="2405" ht="23.25" hidden="1" customHeight="1"/>
    <row r="2406" ht="23.25" hidden="1" customHeight="1"/>
    <row r="2407" ht="23.25" hidden="1" customHeight="1"/>
    <row r="2408" ht="23.25" hidden="1" customHeight="1"/>
    <row r="2409" ht="23.25" hidden="1" customHeight="1"/>
    <row r="2415" ht="23.25" hidden="1" customHeight="1"/>
    <row r="2416" ht="23.25" hidden="1" customHeight="1"/>
    <row r="2417" ht="23.25" hidden="1" customHeight="1"/>
    <row r="2418" ht="23.25" hidden="1" customHeight="1"/>
    <row r="2419" ht="23.25" hidden="1" customHeight="1"/>
    <row r="2420" ht="23.25" hidden="1" customHeight="1"/>
    <row r="2421" ht="23.25" hidden="1" customHeight="1"/>
    <row r="2422" ht="23.25" hidden="1" customHeight="1"/>
    <row r="2423" ht="23.25" hidden="1" customHeight="1"/>
    <row r="2424" ht="23.25" hidden="1" customHeight="1"/>
    <row r="2433" ht="23.25" hidden="1" customHeight="1"/>
    <row r="2434" ht="23.25" hidden="1" customHeight="1"/>
    <row r="2435" ht="23.25" hidden="1" customHeight="1"/>
    <row r="2437" ht="23.25" hidden="1" customHeight="1"/>
    <row r="2438" ht="23.25" hidden="1" customHeight="1"/>
    <row r="2439" ht="23.25" hidden="1" customHeight="1"/>
  </sheetData>
  <mergeCells count="9">
    <mergeCell ref="C1:L1"/>
    <mergeCell ref="C7:C8"/>
    <mergeCell ref="D7:D8"/>
    <mergeCell ref="L7:L8"/>
    <mergeCell ref="G7:H7"/>
    <mergeCell ref="I7:J7"/>
    <mergeCell ref="K7:K8"/>
    <mergeCell ref="E7:E8"/>
    <mergeCell ref="F7:F8"/>
  </mergeCells>
  <phoneticPr fontId="39" type="noConversion"/>
  <printOptions horizontalCentered="1"/>
  <pageMargins left="0.19685039370078741" right="0.19685039370078741" top="0.23622047244094491" bottom="3.937007874015748E-2" header="0.31496062992125984" footer="0.31496062992125984"/>
  <pageSetup paperSize="9" scale="55" orientation="landscape" r:id="rId1"/>
  <rowBreaks count="2" manualBreakCount="2">
    <brk id="24" min="2" max="12" man="1"/>
    <brk id="580" min="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768"/>
  <sheetViews>
    <sheetView zoomScale="42" zoomScaleNormal="42" zoomScaleSheetLayoutView="59" zoomScalePageLayoutView="120" workbookViewId="0">
      <selection activeCell="N268" sqref="N268:Q270"/>
    </sheetView>
  </sheetViews>
  <sheetFormatPr defaultColWidth="8.85546875" defaultRowHeight="24"/>
  <cols>
    <col min="1" max="2" width="8.85546875" style="565"/>
    <col min="3" max="3" width="10" style="565" customWidth="1"/>
    <col min="4" max="4" width="80.28515625" style="565" customWidth="1"/>
    <col min="5" max="5" width="13" style="775" customWidth="1"/>
    <col min="6" max="6" width="12.140625" style="572" customWidth="1"/>
    <col min="7" max="7" width="19.7109375" style="779" customWidth="1"/>
    <col min="8" max="8" width="21.140625" style="605" customWidth="1"/>
    <col min="9" max="10" width="19.85546875" style="605" customWidth="1"/>
    <col min="11" max="11" width="24.140625" style="605" customWidth="1"/>
    <col min="12" max="12" width="27.28515625" style="605" customWidth="1"/>
    <col min="13" max="13" width="18.85546875" style="565" customWidth="1"/>
    <col min="14" max="14" width="15.7109375" style="565" customWidth="1"/>
    <col min="15" max="15" width="15.28515625" style="565" bestFit="1" customWidth="1"/>
    <col min="16" max="16" width="8.85546875" style="565"/>
    <col min="17" max="17" width="11.140625" style="565" bestFit="1" customWidth="1"/>
    <col min="18" max="18" width="8.85546875" style="565"/>
    <col min="19" max="19" width="13.140625" style="565" customWidth="1"/>
    <col min="20" max="16384" width="8.85546875" style="565"/>
  </cols>
  <sheetData>
    <row r="1" spans="3:14" s="615" customFormat="1">
      <c r="C1" s="1012" t="s">
        <v>0</v>
      </c>
      <c r="D1" s="1012"/>
      <c r="E1" s="1012"/>
      <c r="F1" s="1012"/>
      <c r="G1" s="1012"/>
      <c r="H1" s="1012"/>
      <c r="I1" s="1012"/>
      <c r="J1" s="1012"/>
      <c r="K1" s="1012"/>
      <c r="L1" s="1012"/>
    </row>
    <row r="2" spans="3:14" s="615" customFormat="1">
      <c r="C2" s="784" t="s">
        <v>1379</v>
      </c>
      <c r="D2" s="784"/>
      <c r="E2" s="617"/>
      <c r="F2" s="618"/>
    </row>
    <row r="3" spans="3:14" s="615" customFormat="1">
      <c r="C3" s="785" t="s">
        <v>1</v>
      </c>
      <c r="D3" s="785"/>
      <c r="E3" s="617"/>
      <c r="F3" s="618"/>
      <c r="G3" s="621"/>
      <c r="H3" s="621"/>
      <c r="I3" s="786"/>
      <c r="J3" s="786"/>
      <c r="K3" s="621"/>
      <c r="L3" s="621"/>
    </row>
    <row r="4" spans="3:14" s="615" customFormat="1">
      <c r="C4" s="787" t="s">
        <v>582</v>
      </c>
      <c r="D4" s="787"/>
      <c r="E4" s="617"/>
      <c r="F4" s="618"/>
      <c r="H4" s="622"/>
      <c r="I4" s="786"/>
      <c r="J4" s="786"/>
      <c r="K4" s="788"/>
      <c r="L4" s="789"/>
    </row>
    <row r="5" spans="3:14" s="573" customFormat="1">
      <c r="C5" s="790" t="s">
        <v>3</v>
      </c>
      <c r="D5" s="790"/>
      <c r="E5" s="617"/>
      <c r="F5" s="575"/>
    </row>
    <row r="6" spans="3:14" s="573" customFormat="1">
      <c r="C6" s="791"/>
      <c r="D6" s="791"/>
      <c r="E6" s="792"/>
      <c r="F6" s="793"/>
      <c r="G6" s="791"/>
      <c r="H6" s="791"/>
      <c r="I6" s="791"/>
      <c r="J6" s="794"/>
      <c r="K6" s="794"/>
      <c r="L6" s="794"/>
    </row>
    <row r="7" spans="3:14" s="573" customFormat="1">
      <c r="C7" s="1023" t="s">
        <v>4</v>
      </c>
      <c r="D7" s="1023" t="s">
        <v>5</v>
      </c>
      <c r="E7" s="1025" t="s">
        <v>6</v>
      </c>
      <c r="F7" s="1027" t="s">
        <v>7</v>
      </c>
      <c r="G7" s="1028" t="s">
        <v>8</v>
      </c>
      <c r="H7" s="1028"/>
      <c r="I7" s="1028" t="s">
        <v>9</v>
      </c>
      <c r="J7" s="1029"/>
      <c r="K7" s="1022" t="s">
        <v>10</v>
      </c>
      <c r="L7" s="989" t="s">
        <v>11</v>
      </c>
      <c r="M7" s="575"/>
      <c r="N7" s="576"/>
    </row>
    <row r="8" spans="3:14" s="573" customFormat="1">
      <c r="C8" s="1024"/>
      <c r="D8" s="1024"/>
      <c r="E8" s="1026"/>
      <c r="F8" s="1027"/>
      <c r="G8" s="796" t="s">
        <v>12</v>
      </c>
      <c r="H8" s="797" t="s">
        <v>13</v>
      </c>
      <c r="I8" s="798" t="s">
        <v>12</v>
      </c>
      <c r="J8" s="799" t="s">
        <v>13</v>
      </c>
      <c r="K8" s="1018"/>
      <c r="L8" s="989"/>
    </row>
    <row r="9" spans="3:14" s="573" customFormat="1">
      <c r="C9" s="795"/>
      <c r="D9" s="795"/>
      <c r="E9" s="800"/>
      <c r="F9" s="800"/>
      <c r="G9" s="800"/>
      <c r="H9" s="801"/>
      <c r="I9" s="802"/>
      <c r="J9" s="803"/>
      <c r="K9" s="640"/>
      <c r="L9" s="804"/>
    </row>
    <row r="10" spans="3:14" s="573" customFormat="1">
      <c r="C10" s="805"/>
      <c r="D10" s="806" t="s">
        <v>426</v>
      </c>
      <c r="E10" s="807"/>
      <c r="F10" s="808"/>
      <c r="G10" s="809"/>
      <c r="H10" s="810"/>
      <c r="I10" s="811"/>
      <c r="J10" s="812"/>
      <c r="K10" s="808"/>
      <c r="L10" s="813" t="s">
        <v>1390</v>
      </c>
    </row>
    <row r="11" spans="3:14" s="573" customFormat="1">
      <c r="C11" s="814">
        <v>1</v>
      </c>
      <c r="D11" s="815" t="s">
        <v>743</v>
      </c>
      <c r="E11" s="816">
        <v>1</v>
      </c>
      <c r="F11" s="817" t="s">
        <v>41</v>
      </c>
      <c r="G11" s="501"/>
      <c r="H11" s="818"/>
      <c r="I11" s="819"/>
      <c r="J11" s="818">
        <v>0</v>
      </c>
      <c r="K11" s="820"/>
      <c r="L11" s="808"/>
    </row>
    <row r="12" spans="3:14" s="573" customFormat="1">
      <c r="C12" s="814"/>
      <c r="D12" s="815"/>
      <c r="E12" s="816"/>
      <c r="F12" s="817"/>
      <c r="G12" s="821"/>
      <c r="H12" s="822"/>
      <c r="I12" s="819"/>
      <c r="J12" s="822"/>
      <c r="K12" s="808"/>
      <c r="L12" s="823"/>
    </row>
    <row r="13" spans="3:14" s="573" customFormat="1">
      <c r="C13" s="814"/>
      <c r="D13" s="815"/>
      <c r="E13" s="816"/>
      <c r="F13" s="817"/>
      <c r="G13" s="821"/>
      <c r="H13" s="822"/>
      <c r="I13" s="819"/>
      <c r="J13" s="822"/>
      <c r="K13" s="808"/>
      <c r="L13" s="823"/>
      <c r="M13" s="595"/>
    </row>
    <row r="14" spans="3:14" s="573" customFormat="1">
      <c r="C14" s="814"/>
      <c r="D14" s="815"/>
      <c r="E14" s="816"/>
      <c r="F14" s="817"/>
      <c r="G14" s="809"/>
      <c r="H14" s="823"/>
      <c r="I14" s="811"/>
      <c r="J14" s="822"/>
      <c r="K14" s="808"/>
      <c r="L14" s="823"/>
    </row>
    <row r="15" spans="3:14" s="573" customFormat="1">
      <c r="C15" s="814"/>
      <c r="D15" s="815"/>
      <c r="E15" s="682"/>
      <c r="F15" s="506"/>
      <c r="G15" s="821"/>
      <c r="H15" s="824"/>
      <c r="I15" s="819"/>
      <c r="J15" s="825"/>
      <c r="K15" s="826"/>
      <c r="L15" s="823"/>
    </row>
    <row r="16" spans="3:14" s="573" customFormat="1">
      <c r="C16" s="814"/>
      <c r="D16" s="815"/>
      <c r="E16" s="682"/>
      <c r="F16" s="506"/>
      <c r="G16" s="821"/>
      <c r="H16" s="824"/>
      <c r="I16" s="819"/>
      <c r="J16" s="825"/>
      <c r="K16" s="826"/>
      <c r="L16" s="823"/>
    </row>
    <row r="17" spans="3:12" s="573" customFormat="1">
      <c r="C17" s="814"/>
      <c r="D17" s="815"/>
      <c r="E17" s="682"/>
      <c r="F17" s="506"/>
      <c r="G17" s="821"/>
      <c r="H17" s="824"/>
      <c r="I17" s="819"/>
      <c r="J17" s="825"/>
      <c r="K17" s="826"/>
      <c r="L17" s="823"/>
    </row>
    <row r="18" spans="3:12">
      <c r="C18" s="814"/>
      <c r="D18" s="815"/>
      <c r="E18" s="682"/>
      <c r="F18" s="506"/>
      <c r="G18" s="821"/>
      <c r="H18" s="824"/>
      <c r="I18" s="819"/>
      <c r="J18" s="825"/>
      <c r="K18" s="826"/>
      <c r="L18" s="823"/>
    </row>
    <row r="19" spans="3:12">
      <c r="C19" s="814"/>
      <c r="D19" s="815"/>
      <c r="E19" s="682"/>
      <c r="F19" s="506"/>
      <c r="G19" s="821"/>
      <c r="H19" s="824"/>
      <c r="I19" s="819"/>
      <c r="J19" s="825"/>
      <c r="K19" s="826"/>
      <c r="L19" s="823"/>
    </row>
    <row r="20" spans="3:12">
      <c r="C20" s="827"/>
      <c r="D20" s="828"/>
      <c r="E20" s="829"/>
      <c r="F20" s="562"/>
      <c r="G20" s="830"/>
      <c r="H20" s="831"/>
      <c r="I20" s="832"/>
      <c r="J20" s="833"/>
      <c r="K20" s="834"/>
      <c r="L20" s="835"/>
    </row>
    <row r="21" spans="3:12">
      <c r="C21" s="562"/>
      <c r="D21" s="755"/>
      <c r="E21" s="829"/>
      <c r="F21" s="562"/>
      <c r="G21" s="830"/>
      <c r="H21" s="831"/>
      <c r="I21" s="832"/>
      <c r="J21" s="833"/>
      <c r="K21" s="834"/>
      <c r="L21" s="835"/>
    </row>
    <row r="22" spans="3:12">
      <c r="C22" s="836"/>
      <c r="D22" s="574" t="s">
        <v>1296</v>
      </c>
      <c r="E22" s="837"/>
      <c r="F22" s="838"/>
      <c r="G22" s="839"/>
      <c r="H22" s="840">
        <f>H11</f>
        <v>0</v>
      </c>
      <c r="I22" s="841"/>
      <c r="J22" s="842">
        <v>0</v>
      </c>
      <c r="K22" s="843">
        <f>K11</f>
        <v>0</v>
      </c>
      <c r="L22" s="844"/>
    </row>
    <row r="23" spans="3:12">
      <c r="C23" s="845"/>
      <c r="D23" s="845"/>
      <c r="E23" s="800"/>
      <c r="F23" s="800"/>
      <c r="G23" s="800"/>
      <c r="H23" s="801"/>
      <c r="I23" s="802"/>
      <c r="J23" s="803"/>
      <c r="K23" s="846"/>
      <c r="L23" s="804"/>
    </row>
    <row r="24" spans="3:12">
      <c r="C24" s="847">
        <v>1</v>
      </c>
      <c r="D24" s="848" t="s">
        <v>238</v>
      </c>
      <c r="E24" s="666"/>
      <c r="F24" s="665"/>
      <c r="G24" s="463"/>
      <c r="H24" s="849"/>
      <c r="I24" s="850"/>
      <c r="J24" s="851"/>
      <c r="K24" s="463"/>
      <c r="L24" s="852"/>
    </row>
    <row r="25" spans="3:12">
      <c r="C25" s="847">
        <v>1.1000000000000001</v>
      </c>
      <c r="D25" s="853" t="s">
        <v>999</v>
      </c>
      <c r="E25" s="666"/>
      <c r="F25" s="665"/>
      <c r="G25" s="463"/>
      <c r="H25" s="849"/>
      <c r="I25" s="850"/>
      <c r="J25" s="851"/>
      <c r="K25" s="463"/>
      <c r="L25" s="852"/>
    </row>
    <row r="26" spans="3:12">
      <c r="C26" s="847" t="s">
        <v>1297</v>
      </c>
      <c r="D26" s="853" t="s">
        <v>1000</v>
      </c>
      <c r="E26" s="666"/>
      <c r="F26" s="665"/>
      <c r="G26" s="463"/>
      <c r="H26" s="849"/>
      <c r="I26" s="850"/>
      <c r="J26" s="851"/>
      <c r="K26" s="463"/>
      <c r="L26" s="852"/>
    </row>
    <row r="27" spans="3:12">
      <c r="C27" s="847"/>
      <c r="D27" s="854" t="s">
        <v>1125</v>
      </c>
      <c r="E27" s="666">
        <v>6</v>
      </c>
      <c r="F27" s="665" t="s">
        <v>16</v>
      </c>
      <c r="G27" s="463"/>
      <c r="H27" s="855"/>
      <c r="I27" s="850"/>
      <c r="J27" s="851"/>
      <c r="K27" s="463"/>
      <c r="L27" s="852" t="s">
        <v>1389</v>
      </c>
    </row>
    <row r="28" spans="3:12" ht="48">
      <c r="C28" s="847"/>
      <c r="D28" s="854" t="s">
        <v>1126</v>
      </c>
      <c r="E28" s="666">
        <v>1</v>
      </c>
      <c r="F28" s="665" t="s">
        <v>16</v>
      </c>
      <c r="G28" s="463"/>
      <c r="H28" s="855"/>
      <c r="I28" s="850"/>
      <c r="J28" s="851"/>
      <c r="K28" s="463"/>
      <c r="L28" s="852" t="s">
        <v>1389</v>
      </c>
    </row>
    <row r="29" spans="3:12" ht="48">
      <c r="C29" s="847"/>
      <c r="D29" s="854" t="s">
        <v>1127</v>
      </c>
      <c r="E29" s="666">
        <v>1</v>
      </c>
      <c r="F29" s="665" t="s">
        <v>28</v>
      </c>
      <c r="G29" s="463"/>
      <c r="H29" s="855"/>
      <c r="I29" s="850"/>
      <c r="J29" s="851"/>
      <c r="K29" s="463"/>
      <c r="L29" s="852" t="s">
        <v>1389</v>
      </c>
    </row>
    <row r="30" spans="3:12">
      <c r="C30" s="847"/>
      <c r="D30" s="854" t="s">
        <v>1128</v>
      </c>
      <c r="E30" s="666">
        <v>12</v>
      </c>
      <c r="F30" s="665" t="s">
        <v>28</v>
      </c>
      <c r="G30" s="463"/>
      <c r="H30" s="855"/>
      <c r="I30" s="850"/>
      <c r="J30" s="851"/>
      <c r="K30" s="463"/>
      <c r="L30" s="852" t="s">
        <v>1389</v>
      </c>
    </row>
    <row r="31" spans="3:12">
      <c r="C31" s="847"/>
      <c r="D31" s="854" t="s">
        <v>1129</v>
      </c>
      <c r="E31" s="666">
        <v>24</v>
      </c>
      <c r="F31" s="665" t="s">
        <v>16</v>
      </c>
      <c r="G31" s="463"/>
      <c r="H31" s="855"/>
      <c r="I31" s="850"/>
      <c r="J31" s="851"/>
      <c r="K31" s="463"/>
      <c r="L31" s="852" t="s">
        <v>1389</v>
      </c>
    </row>
    <row r="32" spans="3:12">
      <c r="C32" s="847"/>
      <c r="D32" s="854" t="s">
        <v>1130</v>
      </c>
      <c r="E32" s="666">
        <v>2</v>
      </c>
      <c r="F32" s="665" t="s">
        <v>16</v>
      </c>
      <c r="G32" s="463"/>
      <c r="H32" s="855"/>
      <c r="I32" s="850"/>
      <c r="J32" s="851"/>
      <c r="K32" s="463"/>
      <c r="L32" s="852" t="s">
        <v>1389</v>
      </c>
    </row>
    <row r="33" spans="3:12">
      <c r="C33" s="847"/>
      <c r="D33" s="854" t="s">
        <v>1131</v>
      </c>
      <c r="E33" s="666">
        <v>2</v>
      </c>
      <c r="F33" s="665" t="s">
        <v>16</v>
      </c>
      <c r="G33" s="463"/>
      <c r="H33" s="855"/>
      <c r="I33" s="850"/>
      <c r="J33" s="851"/>
      <c r="K33" s="463"/>
      <c r="L33" s="852" t="s">
        <v>1389</v>
      </c>
    </row>
    <row r="34" spans="3:12">
      <c r="C34" s="847"/>
      <c r="D34" s="854" t="s">
        <v>1132</v>
      </c>
      <c r="E34" s="666">
        <v>2</v>
      </c>
      <c r="F34" s="665" t="s">
        <v>16</v>
      </c>
      <c r="G34" s="463"/>
      <c r="H34" s="855"/>
      <c r="I34" s="850"/>
      <c r="J34" s="851"/>
      <c r="K34" s="463"/>
      <c r="L34" s="852" t="s">
        <v>1389</v>
      </c>
    </row>
    <row r="35" spans="3:12">
      <c r="C35" s="847"/>
      <c r="D35" s="854" t="s">
        <v>1133</v>
      </c>
      <c r="E35" s="666">
        <v>1</v>
      </c>
      <c r="F35" s="665" t="s">
        <v>16</v>
      </c>
      <c r="G35" s="463"/>
      <c r="H35" s="855"/>
      <c r="I35" s="850"/>
      <c r="J35" s="851"/>
      <c r="K35" s="463"/>
      <c r="L35" s="852" t="s">
        <v>1389</v>
      </c>
    </row>
    <row r="36" spans="3:12">
      <c r="C36" s="847" t="s">
        <v>1299</v>
      </c>
      <c r="D36" s="853" t="s">
        <v>1001</v>
      </c>
      <c r="E36" s="666"/>
      <c r="F36" s="665"/>
      <c r="G36" s="463"/>
      <c r="H36" s="855"/>
      <c r="I36" s="850"/>
      <c r="J36" s="851"/>
      <c r="K36" s="463"/>
      <c r="L36" s="852" t="s">
        <v>1389</v>
      </c>
    </row>
    <row r="37" spans="3:12">
      <c r="C37" s="847"/>
      <c r="D37" s="854" t="s">
        <v>1134</v>
      </c>
      <c r="E37" s="666">
        <v>8</v>
      </c>
      <c r="F37" s="665" t="s">
        <v>16</v>
      </c>
      <c r="G37" s="463"/>
      <c r="H37" s="855"/>
      <c r="I37" s="850"/>
      <c r="J37" s="851"/>
      <c r="K37" s="463"/>
      <c r="L37" s="852" t="s">
        <v>1389</v>
      </c>
    </row>
    <row r="38" spans="3:12">
      <c r="C38" s="847"/>
      <c r="D38" s="854" t="s">
        <v>1135</v>
      </c>
      <c r="E38" s="666">
        <v>2</v>
      </c>
      <c r="F38" s="665" t="s">
        <v>16</v>
      </c>
      <c r="G38" s="463"/>
      <c r="H38" s="855"/>
      <c r="I38" s="850"/>
      <c r="J38" s="851"/>
      <c r="K38" s="463"/>
      <c r="L38" s="852" t="s">
        <v>1389</v>
      </c>
    </row>
    <row r="39" spans="3:12">
      <c r="C39" s="847"/>
      <c r="D39" s="854" t="s">
        <v>1136</v>
      </c>
      <c r="E39" s="666">
        <v>1</v>
      </c>
      <c r="F39" s="665" t="s">
        <v>28</v>
      </c>
      <c r="G39" s="463"/>
      <c r="H39" s="855"/>
      <c r="I39" s="850"/>
      <c r="J39" s="851"/>
      <c r="K39" s="463"/>
      <c r="L39" s="852" t="s">
        <v>1389</v>
      </c>
    </row>
    <row r="40" spans="3:12">
      <c r="C40" s="847"/>
      <c r="D40" s="854" t="s">
        <v>1137</v>
      </c>
      <c r="E40" s="666">
        <v>2</v>
      </c>
      <c r="F40" s="665" t="s">
        <v>28</v>
      </c>
      <c r="G40" s="463"/>
      <c r="H40" s="855"/>
      <c r="I40" s="850"/>
      <c r="J40" s="851"/>
      <c r="K40" s="463"/>
      <c r="L40" s="852" t="s">
        <v>1389</v>
      </c>
    </row>
    <row r="41" spans="3:12">
      <c r="C41" s="847"/>
      <c r="D41" s="854" t="s">
        <v>1132</v>
      </c>
      <c r="E41" s="666">
        <v>2</v>
      </c>
      <c r="F41" s="665" t="s">
        <v>16</v>
      </c>
      <c r="G41" s="463"/>
      <c r="H41" s="855"/>
      <c r="I41" s="850"/>
      <c r="J41" s="851"/>
      <c r="K41" s="463"/>
      <c r="L41" s="852" t="s">
        <v>1389</v>
      </c>
    </row>
    <row r="42" spans="3:12" ht="48">
      <c r="C42" s="847"/>
      <c r="D42" s="854" t="s">
        <v>1138</v>
      </c>
      <c r="E42" s="666">
        <v>1</v>
      </c>
      <c r="F42" s="665" t="s">
        <v>16</v>
      </c>
      <c r="G42" s="463"/>
      <c r="H42" s="855"/>
      <c r="I42" s="850"/>
      <c r="J42" s="851"/>
      <c r="K42" s="463"/>
      <c r="L42" s="852" t="s">
        <v>1389</v>
      </c>
    </row>
    <row r="43" spans="3:12">
      <c r="C43" s="847"/>
      <c r="D43" s="854" t="s">
        <v>1129</v>
      </c>
      <c r="E43" s="666">
        <v>3</v>
      </c>
      <c r="F43" s="665" t="s">
        <v>16</v>
      </c>
      <c r="G43" s="463"/>
      <c r="H43" s="855"/>
      <c r="I43" s="850"/>
      <c r="J43" s="851"/>
      <c r="K43" s="463"/>
      <c r="L43" s="852" t="s">
        <v>1389</v>
      </c>
    </row>
    <row r="44" spans="3:12">
      <c r="C44" s="847"/>
      <c r="D44" s="854" t="s">
        <v>1139</v>
      </c>
      <c r="E44" s="666">
        <v>1</v>
      </c>
      <c r="F44" s="665" t="s">
        <v>16</v>
      </c>
      <c r="G44" s="463"/>
      <c r="H44" s="855"/>
      <c r="I44" s="850"/>
      <c r="J44" s="851"/>
      <c r="K44" s="463"/>
      <c r="L44" s="852" t="s">
        <v>1389</v>
      </c>
    </row>
    <row r="45" spans="3:12">
      <c r="C45" s="847" t="s">
        <v>1300</v>
      </c>
      <c r="D45" s="853" t="s">
        <v>1002</v>
      </c>
      <c r="E45" s="666"/>
      <c r="F45" s="665"/>
      <c r="G45" s="463"/>
      <c r="H45" s="855"/>
      <c r="I45" s="850"/>
      <c r="J45" s="851"/>
      <c r="K45" s="463"/>
      <c r="L45" s="852"/>
    </row>
    <row r="46" spans="3:12">
      <c r="C46" s="847"/>
      <c r="D46" s="854" t="s">
        <v>1140</v>
      </c>
      <c r="E46" s="666">
        <v>1</v>
      </c>
      <c r="F46" s="665" t="s">
        <v>16</v>
      </c>
      <c r="G46" s="463"/>
      <c r="H46" s="855"/>
      <c r="I46" s="850"/>
      <c r="J46" s="851"/>
      <c r="K46" s="463"/>
      <c r="L46" s="852" t="s">
        <v>1389</v>
      </c>
    </row>
    <row r="47" spans="3:12">
      <c r="C47" s="847"/>
      <c r="D47" s="854" t="s">
        <v>1141</v>
      </c>
      <c r="E47" s="666">
        <v>2</v>
      </c>
      <c r="F47" s="665" t="s">
        <v>16</v>
      </c>
      <c r="G47" s="463"/>
      <c r="H47" s="855"/>
      <c r="I47" s="850"/>
      <c r="J47" s="851"/>
      <c r="K47" s="463"/>
      <c r="L47" s="852" t="s">
        <v>1389</v>
      </c>
    </row>
    <row r="48" spans="3:12">
      <c r="C48" s="847"/>
      <c r="D48" s="854" t="s">
        <v>1142</v>
      </c>
      <c r="E48" s="666">
        <v>1</v>
      </c>
      <c r="F48" s="665" t="s">
        <v>16</v>
      </c>
      <c r="G48" s="463"/>
      <c r="H48" s="855"/>
      <c r="I48" s="850"/>
      <c r="J48" s="851"/>
      <c r="K48" s="463"/>
      <c r="L48" s="852" t="s">
        <v>1389</v>
      </c>
    </row>
    <row r="49" spans="3:12" ht="48">
      <c r="C49" s="847"/>
      <c r="D49" s="854" t="s">
        <v>1143</v>
      </c>
      <c r="E49" s="666">
        <v>1</v>
      </c>
      <c r="F49" s="665" t="s">
        <v>16</v>
      </c>
      <c r="G49" s="463"/>
      <c r="H49" s="855"/>
      <c r="I49" s="850"/>
      <c r="J49" s="851"/>
      <c r="K49" s="463"/>
      <c r="L49" s="852" t="s">
        <v>1389</v>
      </c>
    </row>
    <row r="50" spans="3:12">
      <c r="C50" s="847"/>
      <c r="D50" s="854" t="s">
        <v>1144</v>
      </c>
      <c r="E50" s="666">
        <v>1</v>
      </c>
      <c r="F50" s="665" t="s">
        <v>16</v>
      </c>
      <c r="G50" s="463"/>
      <c r="H50" s="855"/>
      <c r="I50" s="850"/>
      <c r="J50" s="851"/>
      <c r="K50" s="463"/>
      <c r="L50" s="852" t="s">
        <v>1389</v>
      </c>
    </row>
    <row r="51" spans="3:12" ht="48">
      <c r="C51" s="847"/>
      <c r="D51" s="854" t="s">
        <v>1145</v>
      </c>
      <c r="E51" s="666">
        <v>1</v>
      </c>
      <c r="F51" s="665" t="s">
        <v>16</v>
      </c>
      <c r="G51" s="463"/>
      <c r="H51" s="855"/>
      <c r="I51" s="850"/>
      <c r="J51" s="851"/>
      <c r="K51" s="463"/>
      <c r="L51" s="852" t="s">
        <v>1389</v>
      </c>
    </row>
    <row r="52" spans="3:12">
      <c r="C52" s="847"/>
      <c r="D52" s="854" t="s">
        <v>1146</v>
      </c>
      <c r="E52" s="666">
        <v>1</v>
      </c>
      <c r="F52" s="665" t="s">
        <v>16</v>
      </c>
      <c r="G52" s="463"/>
      <c r="H52" s="855"/>
      <c r="I52" s="850"/>
      <c r="J52" s="851"/>
      <c r="K52" s="463"/>
      <c r="L52" s="852" t="s">
        <v>1389</v>
      </c>
    </row>
    <row r="53" spans="3:12">
      <c r="C53" s="847"/>
      <c r="D53" s="854" t="s">
        <v>1147</v>
      </c>
      <c r="E53" s="666">
        <v>1</v>
      </c>
      <c r="F53" s="665" t="s">
        <v>16</v>
      </c>
      <c r="G53" s="463"/>
      <c r="H53" s="855"/>
      <c r="I53" s="850"/>
      <c r="J53" s="851"/>
      <c r="K53" s="463"/>
      <c r="L53" s="852" t="s">
        <v>1389</v>
      </c>
    </row>
    <row r="54" spans="3:12">
      <c r="C54" s="847"/>
      <c r="D54" s="854" t="s">
        <v>1148</v>
      </c>
      <c r="E54" s="666">
        <v>1</v>
      </c>
      <c r="F54" s="665" t="s">
        <v>16</v>
      </c>
      <c r="G54" s="463"/>
      <c r="H54" s="855"/>
      <c r="I54" s="850"/>
      <c r="J54" s="851"/>
      <c r="K54" s="463"/>
      <c r="L54" s="852" t="s">
        <v>1389</v>
      </c>
    </row>
    <row r="55" spans="3:12">
      <c r="C55" s="847"/>
      <c r="D55" s="854" t="s">
        <v>1149</v>
      </c>
      <c r="E55" s="666">
        <v>2</v>
      </c>
      <c r="F55" s="665" t="s">
        <v>16</v>
      </c>
      <c r="G55" s="463"/>
      <c r="H55" s="855"/>
      <c r="I55" s="850"/>
      <c r="J55" s="851"/>
      <c r="K55" s="463"/>
      <c r="L55" s="852" t="s">
        <v>1389</v>
      </c>
    </row>
    <row r="56" spans="3:12">
      <c r="C56" s="847"/>
      <c r="D56" s="854" t="s">
        <v>1150</v>
      </c>
      <c r="E56" s="666">
        <v>1</v>
      </c>
      <c r="F56" s="665" t="s">
        <v>16</v>
      </c>
      <c r="G56" s="463"/>
      <c r="H56" s="855"/>
      <c r="I56" s="850"/>
      <c r="J56" s="851"/>
      <c r="K56" s="463"/>
      <c r="L56" s="852" t="s">
        <v>1389</v>
      </c>
    </row>
    <row r="57" spans="3:12">
      <c r="C57" s="847"/>
      <c r="D57" s="854" t="s">
        <v>1151</v>
      </c>
      <c r="E57" s="666">
        <v>2</v>
      </c>
      <c r="F57" s="665" t="s">
        <v>16</v>
      </c>
      <c r="G57" s="463"/>
      <c r="H57" s="855"/>
      <c r="I57" s="850"/>
      <c r="J57" s="851"/>
      <c r="K57" s="463"/>
      <c r="L57" s="852" t="s">
        <v>1389</v>
      </c>
    </row>
    <row r="58" spans="3:12">
      <c r="C58" s="847"/>
      <c r="D58" s="854" t="s">
        <v>1152</v>
      </c>
      <c r="E58" s="666">
        <v>1</v>
      </c>
      <c r="F58" s="665" t="s">
        <v>16</v>
      </c>
      <c r="G58" s="463"/>
      <c r="H58" s="855"/>
      <c r="I58" s="850"/>
      <c r="J58" s="851"/>
      <c r="K58" s="463"/>
      <c r="L58" s="852" t="s">
        <v>1389</v>
      </c>
    </row>
    <row r="59" spans="3:12">
      <c r="C59" s="847"/>
      <c r="D59" s="854" t="s">
        <v>1153</v>
      </c>
      <c r="E59" s="666">
        <v>2</v>
      </c>
      <c r="F59" s="665" t="s">
        <v>16</v>
      </c>
      <c r="G59" s="463"/>
      <c r="H59" s="855"/>
      <c r="I59" s="850"/>
      <c r="J59" s="851"/>
      <c r="K59" s="463"/>
      <c r="L59" s="852" t="s">
        <v>1389</v>
      </c>
    </row>
    <row r="60" spans="3:12">
      <c r="C60" s="847"/>
      <c r="D60" s="854" t="s">
        <v>1129</v>
      </c>
      <c r="E60" s="666">
        <v>20</v>
      </c>
      <c r="F60" s="665" t="s">
        <v>16</v>
      </c>
      <c r="G60" s="463"/>
      <c r="H60" s="855"/>
      <c r="I60" s="850"/>
      <c r="J60" s="851"/>
      <c r="K60" s="463"/>
      <c r="L60" s="852" t="s">
        <v>1389</v>
      </c>
    </row>
    <row r="61" spans="3:12">
      <c r="C61" s="847"/>
      <c r="D61" s="854" t="s">
        <v>1154</v>
      </c>
      <c r="E61" s="856">
        <v>1</v>
      </c>
      <c r="F61" s="506" t="s">
        <v>16</v>
      </c>
      <c r="G61" s="501"/>
      <c r="H61" s="855"/>
      <c r="I61" s="857"/>
      <c r="J61" s="855"/>
      <c r="K61" s="849"/>
      <c r="L61" s="852" t="s">
        <v>1389</v>
      </c>
    </row>
    <row r="62" spans="3:12">
      <c r="C62" s="858"/>
      <c r="D62" s="859" t="s">
        <v>1155</v>
      </c>
      <c r="E62" s="860">
        <v>1</v>
      </c>
      <c r="F62" s="506" t="s">
        <v>16</v>
      </c>
      <c r="G62" s="501"/>
      <c r="H62" s="855"/>
      <c r="I62" s="702"/>
      <c r="J62" s="855"/>
      <c r="K62" s="849"/>
      <c r="L62" s="852" t="s">
        <v>1389</v>
      </c>
    </row>
    <row r="63" spans="3:12">
      <c r="C63" s="858"/>
      <c r="D63" s="861" t="s">
        <v>1380</v>
      </c>
      <c r="E63" s="862">
        <v>2</v>
      </c>
      <c r="F63" s="665" t="s">
        <v>16</v>
      </c>
      <c r="G63" s="863"/>
      <c r="H63" s="864"/>
      <c r="I63" s="565"/>
      <c r="J63" s="864"/>
      <c r="K63" s="849"/>
      <c r="L63" s="852" t="s">
        <v>1389</v>
      </c>
    </row>
    <row r="64" spans="3:12" ht="48">
      <c r="C64" s="865"/>
      <c r="D64" s="866" t="s">
        <v>1381</v>
      </c>
      <c r="E64" s="862">
        <v>1</v>
      </c>
      <c r="F64" s="665" t="s">
        <v>16</v>
      </c>
      <c r="G64" s="867"/>
      <c r="H64" s="868"/>
      <c r="I64" s="869"/>
      <c r="J64" s="868"/>
      <c r="K64" s="849"/>
      <c r="L64" s="852" t="s">
        <v>1389</v>
      </c>
    </row>
    <row r="65" spans="3:12" ht="48">
      <c r="C65" s="858"/>
      <c r="D65" s="870" t="s">
        <v>1382</v>
      </c>
      <c r="E65" s="871">
        <v>1</v>
      </c>
      <c r="F65" s="665" t="s">
        <v>16</v>
      </c>
      <c r="G65" s="872"/>
      <c r="H65" s="873"/>
      <c r="I65" s="874"/>
      <c r="J65" s="873"/>
      <c r="K65" s="849"/>
      <c r="L65" s="852" t="s">
        <v>1389</v>
      </c>
    </row>
    <row r="66" spans="3:12">
      <c r="C66" s="875"/>
      <c r="D66" s="876" t="s">
        <v>1370</v>
      </c>
      <c r="E66" s="877">
        <v>1</v>
      </c>
      <c r="F66" s="665" t="s">
        <v>16</v>
      </c>
      <c r="G66" s="878"/>
      <c r="H66" s="879"/>
      <c r="I66" s="749"/>
      <c r="J66" s="879"/>
      <c r="K66" s="849"/>
      <c r="L66" s="852" t="s">
        <v>1389</v>
      </c>
    </row>
    <row r="67" spans="3:12" ht="48">
      <c r="C67" s="847"/>
      <c r="D67" s="880" t="s">
        <v>1384</v>
      </c>
      <c r="E67" s="881">
        <v>1</v>
      </c>
      <c r="F67" s="665" t="s">
        <v>16</v>
      </c>
      <c r="G67" s="872"/>
      <c r="H67" s="873"/>
      <c r="I67" s="874"/>
      <c r="J67" s="873"/>
      <c r="K67" s="849"/>
      <c r="L67" s="852" t="s">
        <v>1389</v>
      </c>
    </row>
    <row r="68" spans="3:12" ht="48">
      <c r="C68" s="847"/>
      <c r="D68" s="882" t="s">
        <v>1371</v>
      </c>
      <c r="E68" s="881">
        <v>1</v>
      </c>
      <c r="F68" s="665" t="s">
        <v>16</v>
      </c>
      <c r="G68" s="863"/>
      <c r="H68" s="864"/>
      <c r="I68" s="565"/>
      <c r="J68" s="864"/>
      <c r="K68" s="849"/>
      <c r="L68" s="852" t="s">
        <v>1389</v>
      </c>
    </row>
    <row r="69" spans="3:12" ht="21" customHeight="1">
      <c r="C69" s="883"/>
      <c r="D69" s="880" t="s">
        <v>1372</v>
      </c>
      <c r="E69" s="881">
        <v>1</v>
      </c>
      <c r="F69" s="665" t="s">
        <v>16</v>
      </c>
      <c r="G69" s="872"/>
      <c r="H69" s="873"/>
      <c r="I69" s="874"/>
      <c r="J69" s="873"/>
      <c r="K69" s="849"/>
      <c r="L69" s="852" t="s">
        <v>1389</v>
      </c>
    </row>
    <row r="70" spans="3:12" ht="48">
      <c r="C70" s="847"/>
      <c r="D70" s="884" t="s">
        <v>1373</v>
      </c>
      <c r="E70" s="885">
        <v>1</v>
      </c>
      <c r="F70" s="665" t="s">
        <v>16</v>
      </c>
      <c r="G70" s="863"/>
      <c r="H70" s="864"/>
      <c r="I70" s="565"/>
      <c r="J70" s="864"/>
      <c r="K70" s="849"/>
      <c r="L70" s="852" t="s">
        <v>1389</v>
      </c>
    </row>
    <row r="71" spans="3:12">
      <c r="C71" s="847"/>
      <c r="D71" s="884" t="s">
        <v>1374</v>
      </c>
      <c r="E71" s="886">
        <v>1</v>
      </c>
      <c r="F71" s="665" t="s">
        <v>16</v>
      </c>
      <c r="G71" s="863"/>
      <c r="H71" s="873"/>
      <c r="I71" s="874"/>
      <c r="J71" s="873"/>
      <c r="K71" s="849"/>
      <c r="L71" s="852" t="s">
        <v>1389</v>
      </c>
    </row>
    <row r="72" spans="3:12">
      <c r="C72" s="847"/>
      <c r="D72" s="880" t="s">
        <v>1375</v>
      </c>
      <c r="E72" s="881">
        <v>1</v>
      </c>
      <c r="F72" s="665" t="s">
        <v>16</v>
      </c>
      <c r="G72" s="872"/>
      <c r="H72" s="879"/>
      <c r="I72" s="749"/>
      <c r="J72" s="879"/>
      <c r="K72" s="849"/>
      <c r="L72" s="852" t="s">
        <v>1389</v>
      </c>
    </row>
    <row r="73" spans="3:12">
      <c r="C73" s="847"/>
      <c r="D73" s="884" t="s">
        <v>1376</v>
      </c>
      <c r="E73" s="885">
        <v>1</v>
      </c>
      <c r="F73" s="665" t="s">
        <v>16</v>
      </c>
      <c r="G73" s="878"/>
      <c r="H73" s="864"/>
      <c r="I73" s="887"/>
      <c r="J73" s="873"/>
      <c r="K73" s="463"/>
      <c r="L73" s="852" t="s">
        <v>1389</v>
      </c>
    </row>
    <row r="74" spans="3:12">
      <c r="C74" s="847"/>
      <c r="D74" s="854"/>
      <c r="E74" s="756"/>
      <c r="F74" s="665"/>
      <c r="G74" s="763"/>
      <c r="H74" s="855"/>
      <c r="I74" s="850"/>
      <c r="J74" s="776"/>
      <c r="K74" s="463"/>
      <c r="L74" s="852"/>
    </row>
    <row r="75" spans="3:12">
      <c r="C75" s="847" t="s">
        <v>1301</v>
      </c>
      <c r="D75" s="853" t="s">
        <v>1003</v>
      </c>
      <c r="E75" s="649"/>
      <c r="F75" s="665"/>
      <c r="G75" s="463"/>
      <c r="H75" s="855"/>
      <c r="I75" s="850"/>
      <c r="J75" s="851"/>
      <c r="K75" s="463"/>
      <c r="L75" s="852"/>
    </row>
    <row r="76" spans="3:12">
      <c r="C76" s="847"/>
      <c r="D76" s="854" t="s">
        <v>1140</v>
      </c>
      <c r="E76" s="666">
        <v>1</v>
      </c>
      <c r="F76" s="665" t="s">
        <v>16</v>
      </c>
      <c r="G76" s="463"/>
      <c r="H76" s="855"/>
      <c r="I76" s="850"/>
      <c r="J76" s="851"/>
      <c r="K76" s="463"/>
      <c r="L76" s="852" t="s">
        <v>1389</v>
      </c>
    </row>
    <row r="77" spans="3:12">
      <c r="C77" s="847"/>
      <c r="D77" s="854" t="s">
        <v>1141</v>
      </c>
      <c r="E77" s="666">
        <v>2</v>
      </c>
      <c r="F77" s="665" t="s">
        <v>16</v>
      </c>
      <c r="G77" s="463"/>
      <c r="H77" s="855"/>
      <c r="I77" s="850"/>
      <c r="J77" s="851"/>
      <c r="K77" s="463"/>
      <c r="L77" s="852" t="s">
        <v>1389</v>
      </c>
    </row>
    <row r="78" spans="3:12">
      <c r="C78" s="847"/>
      <c r="D78" s="854" t="s">
        <v>1156</v>
      </c>
      <c r="E78" s="666">
        <v>1</v>
      </c>
      <c r="F78" s="665" t="s">
        <v>16</v>
      </c>
      <c r="G78" s="463"/>
      <c r="H78" s="855"/>
      <c r="I78" s="850"/>
      <c r="J78" s="851"/>
      <c r="K78" s="463"/>
      <c r="L78" s="852" t="s">
        <v>1389</v>
      </c>
    </row>
    <row r="79" spans="3:12">
      <c r="C79" s="847"/>
      <c r="D79" s="854" t="s">
        <v>1157</v>
      </c>
      <c r="E79" s="666">
        <v>1</v>
      </c>
      <c r="F79" s="665" t="s">
        <v>16</v>
      </c>
      <c r="G79" s="463"/>
      <c r="H79" s="855"/>
      <c r="I79" s="850"/>
      <c r="J79" s="851"/>
      <c r="K79" s="463"/>
      <c r="L79" s="852" t="s">
        <v>1389</v>
      </c>
    </row>
    <row r="80" spans="3:12" ht="48">
      <c r="C80" s="847"/>
      <c r="D80" s="854" t="s">
        <v>1158</v>
      </c>
      <c r="E80" s="666">
        <v>1</v>
      </c>
      <c r="F80" s="665" t="s">
        <v>16</v>
      </c>
      <c r="G80" s="463"/>
      <c r="H80" s="855"/>
      <c r="I80" s="850"/>
      <c r="J80" s="851"/>
      <c r="K80" s="463"/>
      <c r="L80" s="852" t="s">
        <v>1389</v>
      </c>
    </row>
    <row r="81" spans="3:12" ht="48">
      <c r="C81" s="847"/>
      <c r="D81" s="854" t="s">
        <v>1159</v>
      </c>
      <c r="E81" s="666">
        <v>1</v>
      </c>
      <c r="F81" s="665" t="s">
        <v>16</v>
      </c>
      <c r="G81" s="463"/>
      <c r="H81" s="855"/>
      <c r="I81" s="850"/>
      <c r="J81" s="851"/>
      <c r="K81" s="463"/>
      <c r="L81" s="852" t="s">
        <v>1389</v>
      </c>
    </row>
    <row r="82" spans="3:12">
      <c r="C82" s="847"/>
      <c r="D82" s="854" t="s">
        <v>1160</v>
      </c>
      <c r="E82" s="666">
        <v>2</v>
      </c>
      <c r="F82" s="665" t="s">
        <v>16</v>
      </c>
      <c r="G82" s="463"/>
      <c r="H82" s="855"/>
      <c r="I82" s="850"/>
      <c r="J82" s="851"/>
      <c r="K82" s="463"/>
      <c r="L82" s="852" t="s">
        <v>1389</v>
      </c>
    </row>
    <row r="83" spans="3:12">
      <c r="C83" s="746"/>
      <c r="D83" s="854" t="s">
        <v>1161</v>
      </c>
      <c r="E83" s="666">
        <v>3</v>
      </c>
      <c r="F83" s="665" t="s">
        <v>16</v>
      </c>
      <c r="G83" s="463"/>
      <c r="H83" s="855"/>
      <c r="I83" s="850"/>
      <c r="J83" s="851"/>
      <c r="K83" s="463"/>
      <c r="L83" s="852" t="s">
        <v>1389</v>
      </c>
    </row>
    <row r="84" spans="3:12">
      <c r="C84" s="847">
        <v>1.2</v>
      </c>
      <c r="D84" s="854" t="s">
        <v>1153</v>
      </c>
      <c r="E84" s="666">
        <v>2</v>
      </c>
      <c r="F84" s="665" t="s">
        <v>16</v>
      </c>
      <c r="G84" s="463"/>
      <c r="H84" s="855"/>
      <c r="I84" s="850"/>
      <c r="J84" s="851"/>
      <c r="K84" s="463"/>
      <c r="L84" s="852" t="s">
        <v>1389</v>
      </c>
    </row>
    <row r="85" spans="3:12">
      <c r="C85" s="847" t="s">
        <v>694</v>
      </c>
      <c r="D85" s="854" t="s">
        <v>1152</v>
      </c>
      <c r="E85" s="666">
        <v>1</v>
      </c>
      <c r="F85" s="665" t="s">
        <v>16</v>
      </c>
      <c r="G85" s="463"/>
      <c r="H85" s="855"/>
      <c r="I85" s="850"/>
      <c r="J85" s="851"/>
      <c r="K85" s="463"/>
      <c r="L85" s="852" t="s">
        <v>1389</v>
      </c>
    </row>
    <row r="86" spans="3:12">
      <c r="C86" s="847"/>
      <c r="D86" s="854" t="s">
        <v>1129</v>
      </c>
      <c r="E86" s="666">
        <v>24</v>
      </c>
      <c r="F86" s="665" t="s">
        <v>16</v>
      </c>
      <c r="G86" s="463"/>
      <c r="H86" s="855"/>
      <c r="I86" s="850"/>
      <c r="J86" s="851"/>
      <c r="K86" s="463"/>
      <c r="L86" s="852" t="s">
        <v>1389</v>
      </c>
    </row>
    <row r="87" spans="3:12">
      <c r="C87" s="847"/>
      <c r="D87" s="854" t="s">
        <v>1154</v>
      </c>
      <c r="E87" s="666">
        <v>1</v>
      </c>
      <c r="F87" s="665" t="s">
        <v>16</v>
      </c>
      <c r="G87" s="463"/>
      <c r="H87" s="855"/>
      <c r="I87" s="850"/>
      <c r="J87" s="851"/>
      <c r="K87" s="463"/>
      <c r="L87" s="852" t="s">
        <v>1389</v>
      </c>
    </row>
    <row r="88" spans="3:12">
      <c r="C88" s="847"/>
      <c r="D88" s="854" t="s">
        <v>1149</v>
      </c>
      <c r="E88" s="666">
        <v>2</v>
      </c>
      <c r="F88" s="665" t="s">
        <v>16</v>
      </c>
      <c r="G88" s="463"/>
      <c r="H88" s="855"/>
      <c r="I88" s="850"/>
      <c r="J88" s="851"/>
      <c r="K88" s="463"/>
      <c r="L88" s="852" t="s">
        <v>1389</v>
      </c>
    </row>
    <row r="89" spans="3:12">
      <c r="C89" s="847" t="s">
        <v>1302</v>
      </c>
      <c r="D89" s="854" t="s">
        <v>1155</v>
      </c>
      <c r="E89" s="666">
        <v>1</v>
      </c>
      <c r="F89" s="665" t="s">
        <v>16</v>
      </c>
      <c r="G89" s="463"/>
      <c r="H89" s="855"/>
      <c r="I89" s="850"/>
      <c r="J89" s="851"/>
      <c r="K89" s="463"/>
      <c r="L89" s="852" t="s">
        <v>1389</v>
      </c>
    </row>
    <row r="90" spans="3:12">
      <c r="C90" s="847"/>
      <c r="D90" s="854" t="s">
        <v>1162</v>
      </c>
      <c r="E90" s="666">
        <v>2</v>
      </c>
      <c r="F90" s="665" t="s">
        <v>16</v>
      </c>
      <c r="G90" s="463"/>
      <c r="H90" s="855"/>
      <c r="I90" s="850"/>
      <c r="J90" s="851"/>
      <c r="K90" s="463"/>
      <c r="L90" s="852" t="s">
        <v>1389</v>
      </c>
    </row>
    <row r="91" spans="3:12" ht="48">
      <c r="C91" s="847"/>
      <c r="D91" s="854" t="s">
        <v>1400</v>
      </c>
      <c r="E91" s="666">
        <v>1</v>
      </c>
      <c r="F91" s="665" t="s">
        <v>16</v>
      </c>
      <c r="G91" s="463"/>
      <c r="H91" s="855"/>
      <c r="I91" s="850"/>
      <c r="J91" s="851"/>
      <c r="K91" s="463"/>
      <c r="L91" s="852" t="s">
        <v>1389</v>
      </c>
    </row>
    <row r="92" spans="3:12" ht="48">
      <c r="C92" s="847"/>
      <c r="D92" s="854" t="s">
        <v>1355</v>
      </c>
      <c r="E92" s="666">
        <v>1</v>
      </c>
      <c r="F92" s="665" t="s">
        <v>16</v>
      </c>
      <c r="G92" s="463"/>
      <c r="H92" s="855"/>
      <c r="I92" s="850"/>
      <c r="J92" s="851"/>
      <c r="K92" s="463"/>
      <c r="L92" s="852" t="s">
        <v>1389</v>
      </c>
    </row>
    <row r="93" spans="3:12" ht="48">
      <c r="C93" s="847"/>
      <c r="D93" s="854" t="s">
        <v>1356</v>
      </c>
      <c r="E93" s="666">
        <v>1</v>
      </c>
      <c r="F93" s="665" t="s">
        <v>16</v>
      </c>
      <c r="G93" s="463"/>
      <c r="H93" s="855"/>
      <c r="I93" s="850"/>
      <c r="J93" s="851"/>
      <c r="K93" s="463"/>
      <c r="L93" s="852" t="s">
        <v>1389</v>
      </c>
    </row>
    <row r="94" spans="3:12">
      <c r="C94" s="847"/>
      <c r="D94" s="933" t="s">
        <v>1004</v>
      </c>
      <c r="E94" s="463"/>
      <c r="F94" s="463"/>
      <c r="G94" s="463"/>
      <c r="H94" s="888"/>
      <c r="I94" s="850"/>
      <c r="J94" s="889"/>
      <c r="K94" s="889"/>
      <c r="L94" s="852"/>
    </row>
    <row r="95" spans="3:12">
      <c r="C95" s="847"/>
      <c r="D95" s="853" t="s">
        <v>1005</v>
      </c>
      <c r="E95" s="666"/>
      <c r="F95" s="665"/>
      <c r="G95" s="463"/>
      <c r="H95" s="849"/>
      <c r="I95" s="850"/>
      <c r="J95" s="851"/>
      <c r="K95" s="463"/>
      <c r="L95" s="852"/>
    </row>
    <row r="96" spans="3:12">
      <c r="C96" s="847" t="s">
        <v>1303</v>
      </c>
      <c r="D96" s="853" t="s">
        <v>1006</v>
      </c>
      <c r="E96" s="666"/>
      <c r="F96" s="665"/>
      <c r="G96" s="463"/>
      <c r="H96" s="849"/>
      <c r="I96" s="850"/>
      <c r="J96" s="851"/>
      <c r="K96" s="463"/>
      <c r="L96" s="852"/>
    </row>
    <row r="97" spans="3:12">
      <c r="C97" s="847"/>
      <c r="D97" s="854" t="s">
        <v>1270</v>
      </c>
      <c r="E97" s="666">
        <v>64</v>
      </c>
      <c r="F97" s="665" t="s">
        <v>16</v>
      </c>
      <c r="G97" s="463"/>
      <c r="H97" s="855"/>
      <c r="I97" s="850"/>
      <c r="J97" s="851"/>
      <c r="K97" s="463"/>
      <c r="L97" s="852" t="s">
        <v>1389</v>
      </c>
    </row>
    <row r="98" spans="3:12">
      <c r="C98" s="847"/>
      <c r="D98" s="854" t="s">
        <v>1271</v>
      </c>
      <c r="E98" s="666">
        <v>1</v>
      </c>
      <c r="F98" s="665" t="s">
        <v>16</v>
      </c>
      <c r="G98" s="463"/>
      <c r="H98" s="855"/>
      <c r="I98" s="850"/>
      <c r="J98" s="851"/>
      <c r="K98" s="463"/>
      <c r="L98" s="852" t="s">
        <v>1389</v>
      </c>
    </row>
    <row r="99" spans="3:12">
      <c r="C99" s="847"/>
      <c r="D99" s="854" t="s">
        <v>1272</v>
      </c>
      <c r="E99" s="666">
        <v>1</v>
      </c>
      <c r="F99" s="665" t="s">
        <v>16</v>
      </c>
      <c r="G99" s="463"/>
      <c r="H99" s="855"/>
      <c r="I99" s="850"/>
      <c r="J99" s="851"/>
      <c r="K99" s="463"/>
      <c r="L99" s="852" t="s">
        <v>1389</v>
      </c>
    </row>
    <row r="100" spans="3:12">
      <c r="C100" s="847" t="s">
        <v>1304</v>
      </c>
      <c r="D100" s="853" t="s">
        <v>1205</v>
      </c>
      <c r="E100" s="666"/>
      <c r="F100" s="665"/>
      <c r="G100" s="463"/>
      <c r="H100" s="855"/>
      <c r="I100" s="850"/>
      <c r="J100" s="851"/>
      <c r="K100" s="463"/>
      <c r="L100" s="852"/>
    </row>
    <row r="101" spans="3:12">
      <c r="C101" s="847"/>
      <c r="D101" s="854" t="s">
        <v>1163</v>
      </c>
      <c r="E101" s="666">
        <v>6</v>
      </c>
      <c r="F101" s="665" t="s">
        <v>16</v>
      </c>
      <c r="G101" s="463"/>
      <c r="H101" s="855"/>
      <c r="I101" s="850"/>
      <c r="J101" s="851"/>
      <c r="K101" s="463"/>
      <c r="L101" s="852" t="s">
        <v>1389</v>
      </c>
    </row>
    <row r="102" spans="3:12">
      <c r="C102" s="847"/>
      <c r="D102" s="854" t="s">
        <v>1164</v>
      </c>
      <c r="E102" s="666">
        <v>24</v>
      </c>
      <c r="F102" s="665" t="s">
        <v>16</v>
      </c>
      <c r="G102" s="463"/>
      <c r="H102" s="855"/>
      <c r="I102" s="850"/>
      <c r="J102" s="851"/>
      <c r="K102" s="463"/>
      <c r="L102" s="852" t="s">
        <v>1389</v>
      </c>
    </row>
    <row r="103" spans="3:12">
      <c r="C103" s="847"/>
      <c r="D103" s="854" t="s">
        <v>1273</v>
      </c>
      <c r="E103" s="666">
        <v>3</v>
      </c>
      <c r="F103" s="665" t="s">
        <v>16</v>
      </c>
      <c r="G103" s="463"/>
      <c r="H103" s="855"/>
      <c r="I103" s="850"/>
      <c r="J103" s="851"/>
      <c r="K103" s="463"/>
      <c r="L103" s="852" t="s">
        <v>1389</v>
      </c>
    </row>
    <row r="104" spans="3:12">
      <c r="C104" s="847"/>
      <c r="D104" s="854" t="s">
        <v>1274</v>
      </c>
      <c r="E104" s="666">
        <v>12</v>
      </c>
      <c r="F104" s="665" t="s">
        <v>16</v>
      </c>
      <c r="G104" s="463"/>
      <c r="H104" s="855"/>
      <c r="I104" s="850"/>
      <c r="J104" s="851"/>
      <c r="K104" s="463"/>
      <c r="L104" s="852" t="s">
        <v>1389</v>
      </c>
    </row>
    <row r="105" spans="3:12">
      <c r="C105" s="847"/>
      <c r="D105" s="854" t="s">
        <v>1165</v>
      </c>
      <c r="E105" s="666">
        <v>1</v>
      </c>
      <c r="F105" s="665" t="s">
        <v>16</v>
      </c>
      <c r="G105" s="463"/>
      <c r="H105" s="855"/>
      <c r="I105" s="850"/>
      <c r="J105" s="851"/>
      <c r="K105" s="463"/>
      <c r="L105" s="852" t="s">
        <v>1389</v>
      </c>
    </row>
    <row r="106" spans="3:12">
      <c r="C106" s="847"/>
      <c r="D106" s="854" t="s">
        <v>1166</v>
      </c>
      <c r="E106" s="666">
        <v>4</v>
      </c>
      <c r="F106" s="665" t="s">
        <v>16</v>
      </c>
      <c r="G106" s="463"/>
      <c r="H106" s="855"/>
      <c r="I106" s="850"/>
      <c r="J106" s="851"/>
      <c r="K106" s="463"/>
      <c r="L106" s="852" t="s">
        <v>1389</v>
      </c>
    </row>
    <row r="107" spans="3:12">
      <c r="C107" s="847"/>
      <c r="D107" s="853" t="s">
        <v>1007</v>
      </c>
      <c r="E107" s="666"/>
      <c r="F107" s="665"/>
      <c r="G107" s="463"/>
      <c r="H107" s="855"/>
      <c r="I107" s="850"/>
      <c r="J107" s="851"/>
      <c r="K107" s="463"/>
      <c r="L107" s="852"/>
    </row>
    <row r="108" spans="3:12">
      <c r="C108" s="847"/>
      <c r="D108" s="854" t="s">
        <v>1202</v>
      </c>
      <c r="E108" s="666">
        <v>5</v>
      </c>
      <c r="F108" s="665" t="s">
        <v>16</v>
      </c>
      <c r="G108" s="463"/>
      <c r="H108" s="855"/>
      <c r="I108" s="850"/>
      <c r="J108" s="851"/>
      <c r="K108" s="463"/>
      <c r="L108" s="852" t="s">
        <v>1389</v>
      </c>
    </row>
    <row r="109" spans="3:12">
      <c r="C109" s="847"/>
      <c r="D109" s="854" t="s">
        <v>1203</v>
      </c>
      <c r="E109" s="666">
        <v>20</v>
      </c>
      <c r="F109" s="665" t="s">
        <v>16</v>
      </c>
      <c r="G109" s="463"/>
      <c r="H109" s="855"/>
      <c r="I109" s="850"/>
      <c r="J109" s="851"/>
      <c r="K109" s="463"/>
      <c r="L109" s="852" t="s">
        <v>1389</v>
      </c>
    </row>
    <row r="110" spans="3:12">
      <c r="C110" s="847"/>
      <c r="D110" s="854" t="s">
        <v>1204</v>
      </c>
      <c r="E110" s="666">
        <v>8</v>
      </c>
      <c r="F110" s="665" t="s">
        <v>16</v>
      </c>
      <c r="G110" s="463"/>
      <c r="H110" s="855"/>
      <c r="I110" s="850"/>
      <c r="J110" s="851"/>
      <c r="K110" s="463"/>
      <c r="L110" s="852" t="s">
        <v>1389</v>
      </c>
    </row>
    <row r="111" spans="3:12">
      <c r="C111" s="847"/>
      <c r="D111" s="853" t="s">
        <v>1008</v>
      </c>
      <c r="E111" s="666"/>
      <c r="F111" s="665"/>
      <c r="G111" s="463"/>
      <c r="H111" s="855"/>
      <c r="I111" s="850"/>
      <c r="J111" s="851"/>
      <c r="K111" s="463"/>
      <c r="L111" s="852"/>
    </row>
    <row r="112" spans="3:12" ht="48">
      <c r="C112" s="847"/>
      <c r="D112" s="854" t="s">
        <v>1167</v>
      </c>
      <c r="E112" s="666">
        <v>1</v>
      </c>
      <c r="F112" s="665" t="s">
        <v>28</v>
      </c>
      <c r="G112" s="463"/>
      <c r="H112" s="855"/>
      <c r="I112" s="850"/>
      <c r="J112" s="851"/>
      <c r="K112" s="463"/>
      <c r="L112" s="852" t="s">
        <v>1389</v>
      </c>
    </row>
    <row r="113" spans="3:12">
      <c r="C113" s="847"/>
      <c r="D113" s="854" t="s">
        <v>1168</v>
      </c>
      <c r="E113" s="666">
        <v>1</v>
      </c>
      <c r="F113" s="665" t="s">
        <v>28</v>
      </c>
      <c r="G113" s="463"/>
      <c r="H113" s="855"/>
      <c r="I113" s="850"/>
      <c r="J113" s="851"/>
      <c r="K113" s="463"/>
      <c r="L113" s="852" t="s">
        <v>1389</v>
      </c>
    </row>
    <row r="114" spans="3:12">
      <c r="C114" s="847"/>
      <c r="D114" s="854" t="s">
        <v>1169</v>
      </c>
      <c r="E114" s="666">
        <v>8</v>
      </c>
      <c r="F114" s="665" t="s">
        <v>28</v>
      </c>
      <c r="G114" s="463"/>
      <c r="H114" s="855"/>
      <c r="I114" s="850"/>
      <c r="J114" s="851"/>
      <c r="K114" s="463"/>
      <c r="L114" s="852" t="s">
        <v>1389</v>
      </c>
    </row>
    <row r="115" spans="3:12" ht="48">
      <c r="C115" s="847"/>
      <c r="D115" s="854" t="s">
        <v>1170</v>
      </c>
      <c r="E115" s="666">
        <v>3</v>
      </c>
      <c r="F115" s="665" t="s">
        <v>28</v>
      </c>
      <c r="G115" s="463"/>
      <c r="H115" s="855"/>
      <c r="I115" s="850"/>
      <c r="J115" s="851"/>
      <c r="K115" s="463"/>
      <c r="L115" s="852" t="s">
        <v>1389</v>
      </c>
    </row>
    <row r="116" spans="3:12">
      <c r="C116" s="847"/>
      <c r="D116" s="854" t="s">
        <v>1171</v>
      </c>
      <c r="E116" s="666">
        <v>3</v>
      </c>
      <c r="F116" s="665" t="s">
        <v>28</v>
      </c>
      <c r="G116" s="463"/>
      <c r="H116" s="855"/>
      <c r="I116" s="850"/>
      <c r="J116" s="851"/>
      <c r="K116" s="463"/>
      <c r="L116" s="852" t="s">
        <v>1389</v>
      </c>
    </row>
    <row r="117" spans="3:12">
      <c r="C117" s="847"/>
      <c r="D117" s="854" t="s">
        <v>1172</v>
      </c>
      <c r="E117" s="666">
        <v>4</v>
      </c>
      <c r="F117" s="665" t="s">
        <v>28</v>
      </c>
      <c r="G117" s="463"/>
      <c r="H117" s="855"/>
      <c r="I117" s="850"/>
      <c r="J117" s="851"/>
      <c r="K117" s="463"/>
      <c r="L117" s="852" t="s">
        <v>1389</v>
      </c>
    </row>
    <row r="118" spans="3:12">
      <c r="C118" s="847"/>
      <c r="D118" s="854" t="s">
        <v>1173</v>
      </c>
      <c r="E118" s="666">
        <v>11</v>
      </c>
      <c r="F118" s="665" t="s">
        <v>1013</v>
      </c>
      <c r="G118" s="463"/>
      <c r="H118" s="855"/>
      <c r="I118" s="850"/>
      <c r="J118" s="851"/>
      <c r="K118" s="463"/>
      <c r="L118" s="852" t="s">
        <v>1389</v>
      </c>
    </row>
    <row r="119" spans="3:12">
      <c r="C119" s="847"/>
      <c r="D119" s="854" t="s">
        <v>1174</v>
      </c>
      <c r="E119" s="666">
        <v>11</v>
      </c>
      <c r="F119" s="665" t="s">
        <v>1013</v>
      </c>
      <c r="G119" s="463"/>
      <c r="H119" s="855"/>
      <c r="I119" s="850"/>
      <c r="J119" s="851"/>
      <c r="K119" s="463"/>
      <c r="L119" s="852" t="s">
        <v>1389</v>
      </c>
    </row>
    <row r="120" spans="3:12">
      <c r="C120" s="847" t="s">
        <v>1305</v>
      </c>
      <c r="D120" s="854" t="s">
        <v>1175</v>
      </c>
      <c r="E120" s="666">
        <v>20</v>
      </c>
      <c r="F120" s="665" t="s">
        <v>1013</v>
      </c>
      <c r="G120" s="463"/>
      <c r="H120" s="855"/>
      <c r="I120" s="850"/>
      <c r="J120" s="851"/>
      <c r="K120" s="463"/>
      <c r="L120" s="852" t="s">
        <v>1389</v>
      </c>
    </row>
    <row r="121" spans="3:12">
      <c r="C121" s="847"/>
      <c r="D121" s="854" t="s">
        <v>1357</v>
      </c>
      <c r="E121" s="666">
        <v>15</v>
      </c>
      <c r="F121" s="665" t="s">
        <v>16</v>
      </c>
      <c r="G121" s="463"/>
      <c r="H121" s="855"/>
      <c r="I121" s="850"/>
      <c r="J121" s="851"/>
      <c r="K121" s="463"/>
      <c r="L121" s="852" t="s">
        <v>1389</v>
      </c>
    </row>
    <row r="122" spans="3:12">
      <c r="C122" s="847"/>
      <c r="D122" s="854" t="s">
        <v>1176</v>
      </c>
      <c r="E122" s="666">
        <v>3</v>
      </c>
      <c r="F122" s="665" t="s">
        <v>16</v>
      </c>
      <c r="G122" s="463"/>
      <c r="H122" s="855"/>
      <c r="I122" s="850"/>
      <c r="J122" s="851"/>
      <c r="K122" s="463"/>
      <c r="L122" s="852" t="s">
        <v>1389</v>
      </c>
    </row>
    <row r="123" spans="3:12">
      <c r="C123" s="847"/>
      <c r="D123" s="854" t="s">
        <v>1177</v>
      </c>
      <c r="E123" s="666">
        <v>12</v>
      </c>
      <c r="F123" s="665" t="s">
        <v>16</v>
      </c>
      <c r="G123" s="463"/>
      <c r="H123" s="855"/>
      <c r="I123" s="850"/>
      <c r="J123" s="851"/>
      <c r="K123" s="463"/>
      <c r="L123" s="852" t="s">
        <v>1389</v>
      </c>
    </row>
    <row r="124" spans="3:12">
      <c r="C124" s="847" t="s">
        <v>1354</v>
      </c>
      <c r="D124" s="854" t="s">
        <v>1009</v>
      </c>
      <c r="E124" s="666">
        <v>1</v>
      </c>
      <c r="F124" s="665" t="s">
        <v>28</v>
      </c>
      <c r="G124" s="463"/>
      <c r="H124" s="855"/>
      <c r="I124" s="850"/>
      <c r="J124" s="851"/>
      <c r="K124" s="463"/>
      <c r="L124" s="852" t="s">
        <v>1389</v>
      </c>
    </row>
    <row r="125" spans="3:12">
      <c r="C125" s="847"/>
      <c r="D125" s="854" t="s">
        <v>1010</v>
      </c>
      <c r="E125" s="666">
        <v>1</v>
      </c>
      <c r="F125" s="665" t="s">
        <v>28</v>
      </c>
      <c r="G125" s="463"/>
      <c r="H125" s="855"/>
      <c r="I125" s="850"/>
      <c r="J125" s="851"/>
      <c r="K125" s="463"/>
      <c r="L125" s="852" t="s">
        <v>1389</v>
      </c>
    </row>
    <row r="126" spans="3:12">
      <c r="C126" s="847"/>
      <c r="D126" s="854" t="s">
        <v>1011</v>
      </c>
      <c r="E126" s="666">
        <v>2</v>
      </c>
      <c r="F126" s="665" t="s">
        <v>28</v>
      </c>
      <c r="G126" s="463"/>
      <c r="H126" s="855"/>
      <c r="I126" s="850"/>
      <c r="J126" s="851"/>
      <c r="K126" s="463"/>
      <c r="L126" s="852" t="s">
        <v>1389</v>
      </c>
    </row>
    <row r="127" spans="3:12">
      <c r="C127" s="847"/>
      <c r="D127" s="854" t="s">
        <v>1012</v>
      </c>
      <c r="E127" s="666">
        <v>2</v>
      </c>
      <c r="F127" s="665" t="s">
        <v>28</v>
      </c>
      <c r="G127" s="463"/>
      <c r="H127" s="855"/>
      <c r="I127" s="850"/>
      <c r="J127" s="851"/>
      <c r="K127" s="463"/>
      <c r="L127" s="852" t="s">
        <v>1389</v>
      </c>
    </row>
    <row r="128" spans="3:12">
      <c r="C128" s="847" t="s">
        <v>1306</v>
      </c>
      <c r="D128" s="854" t="s">
        <v>1273</v>
      </c>
      <c r="E128" s="666">
        <v>3</v>
      </c>
      <c r="F128" s="665" t="s">
        <v>16</v>
      </c>
      <c r="G128" s="463"/>
      <c r="H128" s="855"/>
      <c r="I128" s="850"/>
      <c r="J128" s="851"/>
      <c r="K128" s="463"/>
      <c r="L128" s="852" t="s">
        <v>1389</v>
      </c>
    </row>
    <row r="129" spans="3:12">
      <c r="C129" s="847"/>
      <c r="D129" s="854" t="s">
        <v>1274</v>
      </c>
      <c r="E129" s="666">
        <v>6</v>
      </c>
      <c r="F129" s="665" t="s">
        <v>16</v>
      </c>
      <c r="G129" s="463"/>
      <c r="H129" s="855"/>
      <c r="I129" s="850"/>
      <c r="J129" s="851"/>
      <c r="K129" s="463"/>
      <c r="L129" s="852" t="s">
        <v>1389</v>
      </c>
    </row>
    <row r="130" spans="3:12">
      <c r="C130" s="847"/>
      <c r="D130" s="854" t="s">
        <v>1178</v>
      </c>
      <c r="E130" s="666">
        <v>1</v>
      </c>
      <c r="F130" s="665" t="s">
        <v>28</v>
      </c>
      <c r="G130" s="463"/>
      <c r="H130" s="855"/>
      <c r="I130" s="850"/>
      <c r="J130" s="851"/>
      <c r="K130" s="463"/>
      <c r="L130" s="852" t="s">
        <v>1389</v>
      </c>
    </row>
    <row r="131" spans="3:12">
      <c r="C131" s="847"/>
      <c r="D131" s="853" t="s">
        <v>1014</v>
      </c>
      <c r="E131" s="666"/>
      <c r="F131" s="665"/>
      <c r="G131" s="463"/>
      <c r="H131" s="855"/>
      <c r="I131" s="850"/>
      <c r="J131" s="851"/>
      <c r="K131" s="463"/>
      <c r="L131" s="852"/>
    </row>
    <row r="132" spans="3:12">
      <c r="C132" s="847"/>
      <c r="D132" s="854" t="s">
        <v>1275</v>
      </c>
      <c r="E132" s="666">
        <v>4</v>
      </c>
      <c r="F132" s="665" t="s">
        <v>16</v>
      </c>
      <c r="G132" s="463"/>
      <c r="H132" s="855"/>
      <c r="I132" s="850"/>
      <c r="J132" s="851"/>
      <c r="K132" s="463"/>
      <c r="L132" s="852" t="s">
        <v>1389</v>
      </c>
    </row>
    <row r="133" spans="3:12">
      <c r="C133" s="847"/>
      <c r="D133" s="854" t="s">
        <v>1276</v>
      </c>
      <c r="E133" s="666">
        <v>4</v>
      </c>
      <c r="F133" s="665" t="s">
        <v>16</v>
      </c>
      <c r="G133" s="463"/>
      <c r="H133" s="855"/>
      <c r="I133" s="850"/>
      <c r="J133" s="851"/>
      <c r="K133" s="463"/>
      <c r="L133" s="852" t="s">
        <v>1389</v>
      </c>
    </row>
    <row r="134" spans="3:12" ht="48">
      <c r="C134" s="847" t="s">
        <v>1307</v>
      </c>
      <c r="D134" s="854" t="s">
        <v>1353</v>
      </c>
      <c r="E134" s="666">
        <v>256</v>
      </c>
      <c r="F134" s="665" t="s">
        <v>16</v>
      </c>
      <c r="G134" s="463"/>
      <c r="H134" s="855"/>
      <c r="I134" s="850"/>
      <c r="J134" s="851"/>
      <c r="K134" s="463"/>
      <c r="L134" s="852" t="s">
        <v>1389</v>
      </c>
    </row>
    <row r="135" spans="3:12">
      <c r="C135" s="847"/>
      <c r="D135" s="853" t="s">
        <v>1015</v>
      </c>
      <c r="E135" s="666"/>
      <c r="F135" s="665"/>
      <c r="G135" s="463"/>
      <c r="H135" s="855"/>
      <c r="I135" s="850"/>
      <c r="J135" s="851"/>
      <c r="K135" s="463"/>
      <c r="L135" s="852"/>
    </row>
    <row r="136" spans="3:12">
      <c r="C136" s="847"/>
      <c r="D136" s="854" t="s">
        <v>1275</v>
      </c>
      <c r="E136" s="666">
        <v>1</v>
      </c>
      <c r="F136" s="665" t="s">
        <v>16</v>
      </c>
      <c r="G136" s="463"/>
      <c r="H136" s="855"/>
      <c r="I136" s="850"/>
      <c r="J136" s="851"/>
      <c r="K136" s="463"/>
      <c r="L136" s="852" t="s">
        <v>1389</v>
      </c>
    </row>
    <row r="137" spans="3:12">
      <c r="C137" s="847" t="s">
        <v>1308</v>
      </c>
      <c r="D137" s="854" t="s">
        <v>1276</v>
      </c>
      <c r="E137" s="666">
        <v>1</v>
      </c>
      <c r="F137" s="665" t="s">
        <v>16</v>
      </c>
      <c r="G137" s="463"/>
      <c r="H137" s="855"/>
      <c r="I137" s="850"/>
      <c r="J137" s="851"/>
      <c r="K137" s="463"/>
      <c r="L137" s="852" t="s">
        <v>1389</v>
      </c>
    </row>
    <row r="138" spans="3:12">
      <c r="C138" s="847"/>
      <c r="D138" s="854" t="s">
        <v>1270</v>
      </c>
      <c r="E138" s="666">
        <v>120</v>
      </c>
      <c r="F138" s="665" t="s">
        <v>28</v>
      </c>
      <c r="G138" s="463"/>
      <c r="H138" s="855"/>
      <c r="I138" s="850"/>
      <c r="J138" s="851"/>
      <c r="K138" s="463"/>
      <c r="L138" s="852" t="s">
        <v>1389</v>
      </c>
    </row>
    <row r="139" spans="3:12">
      <c r="C139" s="847"/>
      <c r="D139" s="853" t="s">
        <v>1016</v>
      </c>
      <c r="E139" s="666"/>
      <c r="F139" s="665"/>
      <c r="G139" s="463"/>
      <c r="H139" s="855"/>
      <c r="I139" s="850"/>
      <c r="J139" s="851"/>
      <c r="K139" s="463"/>
      <c r="L139" s="852"/>
    </row>
    <row r="140" spans="3:12">
      <c r="C140" s="847"/>
      <c r="D140" s="854" t="s">
        <v>1179</v>
      </c>
      <c r="E140" s="666">
        <v>1</v>
      </c>
      <c r="F140" s="665" t="s">
        <v>28</v>
      </c>
      <c r="G140" s="463"/>
      <c r="H140" s="855"/>
      <c r="I140" s="850"/>
      <c r="J140" s="851"/>
      <c r="K140" s="463"/>
      <c r="L140" s="852" t="s">
        <v>1389</v>
      </c>
    </row>
    <row r="141" spans="3:12">
      <c r="C141" s="847"/>
      <c r="D141" s="854" t="s">
        <v>1180</v>
      </c>
      <c r="E141" s="666">
        <v>64</v>
      </c>
      <c r="F141" s="665" t="s">
        <v>28</v>
      </c>
      <c r="G141" s="463"/>
      <c r="H141" s="855"/>
      <c r="I141" s="850"/>
      <c r="J141" s="851"/>
      <c r="K141" s="463"/>
      <c r="L141" s="852" t="s">
        <v>1389</v>
      </c>
    </row>
    <row r="142" spans="3:12">
      <c r="C142" s="847"/>
      <c r="D142" s="854" t="s">
        <v>1181</v>
      </c>
      <c r="E142" s="666">
        <v>32</v>
      </c>
      <c r="F142" s="665" t="s">
        <v>28</v>
      </c>
      <c r="G142" s="463"/>
      <c r="H142" s="855"/>
      <c r="I142" s="850"/>
      <c r="J142" s="851"/>
      <c r="K142" s="463"/>
      <c r="L142" s="852" t="s">
        <v>1389</v>
      </c>
    </row>
    <row r="143" spans="3:12">
      <c r="C143" s="847"/>
      <c r="D143" s="854" t="s">
        <v>1182</v>
      </c>
      <c r="E143" s="666">
        <v>1</v>
      </c>
      <c r="F143" s="665" t="s">
        <v>28</v>
      </c>
      <c r="G143" s="463"/>
      <c r="H143" s="855"/>
      <c r="I143" s="850"/>
      <c r="J143" s="851"/>
      <c r="K143" s="463"/>
      <c r="L143" s="852" t="s">
        <v>1389</v>
      </c>
    </row>
    <row r="144" spans="3:12">
      <c r="C144" s="847"/>
      <c r="D144" s="854" t="s">
        <v>1183</v>
      </c>
      <c r="E144" s="666">
        <v>2</v>
      </c>
      <c r="F144" s="665" t="s">
        <v>28</v>
      </c>
      <c r="G144" s="463"/>
      <c r="H144" s="855"/>
      <c r="I144" s="850"/>
      <c r="J144" s="851"/>
      <c r="K144" s="463"/>
      <c r="L144" s="852" t="s">
        <v>1389</v>
      </c>
    </row>
    <row r="145" spans="3:12">
      <c r="C145" s="847"/>
      <c r="D145" s="853" t="s">
        <v>1017</v>
      </c>
      <c r="E145" s="666"/>
      <c r="F145" s="665"/>
      <c r="G145" s="463"/>
      <c r="H145" s="855"/>
      <c r="I145" s="850"/>
      <c r="J145" s="851"/>
      <c r="K145" s="463"/>
      <c r="L145" s="852"/>
    </row>
    <row r="146" spans="3:12">
      <c r="C146" s="847"/>
      <c r="D146" s="854" t="s">
        <v>1018</v>
      </c>
      <c r="E146" s="666">
        <v>8</v>
      </c>
      <c r="F146" s="665" t="s">
        <v>28</v>
      </c>
      <c r="G146" s="463"/>
      <c r="H146" s="855"/>
      <c r="I146" s="850"/>
      <c r="J146" s="851"/>
      <c r="K146" s="463"/>
      <c r="L146" s="852" t="s">
        <v>1389</v>
      </c>
    </row>
    <row r="147" spans="3:12">
      <c r="C147" s="746"/>
      <c r="D147" s="854" t="s">
        <v>1277</v>
      </c>
      <c r="E147" s="666">
        <v>16</v>
      </c>
      <c r="F147" s="665" t="s">
        <v>28</v>
      </c>
      <c r="G147" s="463"/>
      <c r="H147" s="855"/>
      <c r="I147" s="850"/>
      <c r="J147" s="851"/>
      <c r="K147" s="463"/>
      <c r="L147" s="852" t="s">
        <v>1389</v>
      </c>
    </row>
    <row r="148" spans="3:12">
      <c r="C148" s="847">
        <v>1.3</v>
      </c>
      <c r="D148" s="853" t="s">
        <v>1019</v>
      </c>
      <c r="E148" s="666"/>
      <c r="F148" s="665"/>
      <c r="G148" s="463"/>
      <c r="H148" s="855"/>
      <c r="I148" s="850"/>
      <c r="J148" s="851"/>
      <c r="K148" s="463"/>
      <c r="L148" s="852"/>
    </row>
    <row r="149" spans="3:12">
      <c r="C149" s="847" t="s">
        <v>702</v>
      </c>
      <c r="D149" s="854" t="s">
        <v>1173</v>
      </c>
      <c r="E149" s="666">
        <v>9</v>
      </c>
      <c r="F149" s="665" t="s">
        <v>1013</v>
      </c>
      <c r="G149" s="463"/>
      <c r="H149" s="855"/>
      <c r="I149" s="850"/>
      <c r="J149" s="851"/>
      <c r="K149" s="463"/>
      <c r="L149" s="852" t="s">
        <v>1389</v>
      </c>
    </row>
    <row r="150" spans="3:12">
      <c r="C150" s="847"/>
      <c r="D150" s="854" t="s">
        <v>1174</v>
      </c>
      <c r="E150" s="666">
        <v>9</v>
      </c>
      <c r="F150" s="665" t="s">
        <v>1013</v>
      </c>
      <c r="G150" s="463"/>
      <c r="H150" s="855"/>
      <c r="I150" s="850"/>
      <c r="J150" s="851"/>
      <c r="K150" s="463"/>
      <c r="L150" s="852" t="s">
        <v>1389</v>
      </c>
    </row>
    <row r="151" spans="3:12">
      <c r="C151" s="847"/>
      <c r="D151" s="854" t="s">
        <v>1184</v>
      </c>
      <c r="E151" s="666">
        <v>9</v>
      </c>
      <c r="F151" s="665" t="s">
        <v>1013</v>
      </c>
      <c r="G151" s="463"/>
      <c r="H151" s="855"/>
      <c r="I151" s="850"/>
      <c r="J151" s="851"/>
      <c r="K151" s="463"/>
      <c r="L151" s="852" t="s">
        <v>1389</v>
      </c>
    </row>
    <row r="152" spans="3:12">
      <c r="C152" s="847"/>
      <c r="D152" s="854" t="s">
        <v>1172</v>
      </c>
      <c r="E152" s="666">
        <v>8</v>
      </c>
      <c r="F152" s="665" t="s">
        <v>28</v>
      </c>
      <c r="G152" s="463"/>
      <c r="H152" s="855"/>
      <c r="I152" s="850"/>
      <c r="J152" s="851"/>
      <c r="K152" s="463"/>
      <c r="L152" s="852" t="s">
        <v>1389</v>
      </c>
    </row>
    <row r="153" spans="3:12">
      <c r="C153" s="847"/>
      <c r="D153" s="854" t="s">
        <v>1357</v>
      </c>
      <c r="E153" s="666">
        <v>13</v>
      </c>
      <c r="F153" s="665" t="s">
        <v>16</v>
      </c>
      <c r="G153" s="463"/>
      <c r="H153" s="855"/>
      <c r="I153" s="850"/>
      <c r="J153" s="851"/>
      <c r="K153" s="463"/>
      <c r="L153" s="852" t="s">
        <v>1389</v>
      </c>
    </row>
    <row r="154" spans="3:12">
      <c r="C154" s="847"/>
      <c r="D154" s="854" t="s">
        <v>1176</v>
      </c>
      <c r="E154" s="666">
        <v>3</v>
      </c>
      <c r="F154" s="665" t="s">
        <v>16</v>
      </c>
      <c r="G154" s="463"/>
      <c r="H154" s="855"/>
      <c r="I154" s="850"/>
      <c r="J154" s="851"/>
      <c r="K154" s="463"/>
      <c r="L154" s="852" t="s">
        <v>1389</v>
      </c>
    </row>
    <row r="155" spans="3:12">
      <c r="C155" s="847"/>
      <c r="D155" s="854" t="s">
        <v>1177</v>
      </c>
      <c r="E155" s="666">
        <v>10</v>
      </c>
      <c r="F155" s="665" t="s">
        <v>16</v>
      </c>
      <c r="G155" s="463"/>
      <c r="H155" s="855"/>
      <c r="I155" s="850"/>
      <c r="J155" s="851"/>
      <c r="K155" s="463"/>
      <c r="L155" s="852" t="s">
        <v>1389</v>
      </c>
    </row>
    <row r="156" spans="3:12">
      <c r="C156" s="847"/>
      <c r="D156" s="854" t="s">
        <v>1185</v>
      </c>
      <c r="E156" s="666">
        <v>4</v>
      </c>
      <c r="F156" s="665" t="s">
        <v>16</v>
      </c>
      <c r="G156" s="463"/>
      <c r="H156" s="855"/>
      <c r="I156" s="850"/>
      <c r="J156" s="851"/>
      <c r="K156" s="463"/>
      <c r="L156" s="852" t="s">
        <v>1389</v>
      </c>
    </row>
    <row r="157" spans="3:12">
      <c r="C157" s="847"/>
      <c r="D157" s="854" t="s">
        <v>1186</v>
      </c>
      <c r="E157" s="666">
        <v>1</v>
      </c>
      <c r="F157" s="665" t="s">
        <v>16</v>
      </c>
      <c r="G157" s="463"/>
      <c r="H157" s="855"/>
      <c r="I157" s="850"/>
      <c r="J157" s="851"/>
      <c r="K157" s="463"/>
      <c r="L157" s="852" t="s">
        <v>1389</v>
      </c>
    </row>
    <row r="158" spans="3:12">
      <c r="C158" s="847"/>
      <c r="D158" s="933" t="s">
        <v>1020</v>
      </c>
      <c r="E158" s="463"/>
      <c r="F158" s="463"/>
      <c r="G158" s="463"/>
      <c r="H158" s="888"/>
      <c r="I158" s="889"/>
      <c r="J158" s="889"/>
      <c r="K158" s="889"/>
      <c r="L158" s="852"/>
    </row>
    <row r="159" spans="3:12">
      <c r="C159" s="847" t="s">
        <v>744</v>
      </c>
      <c r="D159" s="853" t="s">
        <v>743</v>
      </c>
      <c r="E159" s="666"/>
      <c r="F159" s="665"/>
      <c r="G159" s="463"/>
      <c r="H159" s="849"/>
      <c r="I159" s="850"/>
      <c r="J159" s="851"/>
      <c r="K159" s="463"/>
      <c r="L159" s="852"/>
    </row>
    <row r="160" spans="3:12">
      <c r="C160" s="847"/>
      <c r="D160" s="853" t="s">
        <v>1021</v>
      </c>
      <c r="E160" s="666">
        <v>4</v>
      </c>
      <c r="F160" s="665" t="s">
        <v>1188</v>
      </c>
      <c r="G160" s="463"/>
      <c r="H160" s="849"/>
      <c r="I160" s="850"/>
      <c r="J160" s="851"/>
      <c r="K160" s="463"/>
      <c r="L160" s="852"/>
    </row>
    <row r="161" spans="3:12" ht="48">
      <c r="C161" s="847"/>
      <c r="D161" s="854" t="s">
        <v>1288</v>
      </c>
      <c r="E161" s="666">
        <v>4</v>
      </c>
      <c r="F161" s="665" t="s">
        <v>16</v>
      </c>
      <c r="G161" s="463"/>
      <c r="H161" s="855"/>
      <c r="I161" s="850"/>
      <c r="J161" s="851"/>
      <c r="K161" s="463"/>
      <c r="L161" s="852" t="s">
        <v>1389</v>
      </c>
    </row>
    <row r="162" spans="3:12">
      <c r="C162" s="847"/>
      <c r="D162" s="854" t="s">
        <v>1030</v>
      </c>
      <c r="E162" s="666">
        <v>4</v>
      </c>
      <c r="F162" s="665" t="s">
        <v>16</v>
      </c>
      <c r="G162" s="463"/>
      <c r="H162" s="855"/>
      <c r="I162" s="850"/>
      <c r="J162" s="851"/>
      <c r="K162" s="463"/>
      <c r="L162" s="852" t="s">
        <v>1389</v>
      </c>
    </row>
    <row r="163" spans="3:12">
      <c r="C163" s="847"/>
      <c r="D163" s="854" t="s">
        <v>1031</v>
      </c>
      <c r="E163" s="666">
        <v>4</v>
      </c>
      <c r="F163" s="665" t="s">
        <v>16</v>
      </c>
      <c r="G163" s="463"/>
      <c r="H163" s="855"/>
      <c r="I163" s="850"/>
      <c r="J163" s="851"/>
      <c r="K163" s="463"/>
      <c r="L163" s="852" t="s">
        <v>1389</v>
      </c>
    </row>
    <row r="164" spans="3:12">
      <c r="C164" s="847"/>
      <c r="D164" s="854" t="s">
        <v>1044</v>
      </c>
      <c r="E164" s="666">
        <v>4</v>
      </c>
      <c r="F164" s="665" t="s">
        <v>910</v>
      </c>
      <c r="G164" s="463"/>
      <c r="H164" s="855"/>
      <c r="I164" s="850"/>
      <c r="J164" s="851"/>
      <c r="K164" s="463"/>
      <c r="L164" s="852" t="s">
        <v>1389</v>
      </c>
    </row>
    <row r="165" spans="3:12" ht="48">
      <c r="C165" s="847"/>
      <c r="D165" s="854" t="s">
        <v>1022</v>
      </c>
      <c r="E165" s="666">
        <v>4</v>
      </c>
      <c r="F165" s="665" t="s">
        <v>910</v>
      </c>
      <c r="G165" s="463"/>
      <c r="H165" s="855"/>
      <c r="I165" s="850"/>
      <c r="J165" s="851"/>
      <c r="K165" s="463"/>
      <c r="L165" s="852" t="s">
        <v>1389</v>
      </c>
    </row>
    <row r="166" spans="3:12">
      <c r="C166" s="847"/>
      <c r="D166" s="854" t="s">
        <v>1023</v>
      </c>
      <c r="E166" s="666">
        <v>8</v>
      </c>
      <c r="F166" s="665" t="s">
        <v>1026</v>
      </c>
      <c r="G166" s="463"/>
      <c r="H166" s="855"/>
      <c r="I166" s="850"/>
      <c r="J166" s="851"/>
      <c r="K166" s="463"/>
      <c r="L166" s="852" t="s">
        <v>1389</v>
      </c>
    </row>
    <row r="167" spans="3:12">
      <c r="C167" s="847"/>
      <c r="D167" s="854" t="s">
        <v>1187</v>
      </c>
      <c r="E167" s="666">
        <v>4</v>
      </c>
      <c r="F167" s="665" t="s">
        <v>16</v>
      </c>
      <c r="G167" s="463"/>
      <c r="H167" s="855"/>
      <c r="I167" s="850"/>
      <c r="J167" s="851"/>
      <c r="K167" s="463"/>
      <c r="L167" s="852" t="s">
        <v>1389</v>
      </c>
    </row>
    <row r="168" spans="3:12">
      <c r="C168" s="847"/>
      <c r="D168" s="854" t="s">
        <v>1025</v>
      </c>
      <c r="E168" s="666">
        <v>4</v>
      </c>
      <c r="F168" s="665" t="s">
        <v>16</v>
      </c>
      <c r="G168" s="463"/>
      <c r="H168" s="855"/>
      <c r="I168" s="850"/>
      <c r="J168" s="851"/>
      <c r="K168" s="463"/>
      <c r="L168" s="852" t="s">
        <v>1389</v>
      </c>
    </row>
    <row r="169" spans="3:12">
      <c r="C169" s="847"/>
      <c r="D169" s="854" t="s">
        <v>1290</v>
      </c>
      <c r="E169" s="666">
        <v>4</v>
      </c>
      <c r="F169" s="665" t="s">
        <v>1027</v>
      </c>
      <c r="G169" s="463"/>
      <c r="H169" s="855"/>
      <c r="I169" s="850"/>
      <c r="J169" s="851"/>
      <c r="K169" s="463"/>
      <c r="L169" s="852" t="s">
        <v>1389</v>
      </c>
    </row>
    <row r="170" spans="3:12">
      <c r="C170" s="847" t="s">
        <v>1309</v>
      </c>
      <c r="D170" s="853" t="s">
        <v>1190</v>
      </c>
      <c r="E170" s="666"/>
      <c r="F170" s="665"/>
      <c r="G170" s="463"/>
      <c r="H170" s="855"/>
      <c r="I170" s="850"/>
      <c r="J170" s="851"/>
      <c r="K170" s="463"/>
      <c r="L170" s="852"/>
    </row>
    <row r="171" spans="3:12">
      <c r="C171" s="847"/>
      <c r="D171" s="853" t="s">
        <v>1191</v>
      </c>
      <c r="E171" s="666"/>
      <c r="F171" s="665"/>
      <c r="G171" s="463"/>
      <c r="H171" s="855"/>
      <c r="I171" s="850"/>
      <c r="J171" s="851"/>
      <c r="K171" s="463"/>
      <c r="L171" s="852"/>
    </row>
    <row r="172" spans="3:12" ht="48">
      <c r="C172" s="847"/>
      <c r="D172" s="854" t="s">
        <v>1288</v>
      </c>
      <c r="E172" s="666">
        <v>1</v>
      </c>
      <c r="F172" s="665" t="s">
        <v>16</v>
      </c>
      <c r="G172" s="463"/>
      <c r="H172" s="855"/>
      <c r="I172" s="850"/>
      <c r="J172" s="851"/>
      <c r="K172" s="463"/>
      <c r="L172" s="852" t="s">
        <v>1389</v>
      </c>
    </row>
    <row r="173" spans="3:12">
      <c r="C173" s="847"/>
      <c r="D173" s="854" t="s">
        <v>1189</v>
      </c>
      <c r="E173" s="666">
        <v>4</v>
      </c>
      <c r="F173" s="665" t="s">
        <v>16</v>
      </c>
      <c r="G173" s="463"/>
      <c r="H173" s="855"/>
      <c r="I173" s="850"/>
      <c r="J173" s="851"/>
      <c r="K173" s="463"/>
      <c r="L173" s="852" t="s">
        <v>1389</v>
      </c>
    </row>
    <row r="174" spans="3:12">
      <c r="C174" s="847"/>
      <c r="D174" s="854" t="s">
        <v>1028</v>
      </c>
      <c r="E174" s="666">
        <v>1</v>
      </c>
      <c r="F174" s="665" t="s">
        <v>910</v>
      </c>
      <c r="G174" s="463"/>
      <c r="H174" s="855"/>
      <c r="I174" s="850"/>
      <c r="J174" s="851"/>
      <c r="K174" s="463"/>
      <c r="L174" s="852" t="s">
        <v>1389</v>
      </c>
    </row>
    <row r="175" spans="3:12">
      <c r="C175" s="847"/>
      <c r="D175" s="854" t="s">
        <v>1029</v>
      </c>
      <c r="E175" s="666">
        <v>10</v>
      </c>
      <c r="F175" s="665" t="s">
        <v>16</v>
      </c>
      <c r="G175" s="463"/>
      <c r="H175" s="855"/>
      <c r="I175" s="850"/>
      <c r="J175" s="851"/>
      <c r="K175" s="463"/>
      <c r="L175" s="852" t="s">
        <v>1389</v>
      </c>
    </row>
    <row r="176" spans="3:12">
      <c r="C176" s="847"/>
      <c r="D176" s="854" t="s">
        <v>1030</v>
      </c>
      <c r="E176" s="666">
        <v>1</v>
      </c>
      <c r="F176" s="665" t="s">
        <v>16</v>
      </c>
      <c r="G176" s="463"/>
      <c r="H176" s="855"/>
      <c r="I176" s="850"/>
      <c r="J176" s="851"/>
      <c r="K176" s="463"/>
      <c r="L176" s="852" t="s">
        <v>1389</v>
      </c>
    </row>
    <row r="177" spans="3:12">
      <c r="C177" s="847"/>
      <c r="D177" s="854" t="s">
        <v>1031</v>
      </c>
      <c r="E177" s="666">
        <v>2</v>
      </c>
      <c r="F177" s="665" t="s">
        <v>16</v>
      </c>
      <c r="G177" s="463"/>
      <c r="H177" s="855"/>
      <c r="I177" s="850"/>
      <c r="J177" s="851"/>
      <c r="K177" s="463"/>
      <c r="L177" s="852" t="s">
        <v>1389</v>
      </c>
    </row>
    <row r="178" spans="3:12">
      <c r="C178" s="847"/>
      <c r="D178" s="854" t="s">
        <v>1032</v>
      </c>
      <c r="E178" s="666">
        <v>1</v>
      </c>
      <c r="F178" s="665" t="s">
        <v>16</v>
      </c>
      <c r="G178" s="463"/>
      <c r="H178" s="855"/>
      <c r="I178" s="850"/>
      <c r="J178" s="851"/>
      <c r="K178" s="463"/>
      <c r="L178" s="852" t="s">
        <v>1389</v>
      </c>
    </row>
    <row r="179" spans="3:12">
      <c r="C179" s="847"/>
      <c r="D179" s="854" t="s">
        <v>1033</v>
      </c>
      <c r="E179" s="666">
        <v>6</v>
      </c>
      <c r="F179" s="665" t="s">
        <v>16</v>
      </c>
      <c r="G179" s="463"/>
      <c r="H179" s="855"/>
      <c r="I179" s="850"/>
      <c r="J179" s="851"/>
      <c r="K179" s="463"/>
      <c r="L179" s="852" t="s">
        <v>1389</v>
      </c>
    </row>
    <row r="180" spans="3:12">
      <c r="C180" s="847"/>
      <c r="D180" s="854" t="s">
        <v>1278</v>
      </c>
      <c r="E180" s="666">
        <v>1</v>
      </c>
      <c r="F180" s="665" t="s">
        <v>16</v>
      </c>
      <c r="G180" s="463"/>
      <c r="H180" s="855"/>
      <c r="I180" s="850"/>
      <c r="J180" s="851"/>
      <c r="K180" s="463"/>
      <c r="L180" s="852" t="s">
        <v>1389</v>
      </c>
    </row>
    <row r="181" spans="3:12" ht="48">
      <c r="C181" s="847"/>
      <c r="D181" s="854" t="s">
        <v>1022</v>
      </c>
      <c r="E181" s="666">
        <v>1</v>
      </c>
      <c r="F181" s="665" t="s">
        <v>910</v>
      </c>
      <c r="G181" s="463"/>
      <c r="H181" s="855"/>
      <c r="I181" s="850"/>
      <c r="J181" s="851"/>
      <c r="K181" s="463"/>
      <c r="L181" s="852" t="s">
        <v>1389</v>
      </c>
    </row>
    <row r="182" spans="3:12">
      <c r="C182" s="847"/>
      <c r="D182" s="854" t="s">
        <v>1034</v>
      </c>
      <c r="E182" s="666">
        <v>4</v>
      </c>
      <c r="F182" s="665" t="s">
        <v>1026</v>
      </c>
      <c r="G182" s="463"/>
      <c r="H182" s="855"/>
      <c r="I182" s="850"/>
      <c r="J182" s="851"/>
      <c r="K182" s="463"/>
      <c r="L182" s="852" t="s">
        <v>1389</v>
      </c>
    </row>
    <row r="183" spans="3:12">
      <c r="C183" s="847"/>
      <c r="D183" s="854" t="s">
        <v>1024</v>
      </c>
      <c r="E183" s="666">
        <v>1</v>
      </c>
      <c r="F183" s="665" t="s">
        <v>16</v>
      </c>
      <c r="G183" s="463"/>
      <c r="H183" s="855"/>
      <c r="I183" s="850"/>
      <c r="J183" s="851"/>
      <c r="K183" s="463"/>
      <c r="L183" s="852" t="s">
        <v>1389</v>
      </c>
    </row>
    <row r="184" spans="3:12">
      <c r="C184" s="847"/>
      <c r="D184" s="854" t="s">
        <v>1025</v>
      </c>
      <c r="E184" s="666">
        <v>5</v>
      </c>
      <c r="F184" s="665" t="s">
        <v>16</v>
      </c>
      <c r="G184" s="463"/>
      <c r="H184" s="855"/>
      <c r="I184" s="850"/>
      <c r="J184" s="851"/>
      <c r="K184" s="463"/>
      <c r="L184" s="852" t="s">
        <v>1389</v>
      </c>
    </row>
    <row r="185" spans="3:12">
      <c r="C185" s="847"/>
      <c r="D185" s="854" t="s">
        <v>1035</v>
      </c>
      <c r="E185" s="666">
        <v>1</v>
      </c>
      <c r="F185" s="665" t="s">
        <v>910</v>
      </c>
      <c r="G185" s="463"/>
      <c r="H185" s="855"/>
      <c r="I185" s="850"/>
      <c r="J185" s="851"/>
      <c r="K185" s="463"/>
      <c r="L185" s="852" t="s">
        <v>1389</v>
      </c>
    </row>
    <row r="186" spans="3:12">
      <c r="C186" s="847"/>
      <c r="D186" s="854" t="s">
        <v>1036</v>
      </c>
      <c r="E186" s="666">
        <v>1</v>
      </c>
      <c r="F186" s="665" t="s">
        <v>910</v>
      </c>
      <c r="G186" s="463"/>
      <c r="H186" s="855"/>
      <c r="I186" s="850"/>
      <c r="J186" s="851"/>
      <c r="K186" s="463"/>
      <c r="L186" s="852" t="s">
        <v>1389</v>
      </c>
    </row>
    <row r="187" spans="3:12" ht="48">
      <c r="C187" s="847"/>
      <c r="D187" s="854" t="s">
        <v>1037</v>
      </c>
      <c r="E187" s="666">
        <v>1</v>
      </c>
      <c r="F187" s="665" t="s">
        <v>16</v>
      </c>
      <c r="G187" s="463"/>
      <c r="H187" s="855"/>
      <c r="I187" s="850"/>
      <c r="J187" s="851"/>
      <c r="K187" s="463"/>
      <c r="L187" s="852" t="s">
        <v>1389</v>
      </c>
    </row>
    <row r="188" spans="3:12">
      <c r="C188" s="847"/>
      <c r="D188" s="854" t="s">
        <v>1290</v>
      </c>
      <c r="E188" s="666">
        <v>1</v>
      </c>
      <c r="F188" s="665" t="s">
        <v>1027</v>
      </c>
      <c r="G188" s="463"/>
      <c r="H188" s="855"/>
      <c r="I188" s="850"/>
      <c r="J188" s="851"/>
      <c r="K188" s="463"/>
      <c r="L188" s="852" t="s">
        <v>1389</v>
      </c>
    </row>
    <row r="189" spans="3:12">
      <c r="C189" s="847" t="s">
        <v>1310</v>
      </c>
      <c r="D189" s="853" t="s">
        <v>1007</v>
      </c>
      <c r="E189" s="666"/>
      <c r="F189" s="665"/>
      <c r="G189" s="463"/>
      <c r="H189" s="855"/>
      <c r="I189" s="850"/>
      <c r="J189" s="851"/>
      <c r="K189" s="463"/>
      <c r="L189" s="852"/>
    </row>
    <row r="190" spans="3:12" ht="48">
      <c r="C190" s="847"/>
      <c r="D190" s="854" t="s">
        <v>1288</v>
      </c>
      <c r="E190" s="666">
        <v>1</v>
      </c>
      <c r="F190" s="665" t="s">
        <v>16</v>
      </c>
      <c r="G190" s="463"/>
      <c r="H190" s="855"/>
      <c r="I190" s="850"/>
      <c r="J190" s="851"/>
      <c r="K190" s="463"/>
      <c r="L190" s="852" t="s">
        <v>1389</v>
      </c>
    </row>
    <row r="191" spans="3:12">
      <c r="C191" s="847"/>
      <c r="D191" s="854" t="s">
        <v>1279</v>
      </c>
      <c r="E191" s="666">
        <v>3</v>
      </c>
      <c r="F191" s="665" t="s">
        <v>16</v>
      </c>
      <c r="G191" s="463"/>
      <c r="H191" s="855"/>
      <c r="I191" s="850"/>
      <c r="J191" s="851"/>
      <c r="K191" s="463"/>
      <c r="L191" s="852" t="s">
        <v>1389</v>
      </c>
    </row>
    <row r="192" spans="3:12">
      <c r="C192" s="847"/>
      <c r="D192" s="854" t="s">
        <v>1038</v>
      </c>
      <c r="E192" s="666">
        <v>4</v>
      </c>
      <c r="F192" s="665" t="s">
        <v>910</v>
      </c>
      <c r="G192" s="463"/>
      <c r="H192" s="855"/>
      <c r="I192" s="850"/>
      <c r="J192" s="851"/>
      <c r="K192" s="463"/>
      <c r="L192" s="852" t="s">
        <v>1389</v>
      </c>
    </row>
    <row r="193" spans="3:12">
      <c r="C193" s="847" t="s">
        <v>135</v>
      </c>
      <c r="D193" s="853" t="s">
        <v>1039</v>
      </c>
      <c r="E193" s="666"/>
      <c r="F193" s="665"/>
      <c r="G193" s="463"/>
      <c r="H193" s="855"/>
      <c r="I193" s="850"/>
      <c r="J193" s="851"/>
      <c r="K193" s="463"/>
      <c r="L193" s="852"/>
    </row>
    <row r="194" spans="3:12" ht="48">
      <c r="C194" s="847"/>
      <c r="D194" s="854" t="s">
        <v>1288</v>
      </c>
      <c r="E194" s="666">
        <v>1</v>
      </c>
      <c r="F194" s="665" t="s">
        <v>16</v>
      </c>
      <c r="G194" s="463"/>
      <c r="H194" s="855"/>
      <c r="I194" s="850"/>
      <c r="J194" s="851"/>
      <c r="K194" s="463"/>
      <c r="L194" s="852" t="s">
        <v>1389</v>
      </c>
    </row>
    <row r="195" spans="3:12" ht="48">
      <c r="C195" s="847"/>
      <c r="D195" s="854" t="s">
        <v>1192</v>
      </c>
      <c r="E195" s="666">
        <v>1</v>
      </c>
      <c r="F195" s="665" t="s">
        <v>910</v>
      </c>
      <c r="G195" s="463"/>
      <c r="H195" s="855"/>
      <c r="I195" s="850"/>
      <c r="J195" s="851"/>
      <c r="K195" s="463"/>
      <c r="L195" s="852" t="s">
        <v>1389</v>
      </c>
    </row>
    <row r="196" spans="3:12">
      <c r="C196" s="847"/>
      <c r="D196" s="854" t="s">
        <v>1193</v>
      </c>
      <c r="E196" s="666">
        <v>1</v>
      </c>
      <c r="F196" s="665" t="s">
        <v>16</v>
      </c>
      <c r="G196" s="463"/>
      <c r="H196" s="855"/>
      <c r="I196" s="850"/>
      <c r="J196" s="851"/>
      <c r="K196" s="463"/>
      <c r="L196" s="852" t="s">
        <v>1389</v>
      </c>
    </row>
    <row r="197" spans="3:12">
      <c r="C197" s="847"/>
      <c r="D197" s="854" t="s">
        <v>1040</v>
      </c>
      <c r="E197" s="666">
        <v>1</v>
      </c>
      <c r="F197" s="665" t="s">
        <v>910</v>
      </c>
      <c r="G197" s="463"/>
      <c r="H197" s="855"/>
      <c r="I197" s="850"/>
      <c r="J197" s="851"/>
      <c r="K197" s="463"/>
      <c r="L197" s="852" t="s">
        <v>1389</v>
      </c>
    </row>
    <row r="198" spans="3:12">
      <c r="C198" s="847"/>
      <c r="D198" s="854" t="s">
        <v>1290</v>
      </c>
      <c r="E198" s="666">
        <v>1</v>
      </c>
      <c r="F198" s="665" t="s">
        <v>910</v>
      </c>
      <c r="G198" s="463"/>
      <c r="H198" s="855"/>
      <c r="I198" s="850"/>
      <c r="J198" s="851"/>
      <c r="K198" s="463"/>
      <c r="L198" s="852" t="s">
        <v>1389</v>
      </c>
    </row>
    <row r="199" spans="3:12">
      <c r="C199" s="847" t="s">
        <v>1311</v>
      </c>
      <c r="D199" s="853" t="s">
        <v>1041</v>
      </c>
      <c r="E199" s="666"/>
      <c r="F199" s="665"/>
      <c r="G199" s="463"/>
      <c r="H199" s="855"/>
      <c r="I199" s="850"/>
      <c r="J199" s="851"/>
      <c r="K199" s="463"/>
      <c r="L199" s="852"/>
    </row>
    <row r="200" spans="3:12" ht="48">
      <c r="C200" s="847"/>
      <c r="D200" s="854" t="s">
        <v>1288</v>
      </c>
      <c r="E200" s="666">
        <v>4</v>
      </c>
      <c r="F200" s="665" t="s">
        <v>16</v>
      </c>
      <c r="G200" s="463"/>
      <c r="H200" s="855"/>
      <c r="I200" s="850"/>
      <c r="J200" s="851"/>
      <c r="K200" s="463"/>
      <c r="L200" s="852" t="s">
        <v>1389</v>
      </c>
    </row>
    <row r="201" spans="3:12">
      <c r="C201" s="847"/>
      <c r="D201" s="854" t="s">
        <v>1189</v>
      </c>
      <c r="E201" s="666">
        <v>8</v>
      </c>
      <c r="F201" s="665" t="s">
        <v>16</v>
      </c>
      <c r="G201" s="463"/>
      <c r="H201" s="855"/>
      <c r="I201" s="850"/>
      <c r="J201" s="851"/>
      <c r="K201" s="463"/>
      <c r="L201" s="852" t="s">
        <v>1389</v>
      </c>
    </row>
    <row r="202" spans="3:12">
      <c r="C202" s="847"/>
      <c r="D202" s="854" t="s">
        <v>1042</v>
      </c>
      <c r="E202" s="666">
        <v>4</v>
      </c>
      <c r="F202" s="665" t="s">
        <v>910</v>
      </c>
      <c r="G202" s="463"/>
      <c r="H202" s="855"/>
      <c r="I202" s="850"/>
      <c r="J202" s="851"/>
      <c r="K202" s="463"/>
      <c r="L202" s="852" t="s">
        <v>1389</v>
      </c>
    </row>
    <row r="203" spans="3:12">
      <c r="C203" s="847"/>
      <c r="D203" s="854" t="s">
        <v>1043</v>
      </c>
      <c r="E203" s="666">
        <v>4</v>
      </c>
      <c r="F203" s="665" t="s">
        <v>910</v>
      </c>
      <c r="G203" s="463"/>
      <c r="H203" s="855"/>
      <c r="I203" s="850"/>
      <c r="J203" s="851"/>
      <c r="K203" s="463"/>
      <c r="L203" s="852" t="s">
        <v>1389</v>
      </c>
    </row>
    <row r="204" spans="3:12">
      <c r="C204" s="847"/>
      <c r="D204" s="854" t="s">
        <v>1029</v>
      </c>
      <c r="E204" s="666">
        <v>12</v>
      </c>
      <c r="F204" s="665" t="s">
        <v>16</v>
      </c>
      <c r="G204" s="463"/>
      <c r="H204" s="855"/>
      <c r="I204" s="850"/>
      <c r="J204" s="851"/>
      <c r="K204" s="463"/>
      <c r="L204" s="852" t="s">
        <v>1389</v>
      </c>
    </row>
    <row r="205" spans="3:12">
      <c r="C205" s="847"/>
      <c r="D205" s="854" t="s">
        <v>1030</v>
      </c>
      <c r="E205" s="666">
        <v>4</v>
      </c>
      <c r="F205" s="665" t="s">
        <v>16</v>
      </c>
      <c r="G205" s="463"/>
      <c r="H205" s="855"/>
      <c r="I205" s="850"/>
      <c r="J205" s="851"/>
      <c r="K205" s="463"/>
      <c r="L205" s="852" t="s">
        <v>1389</v>
      </c>
    </row>
    <row r="206" spans="3:12">
      <c r="C206" s="847"/>
      <c r="D206" s="854" t="s">
        <v>1031</v>
      </c>
      <c r="E206" s="666">
        <v>4</v>
      </c>
      <c r="F206" s="665" t="s">
        <v>16</v>
      </c>
      <c r="G206" s="463"/>
      <c r="H206" s="855"/>
      <c r="I206" s="850"/>
      <c r="J206" s="851"/>
      <c r="K206" s="463"/>
      <c r="L206" s="852" t="s">
        <v>1389</v>
      </c>
    </row>
    <row r="207" spans="3:12">
      <c r="C207" s="847"/>
      <c r="D207" s="854" t="s">
        <v>1044</v>
      </c>
      <c r="E207" s="666">
        <v>4</v>
      </c>
      <c r="F207" s="665" t="s">
        <v>910</v>
      </c>
      <c r="G207" s="463"/>
      <c r="H207" s="855"/>
      <c r="I207" s="850"/>
      <c r="J207" s="851"/>
      <c r="K207" s="463"/>
      <c r="L207" s="852" t="s">
        <v>1389</v>
      </c>
    </row>
    <row r="208" spans="3:12" ht="48">
      <c r="C208" s="847"/>
      <c r="D208" s="854" t="s">
        <v>1022</v>
      </c>
      <c r="E208" s="666">
        <v>4</v>
      </c>
      <c r="F208" s="665" t="s">
        <v>910</v>
      </c>
      <c r="G208" s="463"/>
      <c r="H208" s="855"/>
      <c r="I208" s="850"/>
      <c r="J208" s="851"/>
      <c r="K208" s="463"/>
      <c r="L208" s="852" t="s">
        <v>1389</v>
      </c>
    </row>
    <row r="209" spans="3:12">
      <c r="C209" s="847"/>
      <c r="D209" s="854" t="s">
        <v>1034</v>
      </c>
      <c r="E209" s="666">
        <v>16</v>
      </c>
      <c r="F209" s="665" t="s">
        <v>1026</v>
      </c>
      <c r="G209" s="463"/>
      <c r="H209" s="855"/>
      <c r="I209" s="850"/>
      <c r="J209" s="851"/>
      <c r="K209" s="463"/>
      <c r="L209" s="852" t="s">
        <v>1389</v>
      </c>
    </row>
    <row r="210" spans="3:12">
      <c r="C210" s="847"/>
      <c r="D210" s="854" t="s">
        <v>1280</v>
      </c>
      <c r="E210" s="666">
        <v>4</v>
      </c>
      <c r="F210" s="665" t="s">
        <v>16</v>
      </c>
      <c r="G210" s="463"/>
      <c r="H210" s="855"/>
      <c r="I210" s="850"/>
      <c r="J210" s="851"/>
      <c r="K210" s="463"/>
      <c r="L210" s="852" t="s">
        <v>1389</v>
      </c>
    </row>
    <row r="211" spans="3:12">
      <c r="C211" s="847"/>
      <c r="D211" s="854" t="s">
        <v>1025</v>
      </c>
      <c r="E211" s="666">
        <v>4</v>
      </c>
      <c r="F211" s="665" t="s">
        <v>16</v>
      </c>
      <c r="G211" s="463"/>
      <c r="H211" s="855"/>
      <c r="I211" s="850"/>
      <c r="J211" s="851"/>
      <c r="K211" s="463"/>
      <c r="L211" s="852" t="s">
        <v>1389</v>
      </c>
    </row>
    <row r="212" spans="3:12">
      <c r="C212" s="847"/>
      <c r="D212" s="854" t="s">
        <v>1035</v>
      </c>
      <c r="E212" s="666">
        <v>4</v>
      </c>
      <c r="F212" s="665" t="s">
        <v>910</v>
      </c>
      <c r="G212" s="463"/>
      <c r="H212" s="855"/>
      <c r="I212" s="850"/>
      <c r="J212" s="851"/>
      <c r="K212" s="463"/>
      <c r="L212" s="852" t="s">
        <v>1389</v>
      </c>
    </row>
    <row r="213" spans="3:12" ht="48">
      <c r="C213" s="847"/>
      <c r="D213" s="854" t="s">
        <v>1037</v>
      </c>
      <c r="E213" s="666">
        <v>4</v>
      </c>
      <c r="F213" s="665" t="s">
        <v>16</v>
      </c>
      <c r="G213" s="463"/>
      <c r="H213" s="855"/>
      <c r="I213" s="850"/>
      <c r="J213" s="851"/>
      <c r="K213" s="463"/>
      <c r="L213" s="852" t="s">
        <v>1389</v>
      </c>
    </row>
    <row r="214" spans="3:12">
      <c r="C214" s="847"/>
      <c r="D214" s="854" t="s">
        <v>1290</v>
      </c>
      <c r="E214" s="666">
        <v>4</v>
      </c>
      <c r="F214" s="665" t="s">
        <v>1027</v>
      </c>
      <c r="G214" s="463"/>
      <c r="H214" s="855"/>
      <c r="I214" s="850"/>
      <c r="J214" s="851"/>
      <c r="K214" s="463"/>
      <c r="L214" s="852" t="s">
        <v>1389</v>
      </c>
    </row>
    <row r="215" spans="3:12">
      <c r="C215" s="847" t="s">
        <v>1312</v>
      </c>
      <c r="D215" s="853" t="s">
        <v>1045</v>
      </c>
      <c r="E215" s="666"/>
      <c r="F215" s="665"/>
      <c r="G215" s="463"/>
      <c r="H215" s="855"/>
      <c r="I215" s="850"/>
      <c r="J215" s="851"/>
      <c r="K215" s="463"/>
      <c r="L215" s="852"/>
    </row>
    <row r="216" spans="3:12" ht="72">
      <c r="C216" s="847"/>
      <c r="D216" s="854" t="s">
        <v>1196</v>
      </c>
      <c r="E216" s="666">
        <v>1</v>
      </c>
      <c r="F216" s="665" t="s">
        <v>1027</v>
      </c>
      <c r="G216" s="463"/>
      <c r="H216" s="855"/>
      <c r="I216" s="850"/>
      <c r="J216" s="851"/>
      <c r="K216" s="463"/>
      <c r="L216" s="852"/>
    </row>
    <row r="217" spans="3:12" ht="48">
      <c r="C217" s="847"/>
      <c r="D217" s="854" t="s">
        <v>1289</v>
      </c>
      <c r="E217" s="666">
        <v>4</v>
      </c>
      <c r="F217" s="665" t="s">
        <v>16</v>
      </c>
      <c r="G217" s="463"/>
      <c r="H217" s="855"/>
      <c r="I217" s="850"/>
      <c r="J217" s="851"/>
      <c r="K217" s="463"/>
      <c r="L217" s="852" t="s">
        <v>1389</v>
      </c>
    </row>
    <row r="218" spans="3:12">
      <c r="C218" s="847"/>
      <c r="D218" s="854" t="s">
        <v>1028</v>
      </c>
      <c r="E218" s="666">
        <v>1</v>
      </c>
      <c r="F218" s="665" t="s">
        <v>910</v>
      </c>
      <c r="G218" s="463"/>
      <c r="H218" s="855"/>
      <c r="I218" s="850"/>
      <c r="J218" s="851"/>
      <c r="K218" s="463"/>
      <c r="L218" s="852" t="s">
        <v>1389</v>
      </c>
    </row>
    <row r="219" spans="3:12" ht="48">
      <c r="C219" s="847"/>
      <c r="D219" s="854" t="s">
        <v>1046</v>
      </c>
      <c r="E219" s="666">
        <v>1</v>
      </c>
      <c r="F219" s="665" t="s">
        <v>910</v>
      </c>
      <c r="G219" s="463"/>
      <c r="H219" s="855"/>
      <c r="I219" s="850"/>
      <c r="J219" s="851"/>
      <c r="K219" s="463"/>
      <c r="L219" s="852" t="s">
        <v>1389</v>
      </c>
    </row>
    <row r="220" spans="3:12">
      <c r="C220" s="847"/>
      <c r="D220" s="854" t="s">
        <v>1035</v>
      </c>
      <c r="E220" s="666">
        <v>1</v>
      </c>
      <c r="F220" s="665" t="s">
        <v>910</v>
      </c>
      <c r="G220" s="463"/>
      <c r="H220" s="855"/>
      <c r="I220" s="850"/>
      <c r="J220" s="851"/>
      <c r="K220" s="463"/>
      <c r="L220" s="852" t="s">
        <v>1389</v>
      </c>
    </row>
    <row r="221" spans="3:12">
      <c r="C221" s="847"/>
      <c r="D221" s="854" t="s">
        <v>1029</v>
      </c>
      <c r="E221" s="666">
        <v>9</v>
      </c>
      <c r="F221" s="665" t="s">
        <v>16</v>
      </c>
      <c r="G221" s="463"/>
      <c r="H221" s="855"/>
      <c r="I221" s="850"/>
      <c r="J221" s="851"/>
      <c r="K221" s="463"/>
      <c r="L221" s="852" t="s">
        <v>1389</v>
      </c>
    </row>
    <row r="222" spans="3:12">
      <c r="C222" s="847"/>
      <c r="D222" s="854" t="s">
        <v>1194</v>
      </c>
      <c r="E222" s="666">
        <v>3</v>
      </c>
      <c r="F222" s="665" t="s">
        <v>16</v>
      </c>
      <c r="G222" s="463"/>
      <c r="H222" s="855"/>
      <c r="I222" s="850"/>
      <c r="J222" s="851"/>
      <c r="K222" s="463"/>
      <c r="L222" s="852" t="s">
        <v>1389</v>
      </c>
    </row>
    <row r="223" spans="3:12">
      <c r="C223" s="847"/>
      <c r="D223" s="854" t="s">
        <v>1030</v>
      </c>
      <c r="E223" s="666">
        <v>1</v>
      </c>
      <c r="F223" s="665" t="s">
        <v>16</v>
      </c>
      <c r="G223" s="463"/>
      <c r="H223" s="855"/>
      <c r="I223" s="850"/>
      <c r="J223" s="851"/>
      <c r="K223" s="463"/>
      <c r="L223" s="852" t="s">
        <v>1389</v>
      </c>
    </row>
    <row r="224" spans="3:12">
      <c r="C224" s="847"/>
      <c r="D224" s="854" t="s">
        <v>1031</v>
      </c>
      <c r="E224" s="666">
        <v>3</v>
      </c>
      <c r="F224" s="665" t="s">
        <v>16</v>
      </c>
      <c r="G224" s="463"/>
      <c r="H224" s="855"/>
      <c r="I224" s="850"/>
      <c r="J224" s="851"/>
      <c r="K224" s="463"/>
      <c r="L224" s="852" t="s">
        <v>1389</v>
      </c>
    </row>
    <row r="225" spans="3:12">
      <c r="C225" s="847"/>
      <c r="D225" s="854" t="s">
        <v>1047</v>
      </c>
      <c r="E225" s="666">
        <v>1</v>
      </c>
      <c r="F225" s="665" t="s">
        <v>910</v>
      </c>
      <c r="G225" s="463"/>
      <c r="H225" s="855"/>
      <c r="I225" s="850"/>
      <c r="J225" s="851"/>
      <c r="K225" s="463"/>
      <c r="L225" s="852" t="s">
        <v>1389</v>
      </c>
    </row>
    <row r="226" spans="3:12" ht="48">
      <c r="C226" s="847"/>
      <c r="D226" s="854" t="s">
        <v>1048</v>
      </c>
      <c r="E226" s="666">
        <v>1</v>
      </c>
      <c r="F226" s="665" t="s">
        <v>16</v>
      </c>
      <c r="G226" s="463"/>
      <c r="H226" s="855"/>
      <c r="I226" s="850"/>
      <c r="J226" s="851"/>
      <c r="K226" s="463"/>
      <c r="L226" s="852" t="s">
        <v>1389</v>
      </c>
    </row>
    <row r="227" spans="3:12">
      <c r="C227" s="847"/>
      <c r="D227" s="854" t="s">
        <v>1049</v>
      </c>
      <c r="E227" s="666">
        <v>1</v>
      </c>
      <c r="F227" s="665" t="s">
        <v>910</v>
      </c>
      <c r="G227" s="463"/>
      <c r="H227" s="855"/>
      <c r="I227" s="850"/>
      <c r="J227" s="851"/>
      <c r="K227" s="463"/>
      <c r="L227" s="852" t="s">
        <v>1389</v>
      </c>
    </row>
    <row r="228" spans="3:12">
      <c r="C228" s="847"/>
      <c r="D228" s="854" t="s">
        <v>1032</v>
      </c>
      <c r="E228" s="666">
        <v>1</v>
      </c>
      <c r="F228" s="665" t="s">
        <v>16</v>
      </c>
      <c r="G228" s="463"/>
      <c r="H228" s="855"/>
      <c r="I228" s="850"/>
      <c r="J228" s="851"/>
      <c r="K228" s="463"/>
      <c r="L228" s="852" t="s">
        <v>1389</v>
      </c>
    </row>
    <row r="229" spans="3:12">
      <c r="C229" s="847"/>
      <c r="D229" s="854" t="s">
        <v>1033</v>
      </c>
      <c r="E229" s="666">
        <v>6</v>
      </c>
      <c r="F229" s="665" t="s">
        <v>16</v>
      </c>
      <c r="G229" s="463"/>
      <c r="H229" s="855"/>
      <c r="I229" s="850"/>
      <c r="J229" s="851"/>
      <c r="K229" s="463"/>
      <c r="L229" s="852" t="s">
        <v>1389</v>
      </c>
    </row>
    <row r="230" spans="3:12">
      <c r="C230" s="847"/>
      <c r="D230" s="854" t="s">
        <v>1278</v>
      </c>
      <c r="E230" s="666">
        <v>1</v>
      </c>
      <c r="F230" s="665" t="s">
        <v>16</v>
      </c>
      <c r="G230" s="463"/>
      <c r="H230" s="855"/>
      <c r="I230" s="850"/>
      <c r="J230" s="851"/>
      <c r="K230" s="463"/>
      <c r="L230" s="852" t="s">
        <v>1389</v>
      </c>
    </row>
    <row r="231" spans="3:12" ht="48">
      <c r="C231" s="847"/>
      <c r="D231" s="854" t="s">
        <v>1050</v>
      </c>
      <c r="E231" s="666">
        <v>1</v>
      </c>
      <c r="F231" s="665" t="s">
        <v>910</v>
      </c>
      <c r="G231" s="463"/>
      <c r="H231" s="855"/>
      <c r="I231" s="850"/>
      <c r="J231" s="851"/>
      <c r="K231" s="463"/>
      <c r="L231" s="852" t="s">
        <v>1389</v>
      </c>
    </row>
    <row r="232" spans="3:12">
      <c r="C232" s="847"/>
      <c r="D232" s="854" t="s">
        <v>1051</v>
      </c>
      <c r="E232" s="666">
        <v>1</v>
      </c>
      <c r="F232" s="665" t="s">
        <v>16</v>
      </c>
      <c r="G232" s="463"/>
      <c r="H232" s="855"/>
      <c r="I232" s="850"/>
      <c r="J232" s="851"/>
      <c r="K232" s="463"/>
      <c r="L232" s="852" t="s">
        <v>1389</v>
      </c>
    </row>
    <row r="233" spans="3:12">
      <c r="C233" s="847"/>
      <c r="D233" s="854" t="s">
        <v>1052</v>
      </c>
      <c r="E233" s="666">
        <v>32</v>
      </c>
      <c r="F233" s="665" t="s">
        <v>16</v>
      </c>
      <c r="G233" s="463"/>
      <c r="H233" s="855"/>
      <c r="I233" s="850"/>
      <c r="J233" s="851"/>
      <c r="K233" s="463"/>
      <c r="L233" s="852" t="s">
        <v>1389</v>
      </c>
    </row>
    <row r="234" spans="3:12">
      <c r="C234" s="847"/>
      <c r="D234" s="854" t="s">
        <v>1053</v>
      </c>
      <c r="E234" s="666">
        <v>2</v>
      </c>
      <c r="F234" s="665" t="s">
        <v>16</v>
      </c>
      <c r="G234" s="463"/>
      <c r="H234" s="855"/>
      <c r="I234" s="850"/>
      <c r="J234" s="851"/>
      <c r="K234" s="463"/>
      <c r="L234" s="852" t="s">
        <v>1389</v>
      </c>
    </row>
    <row r="235" spans="3:12">
      <c r="C235" s="847"/>
      <c r="D235" s="854" t="s">
        <v>1195</v>
      </c>
      <c r="E235" s="666">
        <v>16</v>
      </c>
      <c r="F235" s="665" t="s">
        <v>16</v>
      </c>
      <c r="G235" s="463"/>
      <c r="H235" s="855"/>
      <c r="I235" s="850"/>
      <c r="J235" s="851"/>
      <c r="K235" s="463"/>
      <c r="L235" s="852" t="s">
        <v>1389</v>
      </c>
    </row>
    <row r="236" spans="3:12" ht="48">
      <c r="C236" s="847"/>
      <c r="D236" s="854" t="s">
        <v>1054</v>
      </c>
      <c r="E236" s="666">
        <v>4</v>
      </c>
      <c r="F236" s="665" t="s">
        <v>16</v>
      </c>
      <c r="G236" s="463"/>
      <c r="H236" s="855"/>
      <c r="I236" s="850"/>
      <c r="J236" s="851"/>
      <c r="K236" s="463"/>
      <c r="L236" s="852" t="s">
        <v>1389</v>
      </c>
    </row>
    <row r="237" spans="3:12">
      <c r="C237" s="847"/>
      <c r="D237" s="854" t="s">
        <v>1024</v>
      </c>
      <c r="E237" s="666">
        <v>1</v>
      </c>
      <c r="F237" s="665" t="s">
        <v>16</v>
      </c>
      <c r="G237" s="463"/>
      <c r="H237" s="855"/>
      <c r="I237" s="850"/>
      <c r="J237" s="851"/>
      <c r="K237" s="463"/>
      <c r="L237" s="852" t="s">
        <v>1389</v>
      </c>
    </row>
    <row r="238" spans="3:12">
      <c r="C238" s="847"/>
      <c r="D238" s="854" t="s">
        <v>1036</v>
      </c>
      <c r="E238" s="666">
        <v>1</v>
      </c>
      <c r="F238" s="665" t="s">
        <v>910</v>
      </c>
      <c r="G238" s="463"/>
      <c r="H238" s="855"/>
      <c r="I238" s="850"/>
      <c r="J238" s="851"/>
      <c r="K238" s="463"/>
      <c r="L238" s="852" t="s">
        <v>1389</v>
      </c>
    </row>
    <row r="239" spans="3:12">
      <c r="C239" s="847"/>
      <c r="D239" s="854" t="s">
        <v>1055</v>
      </c>
      <c r="E239" s="666">
        <v>1</v>
      </c>
      <c r="F239" s="665" t="s">
        <v>910</v>
      </c>
      <c r="G239" s="463"/>
      <c r="H239" s="855"/>
      <c r="I239" s="850"/>
      <c r="J239" s="851"/>
      <c r="K239" s="463"/>
      <c r="L239" s="852" t="s">
        <v>1389</v>
      </c>
    </row>
    <row r="240" spans="3:12" ht="48">
      <c r="C240" s="847"/>
      <c r="D240" s="854" t="s">
        <v>1056</v>
      </c>
      <c r="E240" s="666">
        <v>1</v>
      </c>
      <c r="F240" s="665" t="s">
        <v>16</v>
      </c>
      <c r="G240" s="463"/>
      <c r="H240" s="855"/>
      <c r="I240" s="850"/>
      <c r="J240" s="851"/>
      <c r="K240" s="463"/>
      <c r="L240" s="852" t="s">
        <v>1389</v>
      </c>
    </row>
    <row r="241" spans="3:12">
      <c r="C241" s="847"/>
      <c r="D241" s="854" t="s">
        <v>1290</v>
      </c>
      <c r="E241" s="666">
        <v>1</v>
      </c>
      <c r="F241" s="665" t="s">
        <v>1027</v>
      </c>
      <c r="G241" s="463"/>
      <c r="H241" s="855"/>
      <c r="I241" s="850"/>
      <c r="J241" s="851"/>
      <c r="K241" s="463"/>
      <c r="L241" s="852" t="s">
        <v>1389</v>
      </c>
    </row>
    <row r="242" spans="3:12">
      <c r="C242" s="847" t="s">
        <v>1313</v>
      </c>
      <c r="D242" s="853" t="s">
        <v>1017</v>
      </c>
      <c r="E242" s="666"/>
      <c r="F242" s="665"/>
      <c r="G242" s="463"/>
      <c r="H242" s="855"/>
      <c r="I242" s="850"/>
      <c r="J242" s="851"/>
      <c r="K242" s="463"/>
      <c r="L242" s="852"/>
    </row>
    <row r="243" spans="3:12" ht="48">
      <c r="C243" s="847"/>
      <c r="D243" s="854" t="s">
        <v>1281</v>
      </c>
      <c r="E243" s="666">
        <v>1</v>
      </c>
      <c r="F243" s="665" t="s">
        <v>16</v>
      </c>
      <c r="G243" s="463"/>
      <c r="H243" s="855"/>
      <c r="I243" s="850"/>
      <c r="J243" s="851"/>
      <c r="K243" s="463"/>
      <c r="L243" s="852" t="s">
        <v>1389</v>
      </c>
    </row>
    <row r="244" spans="3:12">
      <c r="C244" s="847"/>
      <c r="D244" s="854" t="s">
        <v>1030</v>
      </c>
      <c r="E244" s="666">
        <v>1</v>
      </c>
      <c r="F244" s="665" t="s">
        <v>16</v>
      </c>
      <c r="G244" s="463"/>
      <c r="H244" s="855"/>
      <c r="I244" s="850"/>
      <c r="J244" s="851"/>
      <c r="K244" s="463"/>
      <c r="L244" s="852" t="s">
        <v>1389</v>
      </c>
    </row>
    <row r="245" spans="3:12">
      <c r="C245" s="847"/>
      <c r="D245" s="854" t="s">
        <v>1031</v>
      </c>
      <c r="E245" s="666">
        <v>1</v>
      </c>
      <c r="F245" s="665" t="s">
        <v>16</v>
      </c>
      <c r="G245" s="463"/>
      <c r="H245" s="855"/>
      <c r="I245" s="850"/>
      <c r="J245" s="851"/>
      <c r="K245" s="463"/>
      <c r="L245" s="852" t="s">
        <v>1389</v>
      </c>
    </row>
    <row r="246" spans="3:12">
      <c r="C246" s="847"/>
      <c r="D246" s="854" t="s">
        <v>1044</v>
      </c>
      <c r="E246" s="666">
        <v>1</v>
      </c>
      <c r="F246" s="665" t="s">
        <v>910</v>
      </c>
      <c r="G246" s="463"/>
      <c r="H246" s="855"/>
      <c r="I246" s="850"/>
      <c r="J246" s="851"/>
      <c r="K246" s="463"/>
      <c r="L246" s="852" t="s">
        <v>1389</v>
      </c>
    </row>
    <row r="247" spans="3:12" ht="48">
      <c r="C247" s="746"/>
      <c r="D247" s="854" t="s">
        <v>1022</v>
      </c>
      <c r="E247" s="666">
        <v>1</v>
      </c>
      <c r="F247" s="665" t="s">
        <v>910</v>
      </c>
      <c r="G247" s="463"/>
      <c r="H247" s="855"/>
      <c r="I247" s="850"/>
      <c r="J247" s="851"/>
      <c r="K247" s="463"/>
      <c r="L247" s="852" t="s">
        <v>1389</v>
      </c>
    </row>
    <row r="248" spans="3:12">
      <c r="C248" s="847"/>
      <c r="D248" s="854" t="s">
        <v>1034</v>
      </c>
      <c r="E248" s="666">
        <v>4</v>
      </c>
      <c r="F248" s="665" t="s">
        <v>1026</v>
      </c>
      <c r="G248" s="463"/>
      <c r="H248" s="855"/>
      <c r="I248" s="850"/>
      <c r="J248" s="851"/>
      <c r="K248" s="463"/>
      <c r="L248" s="852" t="s">
        <v>1389</v>
      </c>
    </row>
    <row r="249" spans="3:12">
      <c r="C249" s="847"/>
      <c r="D249" s="854" t="s">
        <v>1282</v>
      </c>
      <c r="E249" s="666">
        <v>1</v>
      </c>
      <c r="F249" s="665" t="s">
        <v>16</v>
      </c>
      <c r="G249" s="463"/>
      <c r="H249" s="855"/>
      <c r="I249" s="850"/>
      <c r="J249" s="851"/>
      <c r="K249" s="463"/>
      <c r="L249" s="852" t="s">
        <v>1389</v>
      </c>
    </row>
    <row r="250" spans="3:12">
      <c r="C250" s="847"/>
      <c r="D250" s="854" t="s">
        <v>1025</v>
      </c>
      <c r="E250" s="666">
        <v>1</v>
      </c>
      <c r="F250" s="665" t="s">
        <v>16</v>
      </c>
      <c r="G250" s="463"/>
      <c r="H250" s="855"/>
      <c r="I250" s="850"/>
      <c r="J250" s="851"/>
      <c r="K250" s="463"/>
      <c r="L250" s="852" t="s">
        <v>1389</v>
      </c>
    </row>
    <row r="251" spans="3:12" ht="48">
      <c r="C251" s="847"/>
      <c r="D251" s="854" t="s">
        <v>1037</v>
      </c>
      <c r="E251" s="666">
        <v>1</v>
      </c>
      <c r="F251" s="665" t="s">
        <v>16</v>
      </c>
      <c r="G251" s="463"/>
      <c r="H251" s="855"/>
      <c r="I251" s="850"/>
      <c r="J251" s="851"/>
      <c r="K251" s="463"/>
      <c r="L251" s="852" t="s">
        <v>1389</v>
      </c>
    </row>
    <row r="252" spans="3:12">
      <c r="C252" s="847"/>
      <c r="D252" s="854" t="s">
        <v>1290</v>
      </c>
      <c r="E252" s="666">
        <v>1</v>
      </c>
      <c r="F252" s="665" t="s">
        <v>1027</v>
      </c>
      <c r="G252" s="463"/>
      <c r="H252" s="855"/>
      <c r="I252" s="850"/>
      <c r="J252" s="851"/>
      <c r="K252" s="463"/>
      <c r="L252" s="852" t="s">
        <v>1389</v>
      </c>
    </row>
    <row r="253" spans="3:12">
      <c r="C253" s="847" t="s">
        <v>1314</v>
      </c>
      <c r="D253" s="853" t="s">
        <v>1019</v>
      </c>
      <c r="E253" s="666"/>
      <c r="F253" s="665"/>
      <c r="G253" s="463"/>
      <c r="H253" s="855"/>
      <c r="I253" s="850"/>
      <c r="J253" s="851"/>
      <c r="K253" s="463"/>
      <c r="L253" s="852"/>
    </row>
    <row r="254" spans="3:12" ht="48">
      <c r="C254" s="847"/>
      <c r="D254" s="854" t="s">
        <v>1281</v>
      </c>
      <c r="E254" s="666">
        <v>1</v>
      </c>
      <c r="F254" s="665" t="s">
        <v>16</v>
      </c>
      <c r="G254" s="463"/>
      <c r="H254" s="855"/>
      <c r="I254" s="850"/>
      <c r="J254" s="851"/>
      <c r="K254" s="463"/>
      <c r="L254" s="852" t="s">
        <v>1389</v>
      </c>
    </row>
    <row r="255" spans="3:12">
      <c r="C255" s="847">
        <v>1.4</v>
      </c>
      <c r="D255" s="890" t="s">
        <v>1197</v>
      </c>
      <c r="E255" s="666"/>
      <c r="F255" s="665"/>
      <c r="G255" s="463"/>
      <c r="H255" s="855"/>
      <c r="I255" s="850"/>
      <c r="J255" s="851"/>
      <c r="K255" s="463"/>
      <c r="L255" s="852"/>
    </row>
    <row r="256" spans="3:12">
      <c r="C256" s="847"/>
      <c r="D256" s="891" t="s">
        <v>1198</v>
      </c>
      <c r="E256" s="666">
        <v>1</v>
      </c>
      <c r="F256" s="665" t="s">
        <v>1027</v>
      </c>
      <c r="G256" s="463"/>
      <c r="H256" s="855"/>
      <c r="I256" s="850"/>
      <c r="J256" s="851"/>
      <c r="K256" s="463"/>
      <c r="L256" s="852" t="s">
        <v>1389</v>
      </c>
    </row>
    <row r="257" spans="1:12" ht="48">
      <c r="C257" s="847"/>
      <c r="D257" s="891" t="s">
        <v>1066</v>
      </c>
      <c r="E257" s="666">
        <v>4</v>
      </c>
      <c r="F257" s="665" t="s">
        <v>16</v>
      </c>
      <c r="G257" s="463"/>
      <c r="H257" s="855"/>
      <c r="I257" s="850"/>
      <c r="J257" s="851"/>
      <c r="K257" s="463"/>
      <c r="L257" s="852" t="s">
        <v>1389</v>
      </c>
    </row>
    <row r="258" spans="1:12">
      <c r="C258" s="746"/>
      <c r="D258" s="933" t="s">
        <v>1062</v>
      </c>
      <c r="E258" s="463"/>
      <c r="F258" s="463"/>
      <c r="G258" s="463"/>
      <c r="H258" s="888"/>
      <c r="I258" s="850"/>
      <c r="J258" s="889"/>
      <c r="K258" s="889"/>
      <c r="L258" s="852" t="s">
        <v>1389</v>
      </c>
    </row>
    <row r="259" spans="1:12">
      <c r="C259" s="847">
        <v>1.5</v>
      </c>
      <c r="D259" s="853" t="s">
        <v>1057</v>
      </c>
      <c r="E259" s="666"/>
      <c r="F259" s="665"/>
      <c r="G259" s="463"/>
      <c r="H259" s="849"/>
      <c r="I259" s="850"/>
      <c r="J259" s="851"/>
      <c r="K259" s="463"/>
      <c r="L259" s="852"/>
    </row>
    <row r="260" spans="1:12" ht="48">
      <c r="C260" s="892"/>
      <c r="D260" s="854" t="s">
        <v>1058</v>
      </c>
      <c r="E260" s="666">
        <v>2</v>
      </c>
      <c r="F260" s="665" t="s">
        <v>16</v>
      </c>
      <c r="G260" s="463"/>
      <c r="H260" s="855"/>
      <c r="I260" s="850"/>
      <c r="J260" s="851"/>
      <c r="K260" s="463"/>
      <c r="L260" s="852" t="s">
        <v>1389</v>
      </c>
    </row>
    <row r="261" spans="1:12" ht="48">
      <c r="A261" s="567"/>
      <c r="B261" s="567"/>
      <c r="C261" s="893"/>
      <c r="D261" s="854" t="s">
        <v>1059</v>
      </c>
      <c r="E261" s="666">
        <v>2</v>
      </c>
      <c r="F261" s="665" t="s">
        <v>16</v>
      </c>
      <c r="G261" s="463"/>
      <c r="H261" s="855"/>
      <c r="I261" s="850"/>
      <c r="J261" s="851"/>
      <c r="K261" s="463"/>
      <c r="L261" s="852" t="s">
        <v>1389</v>
      </c>
    </row>
    <row r="262" spans="1:12" ht="48">
      <c r="A262" s="567"/>
      <c r="B262" s="567"/>
      <c r="C262" s="894"/>
      <c r="D262" s="882" t="s">
        <v>1060</v>
      </c>
      <c r="E262" s="666">
        <v>30</v>
      </c>
      <c r="F262" s="665" t="s">
        <v>16</v>
      </c>
      <c r="G262" s="463"/>
      <c r="H262" s="855"/>
      <c r="I262" s="850"/>
      <c r="J262" s="851"/>
      <c r="K262" s="463"/>
      <c r="L262" s="852" t="s">
        <v>1389</v>
      </c>
    </row>
    <row r="263" spans="1:12" ht="48">
      <c r="C263" s="506"/>
      <c r="D263" s="854" t="s">
        <v>1061</v>
      </c>
      <c r="E263" s="666">
        <v>1</v>
      </c>
      <c r="F263" s="665" t="s">
        <v>16</v>
      </c>
      <c r="G263" s="463"/>
      <c r="H263" s="855"/>
      <c r="I263" s="850"/>
      <c r="J263" s="851"/>
      <c r="K263" s="463"/>
      <c r="L263" s="852" t="s">
        <v>1389</v>
      </c>
    </row>
    <row r="264" spans="1:12" ht="48">
      <c r="C264" s="743"/>
      <c r="D264" s="891" t="s">
        <v>1199</v>
      </c>
      <c r="E264" s="666">
        <v>1</v>
      </c>
      <c r="F264" s="665" t="s">
        <v>16</v>
      </c>
      <c r="G264" s="463"/>
      <c r="H264" s="855"/>
      <c r="I264" s="850"/>
      <c r="J264" s="851"/>
      <c r="K264" s="463"/>
      <c r="L264" s="852" t="s">
        <v>1389</v>
      </c>
    </row>
    <row r="265" spans="1:12" ht="48">
      <c r="C265" s="743"/>
      <c r="D265" s="891" t="s">
        <v>1200</v>
      </c>
      <c r="E265" s="666">
        <v>1</v>
      </c>
      <c r="F265" s="665" t="s">
        <v>1027</v>
      </c>
      <c r="G265" s="463"/>
      <c r="H265" s="855"/>
      <c r="I265" s="850"/>
      <c r="J265" s="851"/>
      <c r="K265" s="463"/>
      <c r="L265" s="852" t="s">
        <v>1389</v>
      </c>
    </row>
    <row r="266" spans="1:12">
      <c r="C266" s="743"/>
      <c r="D266" s="891" t="s">
        <v>1201</v>
      </c>
      <c r="E266" s="666">
        <v>2</v>
      </c>
      <c r="F266" s="665" t="s">
        <v>1027</v>
      </c>
      <c r="G266" s="463"/>
      <c r="H266" s="855"/>
      <c r="I266" s="850"/>
      <c r="J266" s="851"/>
      <c r="K266" s="463"/>
      <c r="L266" s="852" t="s">
        <v>1389</v>
      </c>
    </row>
    <row r="267" spans="1:12">
      <c r="C267" s="743"/>
      <c r="D267" s="891" t="s">
        <v>1064</v>
      </c>
      <c r="E267" s="666">
        <v>9</v>
      </c>
      <c r="F267" s="665" t="s">
        <v>16</v>
      </c>
      <c r="G267" s="463"/>
      <c r="H267" s="855"/>
      <c r="I267" s="850"/>
      <c r="J267" s="851"/>
      <c r="K267" s="463"/>
      <c r="L267" s="852" t="s">
        <v>1389</v>
      </c>
    </row>
    <row r="268" spans="1:12" ht="48">
      <c r="C268" s="743"/>
      <c r="D268" s="891" t="s">
        <v>1065</v>
      </c>
      <c r="E268" s="666">
        <v>2</v>
      </c>
      <c r="F268" s="665" t="s">
        <v>16</v>
      </c>
      <c r="G268" s="463"/>
      <c r="H268" s="855"/>
      <c r="I268" s="850"/>
      <c r="J268" s="851"/>
      <c r="K268" s="463"/>
      <c r="L268" s="852" t="s">
        <v>1389</v>
      </c>
    </row>
    <row r="269" spans="1:12">
      <c r="C269" s="743"/>
      <c r="D269" s="933" t="s">
        <v>1063</v>
      </c>
      <c r="E269" s="463"/>
      <c r="F269" s="463"/>
      <c r="G269" s="463"/>
      <c r="H269" s="888"/>
      <c r="I269" s="850"/>
      <c r="J269" s="889"/>
      <c r="K269" s="889"/>
      <c r="L269" s="852" t="s">
        <v>1389</v>
      </c>
    </row>
    <row r="270" spans="1:12">
      <c r="C270" s="894">
        <v>1.6</v>
      </c>
      <c r="D270" s="895" t="s">
        <v>969</v>
      </c>
      <c r="E270" s="896"/>
      <c r="F270" s="897"/>
      <c r="G270" s="898"/>
      <c r="H270" s="849"/>
      <c r="I270" s="899"/>
      <c r="J270" s="851"/>
      <c r="K270" s="463"/>
      <c r="L270" s="852"/>
    </row>
    <row r="271" spans="1:12">
      <c r="C271" s="900"/>
      <c r="D271" s="898" t="s">
        <v>970</v>
      </c>
      <c r="E271" s="896">
        <v>1</v>
      </c>
      <c r="F271" s="897" t="s">
        <v>16</v>
      </c>
      <c r="G271" s="501"/>
      <c r="H271" s="855"/>
      <c r="I271" s="819"/>
      <c r="J271" s="702"/>
      <c r="K271" s="463"/>
      <c r="L271" s="852" t="s">
        <v>1389</v>
      </c>
    </row>
    <row r="272" spans="1:12">
      <c r="C272" s="743"/>
      <c r="D272" s="902" t="s">
        <v>1102</v>
      </c>
      <c r="E272" s="901"/>
      <c r="F272" s="902"/>
      <c r="G272" s="893"/>
      <c r="H272" s="903"/>
      <c r="I272" s="904"/>
      <c r="J272" s="905"/>
      <c r="K272" s="903"/>
      <c r="L272" s="852" t="s">
        <v>1389</v>
      </c>
    </row>
    <row r="273" spans="1:12">
      <c r="C273" s="894">
        <v>1.7</v>
      </c>
      <c r="D273" s="893" t="s">
        <v>1106</v>
      </c>
      <c r="E273" s="906"/>
      <c r="F273" s="902"/>
      <c r="G273" s="893"/>
      <c r="H273" s="903"/>
      <c r="I273" s="907"/>
      <c r="J273" s="818"/>
      <c r="K273" s="908"/>
      <c r="L273" s="852"/>
    </row>
    <row r="274" spans="1:12">
      <c r="C274" s="894" t="s">
        <v>1401</v>
      </c>
      <c r="D274" s="909" t="s">
        <v>1318</v>
      </c>
      <c r="E274" s="501"/>
      <c r="F274" s="649"/>
      <c r="G274" s="501"/>
      <c r="H274" s="855"/>
      <c r="I274" s="819"/>
      <c r="J274" s="855"/>
      <c r="K274" s="501"/>
      <c r="L274" s="852"/>
    </row>
    <row r="275" spans="1:12">
      <c r="C275" s="743"/>
      <c r="D275" s="557" t="s">
        <v>957</v>
      </c>
      <c r="E275" s="501">
        <v>1</v>
      </c>
      <c r="F275" s="649" t="s">
        <v>751</v>
      </c>
      <c r="G275" s="501"/>
      <c r="H275" s="855"/>
      <c r="I275" s="819"/>
      <c r="J275" s="855"/>
      <c r="K275" s="463"/>
      <c r="L275" s="852" t="s">
        <v>1389</v>
      </c>
    </row>
    <row r="276" spans="1:12">
      <c r="C276" s="894" t="s">
        <v>1402</v>
      </c>
      <c r="D276" s="815" t="s">
        <v>1319</v>
      </c>
      <c r="E276" s="501"/>
      <c r="F276" s="649"/>
      <c r="G276" s="501"/>
      <c r="H276" s="855"/>
      <c r="I276" s="819"/>
      <c r="J276" s="855"/>
      <c r="K276" s="463"/>
      <c r="L276" s="852"/>
    </row>
    <row r="277" spans="1:12">
      <c r="C277" s="743"/>
      <c r="D277" s="557" t="s">
        <v>787</v>
      </c>
      <c r="E277" s="501">
        <v>5</v>
      </c>
      <c r="F277" s="649" t="s">
        <v>751</v>
      </c>
      <c r="G277" s="501"/>
      <c r="H277" s="855"/>
      <c r="I277" s="819"/>
      <c r="J277" s="855"/>
      <c r="K277" s="463"/>
      <c r="L277" s="852" t="s">
        <v>1389</v>
      </c>
    </row>
    <row r="278" spans="1:12">
      <c r="C278" s="746"/>
      <c r="D278" s="557" t="s">
        <v>1362</v>
      </c>
      <c r="E278" s="501">
        <v>47</v>
      </c>
      <c r="F278" s="649" t="s">
        <v>751</v>
      </c>
      <c r="G278" s="910"/>
      <c r="H278" s="855"/>
      <c r="I278" s="819"/>
      <c r="J278" s="855"/>
      <c r="K278" s="463"/>
      <c r="L278" s="852" t="s">
        <v>1389</v>
      </c>
    </row>
    <row r="279" spans="1:12" s="567" customFormat="1">
      <c r="A279" s="565"/>
      <c r="B279" s="565"/>
      <c r="C279" s="894" t="s">
        <v>1403</v>
      </c>
      <c r="D279" s="815" t="s">
        <v>1320</v>
      </c>
      <c r="E279" s="501"/>
      <c r="F279" s="649"/>
      <c r="G279" s="501"/>
      <c r="H279" s="855"/>
      <c r="I279" s="819"/>
      <c r="J279" s="855"/>
      <c r="K279" s="463"/>
      <c r="L279" s="852"/>
    </row>
    <row r="280" spans="1:12">
      <c r="C280" s="911"/>
      <c r="D280" s="557" t="s">
        <v>1363</v>
      </c>
      <c r="E280" s="501">
        <v>10</v>
      </c>
      <c r="F280" s="649" t="s">
        <v>751</v>
      </c>
      <c r="G280" s="501"/>
      <c r="H280" s="855"/>
      <c r="I280" s="819"/>
      <c r="J280" s="855"/>
      <c r="K280" s="463"/>
      <c r="L280" s="852" t="s">
        <v>1389</v>
      </c>
    </row>
    <row r="281" spans="1:12">
      <c r="C281" s="911"/>
      <c r="D281" s="557"/>
      <c r="E281" s="501"/>
      <c r="F281" s="649"/>
      <c r="G281" s="501"/>
      <c r="H281" s="855"/>
      <c r="I281" s="819"/>
      <c r="J281" s="855"/>
      <c r="K281" s="463"/>
      <c r="L281" s="852"/>
    </row>
    <row r="282" spans="1:12">
      <c r="C282" s="894" t="s">
        <v>1404</v>
      </c>
      <c r="D282" s="557" t="s">
        <v>851</v>
      </c>
      <c r="E282" s="501"/>
      <c r="F282" s="649"/>
      <c r="G282" s="501"/>
      <c r="H282" s="855"/>
      <c r="I282" s="819"/>
      <c r="J282" s="855"/>
      <c r="K282" s="463"/>
      <c r="L282" s="852"/>
    </row>
    <row r="283" spans="1:12">
      <c r="C283" s="911"/>
      <c r="D283" s="557" t="s">
        <v>961</v>
      </c>
      <c r="E283" s="501">
        <v>3</v>
      </c>
      <c r="F283" s="649" t="s">
        <v>751</v>
      </c>
      <c r="G283" s="501"/>
      <c r="H283" s="855"/>
      <c r="I283" s="819"/>
      <c r="J283" s="855"/>
      <c r="K283" s="463"/>
      <c r="L283" s="852" t="s">
        <v>1389</v>
      </c>
    </row>
    <row r="284" spans="1:12">
      <c r="C284" s="911"/>
      <c r="D284" s="557" t="s">
        <v>962</v>
      </c>
      <c r="E284" s="501">
        <v>16</v>
      </c>
      <c r="F284" s="649" t="s">
        <v>751</v>
      </c>
      <c r="G284" s="501"/>
      <c r="H284" s="855"/>
      <c r="I284" s="819"/>
      <c r="J284" s="855"/>
      <c r="K284" s="463"/>
      <c r="L284" s="852" t="s">
        <v>1389</v>
      </c>
    </row>
    <row r="285" spans="1:12">
      <c r="C285" s="561"/>
      <c r="D285" s="557" t="s">
        <v>963</v>
      </c>
      <c r="E285" s="501">
        <v>3</v>
      </c>
      <c r="F285" s="649" t="s">
        <v>751</v>
      </c>
      <c r="G285" s="501"/>
      <c r="H285" s="855"/>
      <c r="I285" s="819"/>
      <c r="J285" s="855"/>
      <c r="K285" s="463"/>
      <c r="L285" s="852" t="s">
        <v>1389</v>
      </c>
    </row>
    <row r="286" spans="1:12">
      <c r="C286" s="910"/>
      <c r="D286" s="557" t="s">
        <v>1291</v>
      </c>
      <c r="E286" s="501">
        <v>4</v>
      </c>
      <c r="F286" s="649" t="s">
        <v>751</v>
      </c>
      <c r="G286" s="501"/>
      <c r="H286" s="855"/>
      <c r="I286" s="819"/>
      <c r="J286" s="855"/>
      <c r="K286" s="463"/>
      <c r="L286" s="852" t="s">
        <v>1389</v>
      </c>
    </row>
    <row r="287" spans="1:12">
      <c r="C287" s="910"/>
      <c r="D287" s="557" t="s">
        <v>964</v>
      </c>
      <c r="E287" s="501">
        <v>8</v>
      </c>
      <c r="F287" s="649" t="s">
        <v>751</v>
      </c>
      <c r="G287" s="501"/>
      <c r="H287" s="855"/>
      <c r="I287" s="819"/>
      <c r="J287" s="855"/>
      <c r="K287" s="463"/>
      <c r="L287" s="852" t="s">
        <v>1389</v>
      </c>
    </row>
    <row r="288" spans="1:12">
      <c r="C288" s="910"/>
      <c r="D288" s="558" t="s">
        <v>965</v>
      </c>
      <c r="E288" s="563">
        <v>6</v>
      </c>
      <c r="F288" s="676" t="s">
        <v>751</v>
      </c>
      <c r="G288" s="675"/>
      <c r="H288" s="675"/>
      <c r="I288" s="832"/>
      <c r="J288" s="912"/>
      <c r="K288" s="675"/>
      <c r="L288" s="937" t="s">
        <v>1389</v>
      </c>
    </row>
    <row r="289" spans="3:12">
      <c r="C289" s="910"/>
      <c r="D289" s="934" t="s">
        <v>1080</v>
      </c>
      <c r="E289" s="500"/>
      <c r="F289" s="763"/>
      <c r="G289" s="763"/>
      <c r="H289" s="913"/>
      <c r="I289" s="914"/>
      <c r="J289" s="936"/>
      <c r="K289" s="913"/>
      <c r="L289" s="915"/>
    </row>
    <row r="290" spans="3:12">
      <c r="C290" s="916"/>
      <c r="D290" s="917" t="s">
        <v>998</v>
      </c>
      <c r="E290" s="917"/>
      <c r="F290" s="917"/>
      <c r="G290" s="917"/>
      <c r="H290" s="918"/>
      <c r="I290" s="919"/>
      <c r="J290" s="920"/>
      <c r="K290" s="920"/>
      <c r="L290" s="921"/>
    </row>
    <row r="291" spans="3:12">
      <c r="D291" s="777"/>
      <c r="E291" s="922"/>
      <c r="F291" s="923"/>
      <c r="G291" s="922"/>
      <c r="H291" s="922"/>
      <c r="I291" s="922"/>
      <c r="J291" s="922"/>
      <c r="K291" s="922"/>
      <c r="L291" s="924"/>
    </row>
    <row r="292" spans="3:12">
      <c r="D292" s="778" t="s">
        <v>2</v>
      </c>
      <c r="E292" s="774"/>
      <c r="F292" s="775"/>
      <c r="G292" s="774"/>
      <c r="H292" s="774"/>
      <c r="I292" s="774"/>
      <c r="J292" s="774"/>
      <c r="K292" s="774"/>
      <c r="L292" s="925"/>
    </row>
    <row r="293" spans="3:12">
      <c r="D293" s="773"/>
      <c r="E293" s="774"/>
      <c r="F293" s="775"/>
      <c r="G293" s="774"/>
      <c r="H293" s="774"/>
      <c r="I293" s="774"/>
      <c r="J293" s="774"/>
      <c r="K293" s="935"/>
      <c r="L293" s="926"/>
    </row>
    <row r="294" spans="3:12">
      <c r="D294" s="773"/>
      <c r="E294" s="774"/>
      <c r="F294" s="775"/>
      <c r="G294" s="774"/>
      <c r="H294" s="774"/>
      <c r="I294" s="774"/>
      <c r="J294" s="774"/>
      <c r="K294" s="774"/>
      <c r="L294" s="926"/>
    </row>
    <row r="295" spans="3:12">
      <c r="D295" s="773"/>
      <c r="E295" s="774"/>
      <c r="F295" s="775"/>
      <c r="G295" s="774"/>
      <c r="H295" s="774"/>
      <c r="I295" s="774"/>
      <c r="J295" s="774"/>
      <c r="K295" s="774"/>
      <c r="L295" s="926"/>
    </row>
    <row r="296" spans="3:12">
      <c r="D296" s="777"/>
      <c r="E296" s="774"/>
      <c r="F296" s="775"/>
      <c r="G296" s="774"/>
      <c r="H296" s="774"/>
      <c r="I296" s="774"/>
      <c r="J296" s="774"/>
      <c r="K296" s="774"/>
      <c r="L296" s="926"/>
    </row>
    <row r="297" spans="3:12">
      <c r="D297" s="627"/>
      <c r="G297" s="774"/>
      <c r="H297" s="774"/>
      <c r="I297" s="774"/>
      <c r="J297" s="774"/>
      <c r="K297" s="774"/>
      <c r="L297" s="927"/>
    </row>
    <row r="298" spans="3:12">
      <c r="D298" s="627"/>
      <c r="E298" s="560"/>
      <c r="F298" s="575"/>
      <c r="G298" s="774"/>
      <c r="H298" s="774"/>
      <c r="I298" s="774"/>
      <c r="J298" s="774"/>
      <c r="K298" s="774"/>
      <c r="L298" s="927"/>
    </row>
    <row r="299" spans="3:12">
      <c r="D299" s="772"/>
      <c r="F299" s="775"/>
      <c r="H299" s="780"/>
      <c r="I299" s="780"/>
      <c r="J299" s="780"/>
      <c r="K299" s="780"/>
      <c r="L299" s="927"/>
    </row>
    <row r="300" spans="3:12">
      <c r="L300" s="927"/>
    </row>
    <row r="301" spans="3:12">
      <c r="L301" s="927"/>
    </row>
    <row r="302" spans="3:12">
      <c r="L302" s="927"/>
    </row>
    <row r="303" spans="3:12">
      <c r="L303" s="927"/>
    </row>
    <row r="304" spans="3:12">
      <c r="L304" s="927"/>
    </row>
    <row r="305" spans="12:12">
      <c r="L305" s="927"/>
    </row>
    <row r="306" spans="12:12">
      <c r="L306" s="927"/>
    </row>
    <row r="307" spans="12:12">
      <c r="L307" s="927"/>
    </row>
    <row r="308" spans="12:12">
      <c r="L308" s="927"/>
    </row>
    <row r="309" spans="12:12">
      <c r="L309" s="927"/>
    </row>
    <row r="310" spans="12:12">
      <c r="L310" s="927"/>
    </row>
    <row r="311" spans="12:12">
      <c r="L311" s="927"/>
    </row>
    <row r="312" spans="12:12">
      <c r="L312" s="927"/>
    </row>
    <row r="313" spans="12:12">
      <c r="L313" s="927"/>
    </row>
    <row r="314" spans="12:12">
      <c r="L314" s="927"/>
    </row>
    <row r="315" spans="12:12">
      <c r="L315" s="927"/>
    </row>
    <row r="316" spans="12:12">
      <c r="L316" s="927"/>
    </row>
    <row r="317" spans="12:12">
      <c r="L317" s="927"/>
    </row>
    <row r="318" spans="12:12">
      <c r="L318" s="927"/>
    </row>
    <row r="319" spans="12:12">
      <c r="L319" s="927"/>
    </row>
    <row r="320" spans="12:12">
      <c r="L320" s="927"/>
    </row>
    <row r="321" spans="12:12">
      <c r="L321" s="927"/>
    </row>
    <row r="322" spans="12:12">
      <c r="L322" s="927"/>
    </row>
    <row r="323" spans="12:12">
      <c r="L323" s="927"/>
    </row>
    <row r="324" spans="12:12">
      <c r="L324" s="927"/>
    </row>
    <row r="325" spans="12:12">
      <c r="L325" s="927"/>
    </row>
    <row r="326" spans="12:12">
      <c r="L326" s="927"/>
    </row>
    <row r="327" spans="12:12">
      <c r="L327" s="927"/>
    </row>
    <row r="328" spans="12:12">
      <c r="L328" s="927"/>
    </row>
    <row r="329" spans="12:12">
      <c r="L329" s="927"/>
    </row>
    <row r="330" spans="12:12">
      <c r="L330" s="927"/>
    </row>
    <row r="331" spans="12:12">
      <c r="L331" s="927"/>
    </row>
    <row r="332" spans="12:12">
      <c r="L332" s="927"/>
    </row>
    <row r="333" spans="12:12">
      <c r="L333" s="927"/>
    </row>
    <row r="334" spans="12:12">
      <c r="L334" s="927"/>
    </row>
    <row r="335" spans="12:12">
      <c r="L335" s="927"/>
    </row>
    <row r="336" spans="12:12">
      <c r="L336" s="927"/>
    </row>
    <row r="337" spans="12:12">
      <c r="L337" s="927"/>
    </row>
    <row r="338" spans="12:12">
      <c r="L338" s="927"/>
    </row>
    <row r="339" spans="12:12">
      <c r="L339" s="927"/>
    </row>
    <row r="340" spans="12:12">
      <c r="L340" s="927"/>
    </row>
    <row r="341" spans="12:12">
      <c r="L341" s="927"/>
    </row>
    <row r="342" spans="12:12">
      <c r="L342" s="927"/>
    </row>
    <row r="343" spans="12:12">
      <c r="L343" s="927"/>
    </row>
    <row r="344" spans="12:12">
      <c r="L344" s="927"/>
    </row>
    <row r="345" spans="12:12">
      <c r="L345" s="927"/>
    </row>
    <row r="346" spans="12:12">
      <c r="L346" s="927"/>
    </row>
    <row r="347" spans="12:12">
      <c r="L347" s="928"/>
    </row>
    <row r="348" spans="12:12">
      <c r="L348" s="927"/>
    </row>
    <row r="349" spans="12:12">
      <c r="L349" s="927"/>
    </row>
    <row r="350" spans="12:12">
      <c r="L350" s="927"/>
    </row>
    <row r="351" spans="12:12">
      <c r="L351" s="927"/>
    </row>
    <row r="352" spans="12:12">
      <c r="L352" s="927"/>
    </row>
    <row r="353" spans="12:12">
      <c r="L353" s="927"/>
    </row>
    <row r="354" spans="12:12">
      <c r="L354" s="927"/>
    </row>
    <row r="355" spans="12:12">
      <c r="L355" s="927"/>
    </row>
    <row r="356" spans="12:12">
      <c r="L356" s="927"/>
    </row>
    <row r="357" spans="12:12">
      <c r="L357" s="927"/>
    </row>
    <row r="358" spans="12:12">
      <c r="L358" s="927"/>
    </row>
    <row r="359" spans="12:12">
      <c r="L359" s="927"/>
    </row>
    <row r="360" spans="12:12">
      <c r="L360" s="927"/>
    </row>
    <row r="361" spans="12:12">
      <c r="L361" s="927"/>
    </row>
    <row r="362" spans="12:12">
      <c r="L362" s="927"/>
    </row>
    <row r="363" spans="12:12">
      <c r="L363" s="927"/>
    </row>
    <row r="364" spans="12:12">
      <c r="L364" s="927"/>
    </row>
    <row r="365" spans="12:12">
      <c r="L365" s="927"/>
    </row>
    <row r="366" spans="12:12">
      <c r="L366" s="927"/>
    </row>
    <row r="367" spans="12:12">
      <c r="L367" s="927"/>
    </row>
    <row r="368" spans="12:12">
      <c r="L368" s="927"/>
    </row>
    <row r="369" spans="12:12">
      <c r="L369" s="927"/>
    </row>
    <row r="370" spans="12:12">
      <c r="L370" s="927"/>
    </row>
    <row r="371" spans="12:12">
      <c r="L371" s="927"/>
    </row>
    <row r="372" spans="12:12">
      <c r="L372" s="927"/>
    </row>
    <row r="373" spans="12:12">
      <c r="L373" s="927"/>
    </row>
    <row r="374" spans="12:12">
      <c r="L374" s="927"/>
    </row>
    <row r="375" spans="12:12">
      <c r="L375" s="927"/>
    </row>
    <row r="376" spans="12:12">
      <c r="L376" s="927"/>
    </row>
    <row r="377" spans="12:12">
      <c r="L377" s="927"/>
    </row>
    <row r="378" spans="12:12">
      <c r="L378" s="929"/>
    </row>
    <row r="379" spans="12:12">
      <c r="L379" s="929"/>
    </row>
    <row r="380" spans="12:12">
      <c r="L380" s="929"/>
    </row>
    <row r="381" spans="12:12">
      <c r="L381" s="929"/>
    </row>
    <row r="382" spans="12:12">
      <c r="L382" s="929"/>
    </row>
    <row r="383" spans="12:12">
      <c r="L383" s="929"/>
    </row>
    <row r="384" spans="12:12">
      <c r="L384" s="930"/>
    </row>
    <row r="385" spans="12:12">
      <c r="L385" s="927"/>
    </row>
    <row r="386" spans="12:12">
      <c r="L386" s="927"/>
    </row>
    <row r="387" spans="12:12">
      <c r="L387" s="927"/>
    </row>
    <row r="388" spans="12:12">
      <c r="L388" s="927"/>
    </row>
    <row r="389" spans="12:12">
      <c r="L389" s="927"/>
    </row>
    <row r="390" spans="12:12">
      <c r="L390" s="927"/>
    </row>
    <row r="391" spans="12:12">
      <c r="L391" s="927"/>
    </row>
    <row r="392" spans="12:12">
      <c r="L392" s="927"/>
    </row>
    <row r="393" spans="12:12">
      <c r="L393" s="927"/>
    </row>
    <row r="394" spans="12:12">
      <c r="L394" s="927"/>
    </row>
    <row r="395" spans="12:12">
      <c r="L395" s="927"/>
    </row>
    <row r="396" spans="12:12">
      <c r="L396" s="927"/>
    </row>
    <row r="397" spans="12:12">
      <c r="L397" s="927"/>
    </row>
    <row r="398" spans="12:12">
      <c r="L398" s="927"/>
    </row>
    <row r="399" spans="12:12">
      <c r="L399" s="927"/>
    </row>
    <row r="400" spans="12:12">
      <c r="L400" s="927"/>
    </row>
    <row r="401" spans="12:12">
      <c r="L401" s="927"/>
    </row>
    <row r="402" spans="12:12">
      <c r="L402" s="927"/>
    </row>
    <row r="403" spans="12:12">
      <c r="L403" s="927"/>
    </row>
    <row r="404" spans="12:12">
      <c r="L404" s="927"/>
    </row>
    <row r="405" spans="12:12">
      <c r="L405" s="927"/>
    </row>
    <row r="406" spans="12:12">
      <c r="L406" s="927"/>
    </row>
    <row r="407" spans="12:12">
      <c r="L407" s="927"/>
    </row>
    <row r="408" spans="12:12">
      <c r="L408" s="927"/>
    </row>
    <row r="409" spans="12:12">
      <c r="L409" s="927"/>
    </row>
    <row r="410" spans="12:12">
      <c r="L410" s="927"/>
    </row>
    <row r="411" spans="12:12">
      <c r="L411" s="927"/>
    </row>
    <row r="412" spans="12:12">
      <c r="L412" s="927"/>
    </row>
    <row r="413" spans="12:12">
      <c r="L413" s="927"/>
    </row>
    <row r="414" spans="12:12">
      <c r="L414" s="927"/>
    </row>
    <row r="415" spans="12:12">
      <c r="L415" s="927"/>
    </row>
    <row r="416" spans="12:12">
      <c r="L416" s="927"/>
    </row>
    <row r="417" spans="12:12">
      <c r="L417" s="927"/>
    </row>
    <row r="418" spans="12:12">
      <c r="L418" s="927"/>
    </row>
    <row r="419" spans="12:12">
      <c r="L419" s="927"/>
    </row>
    <row r="420" spans="12:12">
      <c r="L420" s="927"/>
    </row>
    <row r="421" spans="12:12">
      <c r="L421" s="927"/>
    </row>
    <row r="422" spans="12:12">
      <c r="L422" s="927"/>
    </row>
    <row r="423" spans="12:12">
      <c r="L423" s="927"/>
    </row>
    <row r="424" spans="12:12">
      <c r="L424" s="927"/>
    </row>
    <row r="425" spans="12:12">
      <c r="L425" s="927"/>
    </row>
    <row r="426" spans="12:12">
      <c r="L426" s="927"/>
    </row>
    <row r="427" spans="12:12">
      <c r="L427" s="927"/>
    </row>
    <row r="428" spans="12:12">
      <c r="L428" s="927"/>
    </row>
    <row r="429" spans="12:12">
      <c r="L429" s="927"/>
    </row>
    <row r="430" spans="12:12">
      <c r="L430" s="927"/>
    </row>
    <row r="431" spans="12:12">
      <c r="L431" s="927"/>
    </row>
    <row r="432" spans="12:12">
      <c r="L432" s="927"/>
    </row>
    <row r="433" spans="12:12">
      <c r="L433" s="927"/>
    </row>
    <row r="434" spans="12:12">
      <c r="L434" s="927"/>
    </row>
    <row r="435" spans="12:12">
      <c r="L435" s="927"/>
    </row>
    <row r="436" spans="12:12">
      <c r="L436" s="927"/>
    </row>
    <row r="437" spans="12:12">
      <c r="L437" s="927"/>
    </row>
    <row r="438" spans="12:12">
      <c r="L438" s="927"/>
    </row>
    <row r="439" spans="12:12">
      <c r="L439" s="927"/>
    </row>
    <row r="440" spans="12:12">
      <c r="L440" s="927"/>
    </row>
    <row r="441" spans="12:12">
      <c r="L441" s="927"/>
    </row>
    <row r="442" spans="12:12">
      <c r="L442" s="927"/>
    </row>
    <row r="443" spans="12:12">
      <c r="L443" s="927"/>
    </row>
    <row r="444" spans="12:12">
      <c r="L444" s="927"/>
    </row>
    <row r="445" spans="12:12">
      <c r="L445" s="927"/>
    </row>
    <row r="446" spans="12:12">
      <c r="L446" s="927"/>
    </row>
    <row r="447" spans="12:12">
      <c r="L447" s="927"/>
    </row>
    <row r="448" spans="12:12">
      <c r="L448" s="927"/>
    </row>
    <row r="449" spans="12:12">
      <c r="L449" s="927"/>
    </row>
    <row r="450" spans="12:12">
      <c r="L450" s="927"/>
    </row>
    <row r="451" spans="12:12">
      <c r="L451" s="927"/>
    </row>
    <row r="452" spans="12:12">
      <c r="L452" s="927"/>
    </row>
    <row r="453" spans="12:12">
      <c r="L453" s="927"/>
    </row>
    <row r="454" spans="12:12">
      <c r="L454" s="927"/>
    </row>
    <row r="455" spans="12:12">
      <c r="L455" s="927"/>
    </row>
    <row r="456" spans="12:12">
      <c r="L456" s="927"/>
    </row>
    <row r="457" spans="12:12">
      <c r="L457" s="927"/>
    </row>
    <row r="458" spans="12:12">
      <c r="L458" s="927"/>
    </row>
    <row r="459" spans="12:12">
      <c r="L459" s="927"/>
    </row>
    <row r="460" spans="12:12">
      <c r="L460" s="927"/>
    </row>
    <row r="461" spans="12:12">
      <c r="L461" s="927"/>
    </row>
    <row r="462" spans="12:12">
      <c r="L462" s="927"/>
    </row>
    <row r="463" spans="12:12">
      <c r="L463" s="927"/>
    </row>
    <row r="464" spans="12:12">
      <c r="L464" s="927"/>
    </row>
    <row r="465" spans="12:12">
      <c r="L465" s="927"/>
    </row>
    <row r="466" spans="12:12">
      <c r="L466" s="927"/>
    </row>
    <row r="467" spans="12:12">
      <c r="L467" s="927"/>
    </row>
    <row r="468" spans="12:12">
      <c r="L468" s="927"/>
    </row>
    <row r="469" spans="12:12">
      <c r="L469" s="927"/>
    </row>
    <row r="470" spans="12:12">
      <c r="L470" s="927"/>
    </row>
    <row r="471" spans="12:12">
      <c r="L471" s="927"/>
    </row>
    <row r="472" spans="12:12">
      <c r="L472" s="927"/>
    </row>
    <row r="473" spans="12:12">
      <c r="L473" s="927"/>
    </row>
    <row r="474" spans="12:12">
      <c r="L474" s="927"/>
    </row>
    <row r="475" spans="12:12">
      <c r="L475" s="927"/>
    </row>
    <row r="476" spans="12:12">
      <c r="L476" s="927"/>
    </row>
    <row r="477" spans="12:12">
      <c r="L477" s="927"/>
    </row>
    <row r="478" spans="12:12">
      <c r="L478" s="927"/>
    </row>
    <row r="479" spans="12:12">
      <c r="L479" s="927"/>
    </row>
    <row r="480" spans="12:12">
      <c r="L480" s="927"/>
    </row>
    <row r="481" spans="12:12">
      <c r="L481" s="927"/>
    </row>
    <row r="482" spans="12:12">
      <c r="L482" s="927"/>
    </row>
    <row r="483" spans="12:12">
      <c r="L483" s="927"/>
    </row>
    <row r="484" spans="12:12">
      <c r="L484" s="927"/>
    </row>
    <row r="485" spans="12:12">
      <c r="L485" s="927"/>
    </row>
    <row r="486" spans="12:12">
      <c r="L486" s="927"/>
    </row>
    <row r="487" spans="12:12">
      <c r="L487" s="927"/>
    </row>
    <row r="488" spans="12:12">
      <c r="L488" s="927"/>
    </row>
    <row r="489" spans="12:12">
      <c r="L489" s="927"/>
    </row>
    <row r="490" spans="12:12">
      <c r="L490" s="927"/>
    </row>
    <row r="491" spans="12:12">
      <c r="L491" s="927"/>
    </row>
    <row r="492" spans="12:12">
      <c r="L492" s="927"/>
    </row>
    <row r="493" spans="12:12">
      <c r="L493" s="927"/>
    </row>
    <row r="494" spans="12:12">
      <c r="L494" s="927"/>
    </row>
    <row r="495" spans="12:12">
      <c r="L495" s="927"/>
    </row>
    <row r="496" spans="12:12">
      <c r="L496" s="927"/>
    </row>
    <row r="497" spans="12:12">
      <c r="L497" s="927"/>
    </row>
    <row r="498" spans="12:12">
      <c r="L498" s="927"/>
    </row>
    <row r="499" spans="12:12">
      <c r="L499" s="927"/>
    </row>
    <row r="500" spans="12:12">
      <c r="L500" s="927"/>
    </row>
    <row r="501" spans="12:12">
      <c r="L501" s="927"/>
    </row>
    <row r="502" spans="12:12">
      <c r="L502" s="927"/>
    </row>
    <row r="503" spans="12:12">
      <c r="L503" s="927"/>
    </row>
    <row r="504" spans="12:12">
      <c r="L504" s="927"/>
    </row>
    <row r="505" spans="12:12">
      <c r="L505" s="927"/>
    </row>
    <row r="506" spans="12:12">
      <c r="L506" s="927"/>
    </row>
    <row r="507" spans="12:12">
      <c r="L507" s="927"/>
    </row>
    <row r="508" spans="12:12">
      <c r="L508" s="927"/>
    </row>
    <row r="509" spans="12:12">
      <c r="L509" s="927"/>
    </row>
    <row r="510" spans="12:12">
      <c r="L510" s="927"/>
    </row>
    <row r="511" spans="12:12">
      <c r="L511" s="927"/>
    </row>
    <row r="512" spans="12:12">
      <c r="L512" s="927"/>
    </row>
    <row r="513" spans="12:12">
      <c r="L513" s="927"/>
    </row>
    <row r="514" spans="12:12">
      <c r="L514" s="927"/>
    </row>
    <row r="515" spans="12:12">
      <c r="L515" s="927"/>
    </row>
    <row r="516" spans="12:12">
      <c r="L516" s="927"/>
    </row>
    <row r="517" spans="12:12">
      <c r="L517" s="927"/>
    </row>
    <row r="518" spans="12:12">
      <c r="L518" s="927"/>
    </row>
    <row r="519" spans="12:12">
      <c r="L519" s="927"/>
    </row>
    <row r="520" spans="12:12">
      <c r="L520" s="927"/>
    </row>
    <row r="521" spans="12:12">
      <c r="L521" s="927"/>
    </row>
    <row r="522" spans="12:12">
      <c r="L522" s="927"/>
    </row>
    <row r="523" spans="12:12">
      <c r="L523" s="927"/>
    </row>
    <row r="524" spans="12:12">
      <c r="L524" s="927"/>
    </row>
    <row r="525" spans="12:12">
      <c r="L525" s="927"/>
    </row>
    <row r="526" spans="12:12">
      <c r="L526" s="927"/>
    </row>
    <row r="527" spans="12:12">
      <c r="L527" s="927"/>
    </row>
    <row r="528" spans="12:12">
      <c r="L528" s="927"/>
    </row>
    <row r="529" spans="12:12">
      <c r="L529" s="927"/>
    </row>
    <row r="530" spans="12:12">
      <c r="L530" s="927"/>
    </row>
    <row r="531" spans="12:12">
      <c r="L531" s="927"/>
    </row>
    <row r="532" spans="12:12">
      <c r="L532" s="927"/>
    </row>
    <row r="533" spans="12:12">
      <c r="L533" s="927"/>
    </row>
    <row r="534" spans="12:12">
      <c r="L534" s="927"/>
    </row>
    <row r="535" spans="12:12">
      <c r="L535" s="927"/>
    </row>
    <row r="536" spans="12:12">
      <c r="L536" s="927"/>
    </row>
    <row r="537" spans="12:12">
      <c r="L537" s="927"/>
    </row>
    <row r="538" spans="12:12">
      <c r="L538" s="927"/>
    </row>
    <row r="539" spans="12:12">
      <c r="L539" s="927"/>
    </row>
    <row r="540" spans="12:12">
      <c r="L540" s="927"/>
    </row>
    <row r="541" spans="12:12">
      <c r="L541" s="927"/>
    </row>
    <row r="542" spans="12:12">
      <c r="L542" s="927"/>
    </row>
    <row r="543" spans="12:12">
      <c r="L543" s="927"/>
    </row>
    <row r="544" spans="12:12">
      <c r="L544" s="927"/>
    </row>
    <row r="545" spans="12:12">
      <c r="L545" s="927"/>
    </row>
    <row r="546" spans="12:12">
      <c r="L546" s="927"/>
    </row>
    <row r="547" spans="12:12">
      <c r="L547" s="927"/>
    </row>
    <row r="548" spans="12:12">
      <c r="L548" s="927"/>
    </row>
    <row r="549" spans="12:12">
      <c r="L549" s="927"/>
    </row>
    <row r="550" spans="12:12">
      <c r="L550" s="927"/>
    </row>
    <row r="551" spans="12:12">
      <c r="L551" s="927"/>
    </row>
    <row r="552" spans="12:12">
      <c r="L552" s="927"/>
    </row>
    <row r="553" spans="12:12">
      <c r="L553" s="927"/>
    </row>
    <row r="554" spans="12:12">
      <c r="L554" s="927"/>
    </row>
    <row r="555" spans="12:12">
      <c r="L555" s="927"/>
    </row>
    <row r="556" spans="12:12">
      <c r="L556" s="927"/>
    </row>
    <row r="557" spans="12:12">
      <c r="L557" s="927"/>
    </row>
    <row r="558" spans="12:12">
      <c r="L558" s="927"/>
    </row>
    <row r="559" spans="12:12">
      <c r="L559" s="927"/>
    </row>
    <row r="560" spans="12:12">
      <c r="L560" s="927"/>
    </row>
    <row r="561" spans="12:12">
      <c r="L561" s="927"/>
    </row>
    <row r="562" spans="12:12">
      <c r="L562" s="927"/>
    </row>
    <row r="563" spans="12:12">
      <c r="L563" s="927"/>
    </row>
    <row r="564" spans="12:12">
      <c r="L564" s="927"/>
    </row>
    <row r="565" spans="12:12">
      <c r="L565" s="927"/>
    </row>
    <row r="566" spans="12:12">
      <c r="L566" s="927"/>
    </row>
    <row r="567" spans="12:12">
      <c r="L567" s="927"/>
    </row>
    <row r="568" spans="12:12">
      <c r="L568" s="927"/>
    </row>
    <row r="569" spans="12:12">
      <c r="L569" s="927"/>
    </row>
    <row r="570" spans="12:12">
      <c r="L570" s="927"/>
    </row>
    <row r="571" spans="12:12">
      <c r="L571" s="927"/>
    </row>
    <row r="572" spans="12:12">
      <c r="L572" s="927"/>
    </row>
    <row r="573" spans="12:12">
      <c r="L573" s="927"/>
    </row>
    <row r="574" spans="12:12">
      <c r="L574" s="927"/>
    </row>
    <row r="575" spans="12:12">
      <c r="L575" s="927"/>
    </row>
    <row r="576" spans="12:12">
      <c r="L576" s="927"/>
    </row>
    <row r="577" spans="12:12">
      <c r="L577" s="927"/>
    </row>
    <row r="578" spans="12:12">
      <c r="L578" s="927"/>
    </row>
    <row r="579" spans="12:12">
      <c r="L579" s="927"/>
    </row>
    <row r="580" spans="12:12">
      <c r="L580" s="927"/>
    </row>
    <row r="581" spans="12:12">
      <c r="L581" s="927"/>
    </row>
    <row r="582" spans="12:12">
      <c r="L582" s="927"/>
    </row>
    <row r="583" spans="12:12">
      <c r="L583" s="927"/>
    </row>
    <row r="584" spans="12:12">
      <c r="L584" s="927"/>
    </row>
    <row r="585" spans="12:12">
      <c r="L585" s="927"/>
    </row>
    <row r="586" spans="12:12">
      <c r="L586" s="927"/>
    </row>
    <row r="587" spans="12:12">
      <c r="L587" s="927"/>
    </row>
    <row r="588" spans="12:12">
      <c r="L588" s="927"/>
    </row>
    <row r="589" spans="12:12">
      <c r="L589" s="927"/>
    </row>
    <row r="590" spans="12:12">
      <c r="L590" s="927"/>
    </row>
    <row r="591" spans="12:12">
      <c r="L591" s="928"/>
    </row>
    <row r="592" spans="12:12">
      <c r="L592" s="928"/>
    </row>
    <row r="593" spans="12:12">
      <c r="L593" s="928"/>
    </row>
    <row r="594" spans="12:12">
      <c r="L594" s="928"/>
    </row>
    <row r="595" spans="12:12">
      <c r="L595" s="928"/>
    </row>
    <row r="596" spans="12:12">
      <c r="L596" s="927"/>
    </row>
    <row r="597" spans="12:12">
      <c r="L597" s="927"/>
    </row>
    <row r="598" spans="12:12">
      <c r="L598" s="927"/>
    </row>
    <row r="599" spans="12:12">
      <c r="L599" s="927"/>
    </row>
    <row r="600" spans="12:12">
      <c r="L600" s="927"/>
    </row>
    <row r="601" spans="12:12">
      <c r="L601" s="927"/>
    </row>
    <row r="602" spans="12:12">
      <c r="L602" s="927"/>
    </row>
    <row r="603" spans="12:12">
      <c r="L603" s="927"/>
    </row>
    <row r="604" spans="12:12">
      <c r="L604" s="927"/>
    </row>
    <row r="605" spans="12:12">
      <c r="L605" s="927"/>
    </row>
    <row r="606" spans="12:12">
      <c r="L606" s="927"/>
    </row>
    <row r="607" spans="12:12">
      <c r="L607" s="927"/>
    </row>
    <row r="608" spans="12:12">
      <c r="L608" s="927"/>
    </row>
    <row r="609" spans="12:12">
      <c r="L609" s="927"/>
    </row>
    <row r="610" spans="12:12">
      <c r="L610" s="927"/>
    </row>
    <row r="611" spans="12:12">
      <c r="L611" s="927"/>
    </row>
    <row r="612" spans="12:12">
      <c r="L612" s="927"/>
    </row>
    <row r="613" spans="12:12">
      <c r="L613" s="927"/>
    </row>
    <row r="614" spans="12:12">
      <c r="L614" s="927"/>
    </row>
    <row r="615" spans="12:12">
      <c r="L615" s="927"/>
    </row>
    <row r="616" spans="12:12">
      <c r="L616" s="927"/>
    </row>
    <row r="617" spans="12:12">
      <c r="L617" s="927"/>
    </row>
    <row r="618" spans="12:12">
      <c r="L618" s="927"/>
    </row>
    <row r="619" spans="12:12">
      <c r="L619" s="927"/>
    </row>
    <row r="620" spans="12:12">
      <c r="L620" s="927"/>
    </row>
    <row r="621" spans="12:12">
      <c r="L621" s="927"/>
    </row>
    <row r="622" spans="12:12">
      <c r="L622" s="927"/>
    </row>
    <row r="623" spans="12:12">
      <c r="L623" s="927"/>
    </row>
    <row r="624" spans="12:12">
      <c r="L624" s="927"/>
    </row>
    <row r="625" spans="12:12">
      <c r="L625" s="927"/>
    </row>
    <row r="626" spans="12:12">
      <c r="L626" s="927"/>
    </row>
    <row r="627" spans="12:12">
      <c r="L627" s="927"/>
    </row>
    <row r="628" spans="12:12">
      <c r="L628" s="927"/>
    </row>
    <row r="629" spans="12:12">
      <c r="L629" s="930"/>
    </row>
    <row r="630" spans="12:12">
      <c r="L630" s="927"/>
    </row>
    <row r="631" spans="12:12">
      <c r="L631" s="927"/>
    </row>
    <row r="632" spans="12:12">
      <c r="L632" s="927"/>
    </row>
    <row r="633" spans="12:12">
      <c r="L633" s="927"/>
    </row>
    <row r="634" spans="12:12">
      <c r="L634" s="927"/>
    </row>
    <row r="635" spans="12:12">
      <c r="L635" s="927"/>
    </row>
    <row r="636" spans="12:12">
      <c r="L636" s="927"/>
    </row>
    <row r="637" spans="12:12">
      <c r="L637" s="927"/>
    </row>
    <row r="638" spans="12:12">
      <c r="L638" s="927"/>
    </row>
    <row r="639" spans="12:12">
      <c r="L639" s="927"/>
    </row>
    <row r="640" spans="12:12">
      <c r="L640" s="927"/>
    </row>
    <row r="641" spans="12:12">
      <c r="L641" s="927"/>
    </row>
    <row r="642" spans="12:12">
      <c r="L642" s="927"/>
    </row>
    <row r="643" spans="12:12">
      <c r="L643" s="927"/>
    </row>
    <row r="644" spans="12:12">
      <c r="L644" s="927"/>
    </row>
    <row r="645" spans="12:12">
      <c r="L645" s="927"/>
    </row>
    <row r="646" spans="12:12">
      <c r="L646" s="927"/>
    </row>
    <row r="647" spans="12:12">
      <c r="L647" s="927"/>
    </row>
    <row r="648" spans="12:12">
      <c r="L648" s="927"/>
    </row>
    <row r="649" spans="12:12">
      <c r="L649" s="927"/>
    </row>
    <row r="650" spans="12:12">
      <c r="L650" s="927"/>
    </row>
    <row r="651" spans="12:12">
      <c r="L651" s="927"/>
    </row>
    <row r="652" spans="12:12">
      <c r="L652" s="927"/>
    </row>
    <row r="653" spans="12:12">
      <c r="L653" s="927"/>
    </row>
    <row r="654" spans="12:12">
      <c r="L654" s="927"/>
    </row>
    <row r="655" spans="12:12">
      <c r="L655" s="927"/>
    </row>
    <row r="656" spans="12:12">
      <c r="L656" s="927"/>
    </row>
    <row r="657" spans="12:12">
      <c r="L657" s="927"/>
    </row>
    <row r="658" spans="12:12">
      <c r="L658" s="927"/>
    </row>
    <row r="659" spans="12:12">
      <c r="L659" s="927"/>
    </row>
    <row r="660" spans="12:12">
      <c r="L660" s="927"/>
    </row>
    <row r="661" spans="12:12">
      <c r="L661" s="927"/>
    </row>
    <row r="662" spans="12:12">
      <c r="L662" s="927"/>
    </row>
    <row r="663" spans="12:12">
      <c r="L663" s="927"/>
    </row>
    <row r="664" spans="12:12">
      <c r="L664" s="927"/>
    </row>
    <row r="665" spans="12:12">
      <c r="L665" s="927"/>
    </row>
    <row r="666" spans="12:12">
      <c r="L666" s="927"/>
    </row>
    <row r="667" spans="12:12">
      <c r="L667" s="927"/>
    </row>
    <row r="668" spans="12:12">
      <c r="L668" s="927"/>
    </row>
    <row r="669" spans="12:12">
      <c r="L669" s="927"/>
    </row>
    <row r="670" spans="12:12">
      <c r="L670" s="927"/>
    </row>
    <row r="671" spans="12:12">
      <c r="L671" s="927"/>
    </row>
    <row r="672" spans="12:12">
      <c r="L672" s="927"/>
    </row>
    <row r="673" spans="12:12">
      <c r="L673" s="927"/>
    </row>
    <row r="674" spans="12:12">
      <c r="L674" s="927"/>
    </row>
    <row r="675" spans="12:12">
      <c r="L675" s="927"/>
    </row>
    <row r="676" spans="12:12">
      <c r="L676" s="927"/>
    </row>
    <row r="677" spans="12:12">
      <c r="L677" s="927"/>
    </row>
    <row r="678" spans="12:12">
      <c r="L678" s="927"/>
    </row>
    <row r="679" spans="12:12">
      <c r="L679" s="927"/>
    </row>
    <row r="680" spans="12:12">
      <c r="L680" s="927"/>
    </row>
    <row r="681" spans="12:12">
      <c r="L681" s="927"/>
    </row>
    <row r="682" spans="12:12">
      <c r="L682" s="927"/>
    </row>
    <row r="683" spans="12:12">
      <c r="L683" s="927"/>
    </row>
    <row r="684" spans="12:12">
      <c r="L684" s="927"/>
    </row>
    <row r="685" spans="12:12">
      <c r="L685" s="927"/>
    </row>
    <row r="686" spans="12:12">
      <c r="L686" s="927"/>
    </row>
    <row r="687" spans="12:12">
      <c r="L687" s="927"/>
    </row>
    <row r="688" spans="12:12">
      <c r="L688" s="927"/>
    </row>
    <row r="689" spans="12:12">
      <c r="L689" s="927"/>
    </row>
    <row r="690" spans="12:12">
      <c r="L690" s="927"/>
    </row>
    <row r="691" spans="12:12">
      <c r="L691" s="927"/>
    </row>
    <row r="692" spans="12:12">
      <c r="L692" s="927"/>
    </row>
    <row r="693" spans="12:12">
      <c r="L693" s="927"/>
    </row>
    <row r="694" spans="12:12">
      <c r="L694" s="927"/>
    </row>
    <row r="695" spans="12:12">
      <c r="L695" s="927"/>
    </row>
    <row r="696" spans="12:12">
      <c r="L696" s="927"/>
    </row>
    <row r="697" spans="12:12">
      <c r="L697" s="927"/>
    </row>
    <row r="698" spans="12:12">
      <c r="L698" s="927"/>
    </row>
    <row r="699" spans="12:12">
      <c r="L699" s="927"/>
    </row>
    <row r="700" spans="12:12">
      <c r="L700" s="927"/>
    </row>
    <row r="701" spans="12:12">
      <c r="L701" s="927"/>
    </row>
    <row r="702" spans="12:12">
      <c r="L702" s="927"/>
    </row>
    <row r="703" spans="12:12">
      <c r="L703" s="927"/>
    </row>
    <row r="704" spans="12:12">
      <c r="L704" s="927"/>
    </row>
    <row r="705" spans="12:12">
      <c r="L705" s="927"/>
    </row>
    <row r="706" spans="12:12">
      <c r="L706" s="927"/>
    </row>
    <row r="707" spans="12:12">
      <c r="L707" s="927"/>
    </row>
    <row r="708" spans="12:12">
      <c r="L708" s="927"/>
    </row>
    <row r="709" spans="12:12">
      <c r="L709" s="927"/>
    </row>
    <row r="710" spans="12:12">
      <c r="L710" s="927"/>
    </row>
    <row r="711" spans="12:12">
      <c r="L711" s="927"/>
    </row>
    <row r="712" spans="12:12">
      <c r="L712" s="927"/>
    </row>
    <row r="713" spans="12:12">
      <c r="L713" s="927"/>
    </row>
    <row r="714" spans="12:12">
      <c r="L714" s="927"/>
    </row>
    <row r="715" spans="12:12">
      <c r="L715" s="927"/>
    </row>
    <row r="716" spans="12:12">
      <c r="L716" s="927"/>
    </row>
    <row r="717" spans="12:12">
      <c r="L717" s="927"/>
    </row>
    <row r="718" spans="12:12">
      <c r="L718" s="927"/>
    </row>
    <row r="719" spans="12:12">
      <c r="L719" s="927"/>
    </row>
    <row r="720" spans="12:12">
      <c r="L720" s="927"/>
    </row>
    <row r="721" spans="12:12">
      <c r="L721" s="927"/>
    </row>
    <row r="722" spans="12:12">
      <c r="L722" s="927"/>
    </row>
    <row r="723" spans="12:12">
      <c r="L723" s="927"/>
    </row>
    <row r="724" spans="12:12">
      <c r="L724" s="927"/>
    </row>
    <row r="725" spans="12:12">
      <c r="L725" s="927"/>
    </row>
    <row r="726" spans="12:12">
      <c r="L726" s="927"/>
    </row>
    <row r="727" spans="12:12">
      <c r="L727" s="927"/>
    </row>
    <row r="728" spans="12:12">
      <c r="L728" s="927"/>
    </row>
    <row r="729" spans="12:12">
      <c r="L729" s="927"/>
    </row>
    <row r="730" spans="12:12">
      <c r="L730" s="927"/>
    </row>
    <row r="731" spans="12:12">
      <c r="L731" s="927"/>
    </row>
    <row r="732" spans="12:12">
      <c r="L732" s="927"/>
    </row>
    <row r="733" spans="12:12">
      <c r="L733" s="927"/>
    </row>
    <row r="734" spans="12:12">
      <c r="L734" s="927"/>
    </row>
    <row r="735" spans="12:12">
      <c r="L735" s="927"/>
    </row>
    <row r="736" spans="12:12">
      <c r="L736" s="927"/>
    </row>
    <row r="737" spans="12:12">
      <c r="L737" s="927"/>
    </row>
    <row r="738" spans="12:12">
      <c r="L738" s="927"/>
    </row>
    <row r="739" spans="12:12">
      <c r="L739" s="927"/>
    </row>
    <row r="740" spans="12:12">
      <c r="L740" s="927"/>
    </row>
    <row r="741" spans="12:12">
      <c r="L741" s="927"/>
    </row>
    <row r="742" spans="12:12">
      <c r="L742" s="927"/>
    </row>
    <row r="743" spans="12:12">
      <c r="L743" s="927"/>
    </row>
    <row r="744" spans="12:12">
      <c r="L744" s="927"/>
    </row>
    <row r="745" spans="12:12">
      <c r="L745" s="927"/>
    </row>
    <row r="746" spans="12:12">
      <c r="L746" s="927"/>
    </row>
    <row r="747" spans="12:12">
      <c r="L747" s="927"/>
    </row>
    <row r="748" spans="12:12">
      <c r="L748" s="927"/>
    </row>
    <row r="749" spans="12:12">
      <c r="L749" s="927"/>
    </row>
    <row r="750" spans="12:12">
      <c r="L750" s="927"/>
    </row>
    <row r="751" spans="12:12">
      <c r="L751" s="927"/>
    </row>
    <row r="752" spans="12:12">
      <c r="L752" s="927"/>
    </row>
    <row r="753" spans="1:12">
      <c r="L753" s="927"/>
    </row>
    <row r="754" spans="1:12">
      <c r="L754" s="927"/>
    </row>
    <row r="755" spans="1:12">
      <c r="L755" s="927"/>
    </row>
    <row r="756" spans="1:12">
      <c r="L756" s="927"/>
    </row>
    <row r="757" spans="1:12">
      <c r="L757" s="927"/>
    </row>
    <row r="758" spans="1:12">
      <c r="L758" s="927"/>
    </row>
    <row r="759" spans="1:12">
      <c r="L759" s="927"/>
    </row>
    <row r="760" spans="1:12">
      <c r="L760" s="927"/>
    </row>
    <row r="761" spans="1:12">
      <c r="L761" s="927"/>
    </row>
    <row r="762" spans="1:12">
      <c r="L762" s="927"/>
    </row>
    <row r="763" spans="1:12">
      <c r="L763" s="927"/>
    </row>
    <row r="764" spans="1:12">
      <c r="L764" s="927"/>
    </row>
    <row r="765" spans="1:12">
      <c r="A765" s="567"/>
      <c r="B765" s="567"/>
      <c r="L765" s="927"/>
    </row>
    <row r="766" spans="1:12">
      <c r="L766" s="927"/>
    </row>
    <row r="767" spans="1:12">
      <c r="L767" s="927"/>
    </row>
    <row r="768" spans="1:12">
      <c r="L768" s="927"/>
    </row>
    <row r="769" spans="12:12">
      <c r="L769" s="927"/>
    </row>
    <row r="770" spans="12:12">
      <c r="L770" s="927"/>
    </row>
    <row r="771" spans="12:12">
      <c r="L771" s="927"/>
    </row>
    <row r="772" spans="12:12">
      <c r="L772" s="927"/>
    </row>
    <row r="773" spans="12:12">
      <c r="L773" s="927"/>
    </row>
    <row r="774" spans="12:12">
      <c r="L774" s="927"/>
    </row>
    <row r="775" spans="12:12">
      <c r="L775" s="927"/>
    </row>
    <row r="776" spans="12:12">
      <c r="L776" s="927"/>
    </row>
    <row r="777" spans="12:12">
      <c r="L777" s="927"/>
    </row>
    <row r="778" spans="12:12">
      <c r="L778" s="927"/>
    </row>
    <row r="779" spans="12:12">
      <c r="L779" s="927"/>
    </row>
    <row r="780" spans="12:12">
      <c r="L780" s="927"/>
    </row>
    <row r="781" spans="12:12">
      <c r="L781" s="927"/>
    </row>
    <row r="782" spans="12:12">
      <c r="L782" s="927"/>
    </row>
    <row r="783" spans="12:12">
      <c r="L783" s="927"/>
    </row>
    <row r="784" spans="12:12">
      <c r="L784" s="927"/>
    </row>
    <row r="785" spans="12:12">
      <c r="L785" s="927"/>
    </row>
    <row r="786" spans="12:12">
      <c r="L786" s="927"/>
    </row>
    <row r="787" spans="12:12">
      <c r="L787" s="927"/>
    </row>
    <row r="788" spans="12:12">
      <c r="L788" s="927"/>
    </row>
    <row r="789" spans="12:12">
      <c r="L789" s="927"/>
    </row>
    <row r="790" spans="12:12">
      <c r="L790" s="927"/>
    </row>
    <row r="791" spans="12:12">
      <c r="L791" s="927"/>
    </row>
    <row r="792" spans="12:12">
      <c r="L792" s="927"/>
    </row>
    <row r="793" spans="12:12">
      <c r="L793" s="927"/>
    </row>
    <row r="794" spans="12:12">
      <c r="L794" s="927"/>
    </row>
    <row r="795" spans="12:12">
      <c r="L795" s="927"/>
    </row>
    <row r="796" spans="12:12">
      <c r="L796" s="927"/>
    </row>
    <row r="797" spans="12:12">
      <c r="L797" s="927"/>
    </row>
    <row r="798" spans="12:12">
      <c r="L798" s="927"/>
    </row>
    <row r="799" spans="12:12">
      <c r="L799" s="927"/>
    </row>
    <row r="800" spans="12:12">
      <c r="L800" s="927"/>
    </row>
    <row r="801" spans="1:12" s="567" customFormat="1">
      <c r="A801" s="565"/>
      <c r="B801" s="565"/>
      <c r="C801" s="565"/>
      <c r="D801" s="565"/>
      <c r="E801" s="775"/>
      <c r="F801" s="572"/>
      <c r="G801" s="779"/>
      <c r="H801" s="605"/>
      <c r="I801" s="605"/>
      <c r="J801" s="605"/>
      <c r="K801" s="605"/>
      <c r="L801" s="927"/>
    </row>
    <row r="802" spans="1:12">
      <c r="L802" s="927"/>
    </row>
    <row r="803" spans="1:12">
      <c r="L803" s="927"/>
    </row>
    <row r="804" spans="1:12">
      <c r="L804" s="927"/>
    </row>
    <row r="805" spans="1:12">
      <c r="L805" s="927"/>
    </row>
    <row r="806" spans="1:12">
      <c r="L806" s="927"/>
    </row>
    <row r="807" spans="1:12">
      <c r="L807" s="927"/>
    </row>
    <row r="808" spans="1:12">
      <c r="L808" s="927"/>
    </row>
    <row r="809" spans="1:12">
      <c r="L809" s="927"/>
    </row>
    <row r="810" spans="1:12">
      <c r="L810" s="927"/>
    </row>
    <row r="811" spans="1:12">
      <c r="L811" s="927"/>
    </row>
    <row r="812" spans="1:12">
      <c r="L812" s="927"/>
    </row>
    <row r="813" spans="1:12">
      <c r="L813" s="927"/>
    </row>
    <row r="814" spans="1:12">
      <c r="L814" s="927"/>
    </row>
    <row r="815" spans="1:12">
      <c r="L815" s="927"/>
    </row>
    <row r="816" spans="1:12">
      <c r="L816" s="927"/>
    </row>
    <row r="817" spans="12:12">
      <c r="L817" s="927"/>
    </row>
    <row r="818" spans="12:12">
      <c r="L818" s="927"/>
    </row>
    <row r="819" spans="12:12">
      <c r="L819" s="927"/>
    </row>
    <row r="820" spans="12:12">
      <c r="L820" s="927"/>
    </row>
    <row r="821" spans="12:12">
      <c r="L821" s="927"/>
    </row>
    <row r="822" spans="12:12">
      <c r="L822" s="927"/>
    </row>
    <row r="823" spans="12:12">
      <c r="L823" s="927"/>
    </row>
    <row r="824" spans="12:12">
      <c r="L824" s="927"/>
    </row>
    <row r="825" spans="12:12">
      <c r="L825" s="927"/>
    </row>
    <row r="826" spans="12:12">
      <c r="L826" s="927"/>
    </row>
    <row r="827" spans="12:12">
      <c r="L827" s="927"/>
    </row>
    <row r="828" spans="12:12">
      <c r="L828" s="927"/>
    </row>
    <row r="829" spans="12:12">
      <c r="L829" s="927"/>
    </row>
    <row r="830" spans="12:12">
      <c r="L830" s="927"/>
    </row>
    <row r="831" spans="12:12">
      <c r="L831" s="927"/>
    </row>
    <row r="832" spans="12:12">
      <c r="L832" s="927"/>
    </row>
    <row r="833" spans="12:12">
      <c r="L833" s="927"/>
    </row>
    <row r="834" spans="12:12">
      <c r="L834" s="927"/>
    </row>
    <row r="835" spans="12:12">
      <c r="L835" s="927"/>
    </row>
    <row r="836" spans="12:12">
      <c r="L836" s="927"/>
    </row>
    <row r="837" spans="12:12">
      <c r="L837" s="927"/>
    </row>
    <row r="838" spans="12:12">
      <c r="L838" s="927"/>
    </row>
    <row r="839" spans="12:12">
      <c r="L839" s="927"/>
    </row>
    <row r="840" spans="12:12">
      <c r="L840" s="927"/>
    </row>
    <row r="841" spans="12:12">
      <c r="L841" s="927"/>
    </row>
    <row r="842" spans="12:12">
      <c r="L842" s="927"/>
    </row>
    <row r="843" spans="12:12">
      <c r="L843" s="927"/>
    </row>
    <row r="844" spans="12:12">
      <c r="L844" s="927"/>
    </row>
    <row r="845" spans="12:12">
      <c r="L845" s="927"/>
    </row>
    <row r="846" spans="12:12">
      <c r="L846" s="927"/>
    </row>
    <row r="847" spans="12:12">
      <c r="L847" s="927"/>
    </row>
    <row r="848" spans="12:12">
      <c r="L848" s="927"/>
    </row>
    <row r="849" spans="12:12">
      <c r="L849" s="927"/>
    </row>
    <row r="850" spans="12:12">
      <c r="L850" s="927"/>
    </row>
    <row r="851" spans="12:12">
      <c r="L851" s="927"/>
    </row>
    <row r="852" spans="12:12">
      <c r="L852" s="927"/>
    </row>
    <row r="853" spans="12:12">
      <c r="L853" s="927"/>
    </row>
    <row r="854" spans="12:12">
      <c r="L854" s="927"/>
    </row>
    <row r="855" spans="12:12">
      <c r="L855" s="927"/>
    </row>
    <row r="856" spans="12:12">
      <c r="L856" s="927"/>
    </row>
    <row r="857" spans="12:12">
      <c r="L857" s="927"/>
    </row>
    <row r="858" spans="12:12">
      <c r="L858" s="927"/>
    </row>
    <row r="859" spans="12:12">
      <c r="L859" s="927"/>
    </row>
    <row r="860" spans="12:12">
      <c r="L860" s="927"/>
    </row>
    <row r="861" spans="12:12">
      <c r="L861" s="927"/>
    </row>
    <row r="862" spans="12:12">
      <c r="L862" s="930"/>
    </row>
    <row r="863" spans="12:12">
      <c r="L863" s="927"/>
    </row>
    <row r="864" spans="12:12">
      <c r="L864" s="927"/>
    </row>
    <row r="865" spans="12:12">
      <c r="L865" s="927"/>
    </row>
    <row r="866" spans="12:12">
      <c r="L866" s="927"/>
    </row>
    <row r="867" spans="12:12">
      <c r="L867" s="927"/>
    </row>
    <row r="868" spans="12:12">
      <c r="L868" s="927"/>
    </row>
    <row r="869" spans="12:12">
      <c r="L869" s="927"/>
    </row>
    <row r="870" spans="12:12">
      <c r="L870" s="927"/>
    </row>
    <row r="871" spans="12:12">
      <c r="L871" s="927"/>
    </row>
    <row r="872" spans="12:12">
      <c r="L872" s="927"/>
    </row>
    <row r="873" spans="12:12">
      <c r="L873" s="927"/>
    </row>
    <row r="874" spans="12:12">
      <c r="L874" s="927"/>
    </row>
    <row r="875" spans="12:12">
      <c r="L875" s="927"/>
    </row>
    <row r="876" spans="12:12">
      <c r="L876" s="927"/>
    </row>
    <row r="877" spans="12:12">
      <c r="L877" s="927"/>
    </row>
    <row r="878" spans="12:12">
      <c r="L878" s="927"/>
    </row>
    <row r="879" spans="12:12">
      <c r="L879" s="927"/>
    </row>
    <row r="880" spans="12:12">
      <c r="L880" s="927"/>
    </row>
    <row r="881" spans="12:12">
      <c r="L881" s="927"/>
    </row>
    <row r="882" spans="12:12">
      <c r="L882" s="927"/>
    </row>
    <row r="883" spans="12:12">
      <c r="L883" s="927"/>
    </row>
    <row r="884" spans="12:12">
      <c r="L884" s="927"/>
    </row>
    <row r="885" spans="12:12">
      <c r="L885" s="927"/>
    </row>
    <row r="886" spans="12:12">
      <c r="L886" s="927"/>
    </row>
    <row r="887" spans="12:12">
      <c r="L887" s="927"/>
    </row>
    <row r="888" spans="12:12">
      <c r="L888" s="927"/>
    </row>
    <row r="889" spans="12:12">
      <c r="L889" s="927"/>
    </row>
    <row r="890" spans="12:12">
      <c r="L890" s="927"/>
    </row>
    <row r="891" spans="12:12">
      <c r="L891" s="927"/>
    </row>
    <row r="892" spans="12:12">
      <c r="L892" s="927"/>
    </row>
    <row r="893" spans="12:12">
      <c r="L893" s="927"/>
    </row>
    <row r="894" spans="12:12">
      <c r="L894" s="927"/>
    </row>
    <row r="895" spans="12:12">
      <c r="L895" s="927"/>
    </row>
    <row r="896" spans="12:12">
      <c r="L896" s="927"/>
    </row>
    <row r="897" spans="12:12">
      <c r="L897" s="927"/>
    </row>
    <row r="898" spans="12:12">
      <c r="L898" s="927"/>
    </row>
    <row r="899" spans="12:12">
      <c r="L899" s="927"/>
    </row>
    <row r="900" spans="12:12">
      <c r="L900" s="927"/>
    </row>
    <row r="901" spans="12:12">
      <c r="L901" s="927"/>
    </row>
    <row r="902" spans="12:12">
      <c r="L902" s="927"/>
    </row>
    <row r="903" spans="12:12">
      <c r="L903" s="927"/>
    </row>
    <row r="904" spans="12:12">
      <c r="L904" s="927"/>
    </row>
    <row r="905" spans="12:12">
      <c r="L905" s="927"/>
    </row>
    <row r="906" spans="12:12">
      <c r="L906" s="927"/>
    </row>
    <row r="907" spans="12:12">
      <c r="L907" s="927"/>
    </row>
    <row r="908" spans="12:12">
      <c r="L908" s="927"/>
    </row>
    <row r="909" spans="12:12">
      <c r="L909" s="927"/>
    </row>
    <row r="910" spans="12:12">
      <c r="L910" s="927"/>
    </row>
    <row r="911" spans="12:12">
      <c r="L911" s="927"/>
    </row>
    <row r="912" spans="12:12">
      <c r="L912" s="927"/>
    </row>
    <row r="913" spans="12:12">
      <c r="L913" s="927"/>
    </row>
    <row r="914" spans="12:12">
      <c r="L914" s="927"/>
    </row>
    <row r="915" spans="12:12">
      <c r="L915" s="927"/>
    </row>
    <row r="916" spans="12:12">
      <c r="L916" s="927"/>
    </row>
    <row r="917" spans="12:12">
      <c r="L917" s="927"/>
    </row>
    <row r="918" spans="12:12">
      <c r="L918" s="927"/>
    </row>
    <row r="919" spans="12:12">
      <c r="L919" s="927"/>
    </row>
    <row r="920" spans="12:12">
      <c r="L920" s="927"/>
    </row>
    <row r="921" spans="12:12">
      <c r="L921" s="927"/>
    </row>
    <row r="922" spans="12:12">
      <c r="L922" s="927"/>
    </row>
    <row r="923" spans="12:12">
      <c r="L923" s="927"/>
    </row>
    <row r="924" spans="12:12">
      <c r="L924" s="927"/>
    </row>
    <row r="925" spans="12:12">
      <c r="L925" s="927"/>
    </row>
    <row r="926" spans="12:12">
      <c r="L926" s="927"/>
    </row>
    <row r="927" spans="12:12">
      <c r="L927" s="927"/>
    </row>
    <row r="928" spans="12:12">
      <c r="L928" s="927"/>
    </row>
    <row r="929" spans="12:12">
      <c r="L929" s="927"/>
    </row>
    <row r="930" spans="12:12">
      <c r="L930" s="927"/>
    </row>
    <row r="931" spans="12:12">
      <c r="L931" s="927"/>
    </row>
    <row r="932" spans="12:12">
      <c r="L932" s="927"/>
    </row>
    <row r="933" spans="12:12">
      <c r="L933" s="927"/>
    </row>
    <row r="934" spans="12:12">
      <c r="L934" s="927"/>
    </row>
    <row r="935" spans="12:12">
      <c r="L935" s="927"/>
    </row>
    <row r="936" spans="12:12">
      <c r="L936" s="927"/>
    </row>
    <row r="937" spans="12:12">
      <c r="L937" s="927"/>
    </row>
    <row r="938" spans="12:12">
      <c r="L938" s="927"/>
    </row>
    <row r="939" spans="12:12">
      <c r="L939" s="927"/>
    </row>
    <row r="940" spans="12:12">
      <c r="L940" s="927"/>
    </row>
    <row r="941" spans="12:12">
      <c r="L941" s="927"/>
    </row>
    <row r="942" spans="12:12">
      <c r="L942" s="927"/>
    </row>
    <row r="943" spans="12:12">
      <c r="L943" s="927"/>
    </row>
    <row r="944" spans="12:12">
      <c r="L944" s="927"/>
    </row>
    <row r="945" spans="12:12">
      <c r="L945" s="927"/>
    </row>
    <row r="946" spans="12:12">
      <c r="L946" s="927"/>
    </row>
    <row r="947" spans="12:12">
      <c r="L947" s="927"/>
    </row>
    <row r="948" spans="12:12">
      <c r="L948" s="927"/>
    </row>
    <row r="949" spans="12:12">
      <c r="L949" s="927"/>
    </row>
    <row r="950" spans="12:12">
      <c r="L950" s="927"/>
    </row>
    <row r="951" spans="12:12">
      <c r="L951" s="927"/>
    </row>
    <row r="952" spans="12:12">
      <c r="L952" s="927"/>
    </row>
    <row r="953" spans="12:12">
      <c r="L953" s="927"/>
    </row>
    <row r="954" spans="12:12">
      <c r="L954" s="927"/>
    </row>
    <row r="955" spans="12:12">
      <c r="L955" s="927"/>
    </row>
    <row r="956" spans="12:12">
      <c r="L956" s="927"/>
    </row>
    <row r="957" spans="12:12">
      <c r="L957" s="927"/>
    </row>
    <row r="958" spans="12:12">
      <c r="L958" s="927"/>
    </row>
    <row r="959" spans="12:12">
      <c r="L959" s="927"/>
    </row>
    <row r="960" spans="12:12">
      <c r="L960" s="927"/>
    </row>
    <row r="961" spans="12:12">
      <c r="L961" s="927"/>
    </row>
    <row r="962" spans="12:12">
      <c r="L962" s="927"/>
    </row>
    <row r="963" spans="12:12">
      <c r="L963" s="927"/>
    </row>
    <row r="964" spans="12:12">
      <c r="L964" s="927"/>
    </row>
    <row r="965" spans="12:12">
      <c r="L965" s="927"/>
    </row>
    <row r="966" spans="12:12">
      <c r="L966" s="927"/>
    </row>
    <row r="967" spans="12:12">
      <c r="L967" s="927"/>
    </row>
    <row r="968" spans="12:12">
      <c r="L968" s="927"/>
    </row>
    <row r="969" spans="12:12">
      <c r="L969" s="927"/>
    </row>
    <row r="970" spans="12:12">
      <c r="L970" s="927"/>
    </row>
    <row r="971" spans="12:12">
      <c r="L971" s="927"/>
    </row>
    <row r="972" spans="12:12">
      <c r="L972" s="927"/>
    </row>
    <row r="973" spans="12:12">
      <c r="L973" s="927"/>
    </row>
    <row r="974" spans="12:12">
      <c r="L974" s="927"/>
    </row>
    <row r="975" spans="12:12">
      <c r="L975" s="927"/>
    </row>
    <row r="976" spans="12:12">
      <c r="L976" s="927"/>
    </row>
    <row r="977" spans="12:12">
      <c r="L977" s="927"/>
    </row>
    <row r="978" spans="12:12">
      <c r="L978" s="927"/>
    </row>
    <row r="979" spans="12:12">
      <c r="L979" s="927"/>
    </row>
    <row r="980" spans="12:12">
      <c r="L980" s="927"/>
    </row>
    <row r="981" spans="12:12">
      <c r="L981" s="927"/>
    </row>
    <row r="982" spans="12:12">
      <c r="L982" s="927"/>
    </row>
    <row r="983" spans="12:12">
      <c r="L983" s="927"/>
    </row>
    <row r="984" spans="12:12">
      <c r="L984" s="927"/>
    </row>
    <row r="985" spans="12:12">
      <c r="L985" s="927"/>
    </row>
    <row r="986" spans="12:12">
      <c r="L986" s="927"/>
    </row>
    <row r="987" spans="12:12">
      <c r="L987" s="927"/>
    </row>
    <row r="988" spans="12:12">
      <c r="L988" s="927"/>
    </row>
    <row r="989" spans="12:12">
      <c r="L989" s="927"/>
    </row>
    <row r="990" spans="12:12">
      <c r="L990" s="927"/>
    </row>
    <row r="991" spans="12:12">
      <c r="L991" s="927"/>
    </row>
    <row r="992" spans="12:12">
      <c r="L992" s="927"/>
    </row>
    <row r="993" spans="12:12">
      <c r="L993" s="927"/>
    </row>
    <row r="994" spans="12:12">
      <c r="L994" s="927"/>
    </row>
    <row r="995" spans="12:12">
      <c r="L995" s="927"/>
    </row>
    <row r="996" spans="12:12">
      <c r="L996" s="927"/>
    </row>
    <row r="997" spans="12:12">
      <c r="L997" s="927"/>
    </row>
    <row r="998" spans="12:12">
      <c r="L998" s="927"/>
    </row>
    <row r="999" spans="12:12">
      <c r="L999" s="927"/>
    </row>
    <row r="1000" spans="12:12">
      <c r="L1000" s="927"/>
    </row>
    <row r="1001" spans="12:12">
      <c r="L1001" s="927"/>
    </row>
    <row r="1002" spans="12:12">
      <c r="L1002" s="927"/>
    </row>
    <row r="1003" spans="12:12">
      <c r="L1003" s="927"/>
    </row>
    <row r="1004" spans="12:12">
      <c r="L1004" s="927"/>
    </row>
    <row r="1005" spans="12:12">
      <c r="L1005" s="927"/>
    </row>
    <row r="1006" spans="12:12">
      <c r="L1006" s="927"/>
    </row>
    <row r="1007" spans="12:12">
      <c r="L1007" s="927"/>
    </row>
    <row r="1008" spans="12:12">
      <c r="L1008" s="927"/>
    </row>
    <row r="1009" spans="12:12">
      <c r="L1009" s="927"/>
    </row>
    <row r="1010" spans="12:12">
      <c r="L1010" s="927"/>
    </row>
    <row r="1011" spans="12:12">
      <c r="L1011" s="927"/>
    </row>
    <row r="1012" spans="12:12">
      <c r="L1012" s="927"/>
    </row>
    <row r="1013" spans="12:12">
      <c r="L1013" s="927"/>
    </row>
    <row r="1014" spans="12:12">
      <c r="L1014" s="927"/>
    </row>
    <row r="1015" spans="12:12">
      <c r="L1015" s="927"/>
    </row>
    <row r="1016" spans="12:12">
      <c r="L1016" s="927"/>
    </row>
    <row r="1017" spans="12:12">
      <c r="L1017" s="927"/>
    </row>
    <row r="1018" spans="12:12">
      <c r="L1018" s="927"/>
    </row>
    <row r="1019" spans="12:12">
      <c r="L1019" s="927"/>
    </row>
    <row r="1020" spans="12:12">
      <c r="L1020" s="927"/>
    </row>
    <row r="1021" spans="12:12">
      <c r="L1021" s="927"/>
    </row>
    <row r="1022" spans="12:12">
      <c r="L1022" s="927"/>
    </row>
    <row r="1023" spans="12:12">
      <c r="L1023" s="927"/>
    </row>
    <row r="1024" spans="12:12">
      <c r="L1024" s="927"/>
    </row>
    <row r="1025" spans="12:12">
      <c r="L1025" s="927"/>
    </row>
    <row r="1026" spans="12:12">
      <c r="L1026" s="927"/>
    </row>
    <row r="1027" spans="12:12">
      <c r="L1027" s="927"/>
    </row>
    <row r="1028" spans="12:12">
      <c r="L1028" s="927"/>
    </row>
    <row r="1029" spans="12:12">
      <c r="L1029" s="930"/>
    </row>
    <row r="1030" spans="12:12">
      <c r="L1030" s="927"/>
    </row>
    <row r="1031" spans="12:12">
      <c r="L1031" s="927"/>
    </row>
    <row r="1032" spans="12:12">
      <c r="L1032" s="927"/>
    </row>
    <row r="1033" spans="12:12">
      <c r="L1033" s="927"/>
    </row>
    <row r="1034" spans="12:12">
      <c r="L1034" s="927"/>
    </row>
    <row r="1035" spans="12:12">
      <c r="L1035" s="927"/>
    </row>
    <row r="1036" spans="12:12">
      <c r="L1036" s="927"/>
    </row>
    <row r="1037" spans="12:12">
      <c r="L1037" s="927"/>
    </row>
    <row r="1038" spans="12:12">
      <c r="L1038" s="927"/>
    </row>
    <row r="1039" spans="12:12">
      <c r="L1039" s="927"/>
    </row>
    <row r="1040" spans="12:12">
      <c r="L1040" s="927"/>
    </row>
    <row r="1041" spans="12:12">
      <c r="L1041" s="927"/>
    </row>
    <row r="1042" spans="12:12">
      <c r="L1042" s="927"/>
    </row>
    <row r="1043" spans="12:12">
      <c r="L1043" s="927"/>
    </row>
    <row r="1044" spans="12:12">
      <c r="L1044" s="927"/>
    </row>
    <row r="1045" spans="12:12">
      <c r="L1045" s="927"/>
    </row>
    <row r="1046" spans="12:12">
      <c r="L1046" s="927"/>
    </row>
    <row r="1047" spans="12:12">
      <c r="L1047" s="927"/>
    </row>
    <row r="1048" spans="12:12">
      <c r="L1048" s="927"/>
    </row>
    <row r="1049" spans="12:12">
      <c r="L1049" s="927"/>
    </row>
    <row r="1050" spans="12:12">
      <c r="L1050" s="927"/>
    </row>
    <row r="1051" spans="12:12">
      <c r="L1051" s="927"/>
    </row>
    <row r="1052" spans="12:12">
      <c r="L1052" s="927"/>
    </row>
    <row r="1053" spans="12:12">
      <c r="L1053" s="927"/>
    </row>
    <row r="1054" spans="12:12">
      <c r="L1054" s="927"/>
    </row>
    <row r="1055" spans="12:12">
      <c r="L1055" s="927"/>
    </row>
    <row r="1056" spans="12:12">
      <c r="L1056" s="927"/>
    </row>
    <row r="1057" spans="12:12">
      <c r="L1057" s="927"/>
    </row>
    <row r="1058" spans="12:12">
      <c r="L1058" s="927"/>
    </row>
    <row r="1059" spans="12:12">
      <c r="L1059" s="927"/>
    </row>
    <row r="1060" spans="12:12">
      <c r="L1060" s="927"/>
    </row>
    <row r="1061" spans="12:12">
      <c r="L1061" s="927"/>
    </row>
    <row r="1062" spans="12:12">
      <c r="L1062" s="927"/>
    </row>
    <row r="1063" spans="12:12">
      <c r="L1063" s="927"/>
    </row>
    <row r="1064" spans="12:12">
      <c r="L1064" s="927"/>
    </row>
    <row r="1065" spans="12:12">
      <c r="L1065" s="927"/>
    </row>
    <row r="1066" spans="12:12">
      <c r="L1066" s="927"/>
    </row>
    <row r="1067" spans="12:12">
      <c r="L1067" s="927"/>
    </row>
    <row r="1068" spans="12:12">
      <c r="L1068" s="927"/>
    </row>
    <row r="1069" spans="12:12">
      <c r="L1069" s="927"/>
    </row>
    <row r="1070" spans="12:12">
      <c r="L1070" s="927"/>
    </row>
    <row r="1071" spans="12:12">
      <c r="L1071" s="927"/>
    </row>
    <row r="1072" spans="12:12">
      <c r="L1072" s="927"/>
    </row>
    <row r="1073" spans="12:12">
      <c r="L1073" s="927"/>
    </row>
    <row r="1074" spans="12:12">
      <c r="L1074" s="927"/>
    </row>
    <row r="1075" spans="12:12">
      <c r="L1075" s="927"/>
    </row>
    <row r="1076" spans="12:12">
      <c r="L1076" s="927"/>
    </row>
    <row r="1077" spans="12:12">
      <c r="L1077" s="927"/>
    </row>
    <row r="1078" spans="12:12">
      <c r="L1078" s="927"/>
    </row>
    <row r="1079" spans="12:12">
      <c r="L1079" s="927"/>
    </row>
    <row r="1080" spans="12:12">
      <c r="L1080" s="927"/>
    </row>
    <row r="1081" spans="12:12">
      <c r="L1081" s="927"/>
    </row>
    <row r="1082" spans="12:12">
      <c r="L1082" s="927"/>
    </row>
    <row r="1083" spans="12:12">
      <c r="L1083" s="927"/>
    </row>
    <row r="1084" spans="12:12">
      <c r="L1084" s="927"/>
    </row>
    <row r="1085" spans="12:12">
      <c r="L1085" s="927"/>
    </row>
    <row r="1086" spans="12:12">
      <c r="L1086" s="927"/>
    </row>
    <row r="1087" spans="12:12">
      <c r="L1087" s="927"/>
    </row>
    <row r="1088" spans="12:12">
      <c r="L1088" s="927"/>
    </row>
    <row r="1089" spans="12:12">
      <c r="L1089" s="927"/>
    </row>
    <row r="1090" spans="12:12">
      <c r="L1090" s="927"/>
    </row>
    <row r="1091" spans="12:12">
      <c r="L1091" s="927"/>
    </row>
    <row r="1092" spans="12:12">
      <c r="L1092" s="927"/>
    </row>
    <row r="1093" spans="12:12">
      <c r="L1093" s="927"/>
    </row>
    <row r="1094" spans="12:12">
      <c r="L1094" s="927"/>
    </row>
    <row r="1095" spans="12:12">
      <c r="L1095" s="927"/>
    </row>
    <row r="1096" spans="12:12">
      <c r="L1096" s="927"/>
    </row>
    <row r="1097" spans="12:12">
      <c r="L1097" s="927"/>
    </row>
    <row r="1098" spans="12:12">
      <c r="L1098" s="927"/>
    </row>
    <row r="1099" spans="12:12">
      <c r="L1099" s="927"/>
    </row>
    <row r="1100" spans="12:12">
      <c r="L1100" s="927"/>
    </row>
    <row r="1101" spans="12:12">
      <c r="L1101" s="927"/>
    </row>
    <row r="1102" spans="12:12">
      <c r="L1102" s="927"/>
    </row>
    <row r="1103" spans="12:12">
      <c r="L1103" s="927"/>
    </row>
    <row r="1104" spans="12:12">
      <c r="L1104" s="927"/>
    </row>
    <row r="1105" spans="12:12">
      <c r="L1105" s="927"/>
    </row>
    <row r="1106" spans="12:12">
      <c r="L1106" s="927"/>
    </row>
    <row r="1107" spans="12:12">
      <c r="L1107" s="927"/>
    </row>
    <row r="1108" spans="12:12">
      <c r="L1108" s="927"/>
    </row>
    <row r="1109" spans="12:12">
      <c r="L1109" s="927"/>
    </row>
    <row r="1110" spans="12:12">
      <c r="L1110" s="927"/>
    </row>
    <row r="1111" spans="12:12">
      <c r="L1111" s="927"/>
    </row>
    <row r="1112" spans="12:12">
      <c r="L1112" s="927"/>
    </row>
    <row r="1113" spans="12:12">
      <c r="L1113" s="927"/>
    </row>
    <row r="1114" spans="12:12">
      <c r="L1114" s="927"/>
    </row>
    <row r="1115" spans="12:12">
      <c r="L1115" s="927"/>
    </row>
    <row r="1116" spans="12:12">
      <c r="L1116" s="927"/>
    </row>
    <row r="1117" spans="12:12">
      <c r="L1117" s="927"/>
    </row>
    <row r="1118" spans="12:12">
      <c r="L1118" s="927"/>
    </row>
    <row r="1119" spans="12:12">
      <c r="L1119" s="927"/>
    </row>
    <row r="1120" spans="12:12">
      <c r="L1120" s="927"/>
    </row>
    <row r="1121" spans="12:12">
      <c r="L1121" s="927"/>
    </row>
    <row r="1122" spans="12:12">
      <c r="L1122" s="927"/>
    </row>
    <row r="1123" spans="12:12">
      <c r="L1123" s="927"/>
    </row>
    <row r="1124" spans="12:12">
      <c r="L1124" s="927"/>
    </row>
    <row r="1125" spans="12:12">
      <c r="L1125" s="927"/>
    </row>
    <row r="1126" spans="12:12">
      <c r="L1126" s="927"/>
    </row>
    <row r="1127" spans="12:12">
      <c r="L1127" s="927"/>
    </row>
    <row r="1128" spans="12:12">
      <c r="L1128" s="927"/>
    </row>
    <row r="1129" spans="12:12">
      <c r="L1129" s="927"/>
    </row>
    <row r="1130" spans="12:12">
      <c r="L1130" s="927"/>
    </row>
    <row r="1131" spans="12:12">
      <c r="L1131" s="927"/>
    </row>
    <row r="1132" spans="12:12">
      <c r="L1132" s="927"/>
    </row>
    <row r="1133" spans="12:12">
      <c r="L1133" s="927"/>
    </row>
    <row r="1134" spans="12:12">
      <c r="L1134" s="927"/>
    </row>
    <row r="1135" spans="12:12">
      <c r="L1135" s="927"/>
    </row>
    <row r="1136" spans="12:12">
      <c r="L1136" s="927"/>
    </row>
    <row r="1137" spans="12:12">
      <c r="L1137" s="927"/>
    </row>
    <row r="1138" spans="12:12">
      <c r="L1138" s="927"/>
    </row>
    <row r="1139" spans="12:12">
      <c r="L1139" s="927"/>
    </row>
    <row r="1140" spans="12:12">
      <c r="L1140" s="927"/>
    </row>
    <row r="1141" spans="12:12">
      <c r="L1141" s="927"/>
    </row>
    <row r="1142" spans="12:12">
      <c r="L1142" s="927"/>
    </row>
    <row r="1143" spans="12:12">
      <c r="L1143" s="927"/>
    </row>
    <row r="1144" spans="12:12">
      <c r="L1144" s="927"/>
    </row>
    <row r="1145" spans="12:12">
      <c r="L1145" s="927"/>
    </row>
    <row r="1146" spans="12:12">
      <c r="L1146" s="927"/>
    </row>
    <row r="1147" spans="12:12">
      <c r="L1147" s="927"/>
    </row>
    <row r="1148" spans="12:12">
      <c r="L1148" s="927"/>
    </row>
    <row r="1149" spans="12:12">
      <c r="L1149" s="927"/>
    </row>
    <row r="1150" spans="12:12">
      <c r="L1150" s="927"/>
    </row>
    <row r="1151" spans="12:12">
      <c r="L1151" s="927"/>
    </row>
    <row r="1152" spans="12:12">
      <c r="L1152" s="927"/>
    </row>
    <row r="1153" spans="12:12">
      <c r="L1153" s="927"/>
    </row>
    <row r="1154" spans="12:12">
      <c r="L1154" s="927"/>
    </row>
    <row r="1155" spans="12:12">
      <c r="L1155" s="927"/>
    </row>
    <row r="1156" spans="12:12">
      <c r="L1156" s="927"/>
    </row>
    <row r="1157" spans="12:12">
      <c r="L1157" s="927"/>
    </row>
    <row r="1158" spans="12:12">
      <c r="L1158" s="927"/>
    </row>
    <row r="1159" spans="12:12">
      <c r="L1159" s="927"/>
    </row>
    <row r="1160" spans="12:12">
      <c r="L1160" s="927"/>
    </row>
    <row r="1161" spans="12:12">
      <c r="L1161" s="927"/>
    </row>
    <row r="1162" spans="12:12">
      <c r="L1162" s="927"/>
    </row>
    <row r="1163" spans="12:12">
      <c r="L1163" s="930"/>
    </row>
    <row r="1164" spans="12:12">
      <c r="L1164" s="927"/>
    </row>
    <row r="1165" spans="12:12">
      <c r="L1165" s="927"/>
    </row>
    <row r="1166" spans="12:12">
      <c r="L1166" s="927"/>
    </row>
    <row r="1167" spans="12:12">
      <c r="L1167" s="927"/>
    </row>
    <row r="1168" spans="12:12">
      <c r="L1168" s="927"/>
    </row>
    <row r="1169" spans="12:12">
      <c r="L1169" s="927"/>
    </row>
    <row r="1170" spans="12:12">
      <c r="L1170" s="927"/>
    </row>
    <row r="1171" spans="12:12">
      <c r="L1171" s="927"/>
    </row>
    <row r="1172" spans="12:12">
      <c r="L1172" s="927"/>
    </row>
    <row r="1173" spans="12:12">
      <c r="L1173" s="927"/>
    </row>
    <row r="1174" spans="12:12">
      <c r="L1174" s="927"/>
    </row>
    <row r="1175" spans="12:12">
      <c r="L1175" s="927"/>
    </row>
    <row r="1176" spans="12:12">
      <c r="L1176" s="927"/>
    </row>
    <row r="1177" spans="12:12">
      <c r="L1177" s="927"/>
    </row>
    <row r="1178" spans="12:12">
      <c r="L1178" s="927"/>
    </row>
    <row r="1179" spans="12:12">
      <c r="L1179" s="927"/>
    </row>
    <row r="1180" spans="12:12">
      <c r="L1180" s="927"/>
    </row>
    <row r="1181" spans="12:12">
      <c r="L1181" s="927"/>
    </row>
    <row r="1182" spans="12:12">
      <c r="L1182" s="927"/>
    </row>
    <row r="1183" spans="12:12">
      <c r="L1183" s="927"/>
    </row>
    <row r="1184" spans="12:12">
      <c r="L1184" s="927"/>
    </row>
    <row r="1185" spans="12:12">
      <c r="L1185" s="927"/>
    </row>
    <row r="1186" spans="12:12">
      <c r="L1186" s="927"/>
    </row>
    <row r="1187" spans="12:12">
      <c r="L1187" s="927"/>
    </row>
    <row r="1188" spans="12:12">
      <c r="L1188" s="927"/>
    </row>
    <row r="1189" spans="12:12">
      <c r="L1189" s="927"/>
    </row>
    <row r="1190" spans="12:12">
      <c r="L1190" s="927"/>
    </row>
    <row r="1191" spans="12:12">
      <c r="L1191" s="927"/>
    </row>
    <row r="1192" spans="12:12">
      <c r="L1192" s="927"/>
    </row>
    <row r="1193" spans="12:12">
      <c r="L1193" s="927"/>
    </row>
    <row r="1194" spans="12:12">
      <c r="L1194" s="927"/>
    </row>
    <row r="1195" spans="12:12">
      <c r="L1195" s="927"/>
    </row>
    <row r="1196" spans="12:12">
      <c r="L1196" s="927"/>
    </row>
    <row r="1197" spans="12:12">
      <c r="L1197" s="927"/>
    </row>
    <row r="1198" spans="12:12">
      <c r="L1198" s="927"/>
    </row>
    <row r="1199" spans="12:12">
      <c r="L1199" s="927"/>
    </row>
    <row r="1200" spans="12:12">
      <c r="L1200" s="927"/>
    </row>
    <row r="1201" spans="12:12">
      <c r="L1201" s="927"/>
    </row>
    <row r="1202" spans="12:12">
      <c r="L1202" s="927"/>
    </row>
    <row r="1203" spans="12:12">
      <c r="L1203" s="927"/>
    </row>
    <row r="1204" spans="12:12">
      <c r="L1204" s="927"/>
    </row>
    <row r="1205" spans="12:12">
      <c r="L1205" s="927"/>
    </row>
    <row r="1206" spans="12:12">
      <c r="L1206" s="927"/>
    </row>
    <row r="1207" spans="12:12">
      <c r="L1207" s="927"/>
    </row>
    <row r="1208" spans="12:12">
      <c r="L1208" s="927"/>
    </row>
    <row r="1209" spans="12:12">
      <c r="L1209" s="927"/>
    </row>
    <row r="1210" spans="12:12">
      <c r="L1210" s="927"/>
    </row>
    <row r="1211" spans="12:12">
      <c r="L1211" s="927"/>
    </row>
    <row r="1212" spans="12:12">
      <c r="L1212" s="927"/>
    </row>
    <row r="1213" spans="12:12">
      <c r="L1213" s="927"/>
    </row>
    <row r="1214" spans="12:12">
      <c r="L1214" s="927"/>
    </row>
    <row r="1215" spans="12:12">
      <c r="L1215" s="927"/>
    </row>
    <row r="1216" spans="12:12">
      <c r="L1216" s="927"/>
    </row>
    <row r="1217" spans="12:12">
      <c r="L1217" s="927"/>
    </row>
    <row r="1218" spans="12:12">
      <c r="L1218" s="927"/>
    </row>
    <row r="1219" spans="12:12">
      <c r="L1219" s="927"/>
    </row>
    <row r="1220" spans="12:12">
      <c r="L1220" s="927"/>
    </row>
    <row r="1221" spans="12:12">
      <c r="L1221" s="927"/>
    </row>
    <row r="1222" spans="12:12">
      <c r="L1222" s="927"/>
    </row>
    <row r="1223" spans="12:12">
      <c r="L1223" s="927"/>
    </row>
    <row r="1224" spans="12:12">
      <c r="L1224" s="927"/>
    </row>
    <row r="1225" spans="12:12">
      <c r="L1225" s="927"/>
    </row>
    <row r="1226" spans="12:12">
      <c r="L1226" s="927"/>
    </row>
    <row r="1227" spans="12:12">
      <c r="L1227" s="927"/>
    </row>
    <row r="1228" spans="12:12">
      <c r="L1228" s="927"/>
    </row>
    <row r="1229" spans="12:12">
      <c r="L1229" s="927"/>
    </row>
    <row r="1230" spans="12:12">
      <c r="L1230" s="927"/>
    </row>
    <row r="1231" spans="12:12">
      <c r="L1231" s="927"/>
    </row>
    <row r="1232" spans="12:12">
      <c r="L1232" s="927"/>
    </row>
    <row r="1233" spans="12:12">
      <c r="L1233" s="927"/>
    </row>
    <row r="1234" spans="12:12">
      <c r="L1234" s="927"/>
    </row>
    <row r="1235" spans="12:12">
      <c r="L1235" s="927"/>
    </row>
    <row r="1236" spans="12:12">
      <c r="L1236" s="927"/>
    </row>
    <row r="1237" spans="12:12">
      <c r="L1237" s="927"/>
    </row>
    <row r="1238" spans="12:12">
      <c r="L1238" s="927"/>
    </row>
    <row r="1239" spans="12:12">
      <c r="L1239" s="927"/>
    </row>
    <row r="1240" spans="12:12">
      <c r="L1240" s="927"/>
    </row>
    <row r="1241" spans="12:12">
      <c r="L1241" s="927"/>
    </row>
    <row r="1242" spans="12:12">
      <c r="L1242" s="927"/>
    </row>
    <row r="1243" spans="12:12">
      <c r="L1243" s="927"/>
    </row>
    <row r="1244" spans="12:12">
      <c r="L1244" s="927"/>
    </row>
    <row r="1245" spans="12:12">
      <c r="L1245" s="927"/>
    </row>
    <row r="1246" spans="12:12">
      <c r="L1246" s="927"/>
    </row>
    <row r="1247" spans="12:12">
      <c r="L1247" s="927"/>
    </row>
    <row r="1248" spans="12:12">
      <c r="L1248" s="927"/>
    </row>
    <row r="1249" spans="12:12">
      <c r="L1249" s="927"/>
    </row>
    <row r="1250" spans="12:12">
      <c r="L1250" s="927"/>
    </row>
    <row r="1251" spans="12:12">
      <c r="L1251" s="927"/>
    </row>
    <row r="1252" spans="12:12">
      <c r="L1252" s="927"/>
    </row>
    <row r="1253" spans="12:12">
      <c r="L1253" s="927"/>
    </row>
    <row r="1254" spans="12:12">
      <c r="L1254" s="927"/>
    </row>
    <row r="1255" spans="12:12">
      <c r="L1255" s="927"/>
    </row>
    <row r="1256" spans="12:12">
      <c r="L1256" s="927"/>
    </row>
    <row r="1257" spans="12:12">
      <c r="L1257" s="927"/>
    </row>
    <row r="1258" spans="12:12">
      <c r="L1258" s="927"/>
    </row>
    <row r="1259" spans="12:12">
      <c r="L1259" s="927"/>
    </row>
    <row r="1260" spans="12:12">
      <c r="L1260" s="927"/>
    </row>
    <row r="1261" spans="12:12">
      <c r="L1261" s="927"/>
    </row>
    <row r="1262" spans="12:12">
      <c r="L1262" s="927"/>
    </row>
    <row r="1263" spans="12:12">
      <c r="L1263" s="927"/>
    </row>
    <row r="1264" spans="12:12">
      <c r="L1264" s="927"/>
    </row>
    <row r="1265" spans="12:12">
      <c r="L1265" s="927"/>
    </row>
    <row r="1266" spans="12:12">
      <c r="L1266" s="930"/>
    </row>
    <row r="1267" spans="12:12">
      <c r="L1267" s="927"/>
    </row>
    <row r="1268" spans="12:12">
      <c r="L1268" s="927"/>
    </row>
    <row r="1269" spans="12:12">
      <c r="L1269" s="930"/>
    </row>
    <row r="1270" spans="12:12">
      <c r="L1270" s="779"/>
    </row>
    <row r="1271" spans="12:12">
      <c r="L1271" s="779"/>
    </row>
    <row r="1272" spans="12:12">
      <c r="L1272" s="779"/>
    </row>
    <row r="1273" spans="12:12">
      <c r="L1273" s="927"/>
    </row>
    <row r="1274" spans="12:12">
      <c r="L1274" s="927"/>
    </row>
    <row r="1275" spans="12:12">
      <c r="L1275" s="927"/>
    </row>
    <row r="1276" spans="12:12">
      <c r="L1276" s="927"/>
    </row>
    <row r="1277" spans="12:12">
      <c r="L1277" s="927"/>
    </row>
    <row r="1278" spans="12:12">
      <c r="L1278" s="927"/>
    </row>
    <row r="1279" spans="12:12">
      <c r="L1279" s="927"/>
    </row>
    <row r="1280" spans="12:12">
      <c r="L1280" s="927"/>
    </row>
    <row r="1281" spans="12:12">
      <c r="L1281" s="927"/>
    </row>
    <row r="1282" spans="12:12">
      <c r="L1282" s="927"/>
    </row>
    <row r="1283" spans="12:12">
      <c r="L1283" s="927"/>
    </row>
    <row r="1284" spans="12:12">
      <c r="L1284" s="927"/>
    </row>
    <row r="1285" spans="12:12">
      <c r="L1285" s="927"/>
    </row>
    <row r="1286" spans="12:12">
      <c r="L1286" s="927"/>
    </row>
    <row r="1287" spans="12:12">
      <c r="L1287" s="927"/>
    </row>
    <row r="1288" spans="12:12">
      <c r="L1288" s="927"/>
    </row>
    <row r="1289" spans="12:12">
      <c r="L1289" s="927"/>
    </row>
    <row r="1290" spans="12:12">
      <c r="L1290" s="927"/>
    </row>
    <row r="1291" spans="12:12">
      <c r="L1291" s="927"/>
    </row>
    <row r="1292" spans="12:12">
      <c r="L1292" s="927"/>
    </row>
    <row r="1293" spans="12:12">
      <c r="L1293" s="927"/>
    </row>
    <row r="1294" spans="12:12">
      <c r="L1294" s="927"/>
    </row>
    <row r="1295" spans="12:12">
      <c r="L1295" s="927"/>
    </row>
    <row r="1296" spans="12:12">
      <c r="L1296" s="927"/>
    </row>
    <row r="1297" spans="12:12">
      <c r="L1297" s="927"/>
    </row>
    <row r="1298" spans="12:12">
      <c r="L1298" s="927"/>
    </row>
    <row r="1299" spans="12:12">
      <c r="L1299" s="927"/>
    </row>
    <row r="1300" spans="12:12">
      <c r="L1300" s="927"/>
    </row>
    <row r="1301" spans="12:12">
      <c r="L1301" s="927"/>
    </row>
    <row r="1302" spans="12:12">
      <c r="L1302" s="927"/>
    </row>
    <row r="1303" spans="12:12">
      <c r="L1303" s="927"/>
    </row>
    <row r="1304" spans="12:12">
      <c r="L1304" s="927"/>
    </row>
    <row r="1305" spans="12:12">
      <c r="L1305" s="927"/>
    </row>
    <row r="1306" spans="12:12">
      <c r="L1306" s="927"/>
    </row>
    <row r="1307" spans="12:12">
      <c r="L1307" s="927"/>
    </row>
    <row r="1308" spans="12:12">
      <c r="L1308" s="927"/>
    </row>
    <row r="1309" spans="12:12">
      <c r="L1309" s="927"/>
    </row>
    <row r="1310" spans="12:12">
      <c r="L1310" s="927"/>
    </row>
    <row r="1311" spans="12:12">
      <c r="L1311" s="927"/>
    </row>
    <row r="1312" spans="12:12">
      <c r="L1312" s="927"/>
    </row>
    <row r="1313" spans="12:12">
      <c r="L1313" s="927"/>
    </row>
    <row r="1314" spans="12:12">
      <c r="L1314" s="927"/>
    </row>
    <row r="1315" spans="12:12">
      <c r="L1315" s="927"/>
    </row>
    <row r="1316" spans="12:12">
      <c r="L1316" s="927"/>
    </row>
    <row r="1317" spans="12:12">
      <c r="L1317" s="927"/>
    </row>
    <row r="1318" spans="12:12">
      <c r="L1318" s="927"/>
    </row>
    <row r="1319" spans="12:12">
      <c r="L1319" s="927"/>
    </row>
    <row r="1320" spans="12:12">
      <c r="L1320" s="927"/>
    </row>
    <row r="1321" spans="12:12">
      <c r="L1321" s="927"/>
    </row>
    <row r="1322" spans="12:12">
      <c r="L1322" s="927"/>
    </row>
    <row r="1323" spans="12:12">
      <c r="L1323" s="927"/>
    </row>
    <row r="1324" spans="12:12">
      <c r="L1324" s="927"/>
    </row>
    <row r="1325" spans="12:12">
      <c r="L1325" s="927"/>
    </row>
    <row r="1326" spans="12:12">
      <c r="L1326" s="927"/>
    </row>
    <row r="1327" spans="12:12">
      <c r="L1327" s="927"/>
    </row>
    <row r="1328" spans="12:12">
      <c r="L1328" s="927"/>
    </row>
    <row r="1329" spans="12:12">
      <c r="L1329" s="927"/>
    </row>
    <row r="1330" spans="12:12">
      <c r="L1330" s="927"/>
    </row>
    <row r="1331" spans="12:12">
      <c r="L1331" s="927"/>
    </row>
    <row r="1332" spans="12:12">
      <c r="L1332" s="927"/>
    </row>
    <row r="1333" spans="12:12">
      <c r="L1333" s="927"/>
    </row>
    <row r="1334" spans="12:12">
      <c r="L1334" s="927"/>
    </row>
    <row r="1335" spans="12:12">
      <c r="L1335" s="927"/>
    </row>
    <row r="1336" spans="12:12">
      <c r="L1336" s="927"/>
    </row>
    <row r="1337" spans="12:12">
      <c r="L1337" s="927"/>
    </row>
    <row r="1338" spans="12:12">
      <c r="L1338" s="927"/>
    </row>
    <row r="1339" spans="12:12">
      <c r="L1339" s="927"/>
    </row>
    <row r="1340" spans="12:12">
      <c r="L1340" s="927"/>
    </row>
    <row r="1341" spans="12:12">
      <c r="L1341" s="927"/>
    </row>
    <row r="1342" spans="12:12">
      <c r="L1342" s="927"/>
    </row>
    <row r="1343" spans="12:12">
      <c r="L1343" s="927"/>
    </row>
    <row r="1344" spans="12:12">
      <c r="L1344" s="927"/>
    </row>
    <row r="1345" spans="12:12">
      <c r="L1345" s="927"/>
    </row>
    <row r="1346" spans="12:12">
      <c r="L1346" s="927"/>
    </row>
    <row r="1347" spans="12:12">
      <c r="L1347" s="927"/>
    </row>
    <row r="1348" spans="12:12">
      <c r="L1348" s="927"/>
    </row>
    <row r="1349" spans="12:12">
      <c r="L1349" s="927"/>
    </row>
    <row r="1350" spans="12:12">
      <c r="L1350" s="927"/>
    </row>
    <row r="1351" spans="12:12">
      <c r="L1351" s="927"/>
    </row>
    <row r="1352" spans="12:12">
      <c r="L1352" s="927"/>
    </row>
    <row r="1353" spans="12:12">
      <c r="L1353" s="927"/>
    </row>
    <row r="1354" spans="12:12">
      <c r="L1354" s="927"/>
    </row>
    <row r="1355" spans="12:12">
      <c r="L1355" s="927"/>
    </row>
    <row r="1356" spans="12:12">
      <c r="L1356" s="927"/>
    </row>
    <row r="1357" spans="12:12">
      <c r="L1357" s="927"/>
    </row>
    <row r="1358" spans="12:12">
      <c r="L1358" s="927"/>
    </row>
    <row r="1359" spans="12:12">
      <c r="L1359" s="927"/>
    </row>
    <row r="1360" spans="12:12">
      <c r="L1360" s="927"/>
    </row>
    <row r="1361" spans="12:12">
      <c r="L1361" s="927"/>
    </row>
    <row r="1362" spans="12:12">
      <c r="L1362" s="927"/>
    </row>
    <row r="1363" spans="12:12">
      <c r="L1363" s="927"/>
    </row>
    <row r="1364" spans="12:12">
      <c r="L1364" s="927"/>
    </row>
    <row r="1365" spans="12:12">
      <c r="L1365" s="927"/>
    </row>
    <row r="1366" spans="12:12">
      <c r="L1366" s="927"/>
    </row>
    <row r="1367" spans="12:12">
      <c r="L1367" s="927"/>
    </row>
    <row r="1368" spans="12:12">
      <c r="L1368" s="927"/>
    </row>
    <row r="1369" spans="12:12">
      <c r="L1369" s="927"/>
    </row>
    <row r="1370" spans="12:12">
      <c r="L1370" s="927"/>
    </row>
    <row r="1371" spans="12:12">
      <c r="L1371" s="927"/>
    </row>
    <row r="1372" spans="12:12">
      <c r="L1372" s="927"/>
    </row>
    <row r="1373" spans="12:12">
      <c r="L1373" s="927"/>
    </row>
    <row r="1374" spans="12:12">
      <c r="L1374" s="927"/>
    </row>
    <row r="1375" spans="12:12">
      <c r="L1375" s="927"/>
    </row>
    <row r="1376" spans="12:12">
      <c r="L1376" s="779"/>
    </row>
    <row r="1377" spans="12:12">
      <c r="L1377" s="927"/>
    </row>
    <row r="1378" spans="12:12">
      <c r="L1378" s="927"/>
    </row>
    <row r="1379" spans="12:12">
      <c r="L1379" s="927"/>
    </row>
    <row r="1380" spans="12:12">
      <c r="L1380" s="927"/>
    </row>
    <row r="1381" spans="12:12">
      <c r="L1381" s="927"/>
    </row>
    <row r="1382" spans="12:12">
      <c r="L1382" s="927"/>
    </row>
    <row r="1383" spans="12:12">
      <c r="L1383" s="927"/>
    </row>
    <row r="1384" spans="12:12">
      <c r="L1384" s="927"/>
    </row>
    <row r="1385" spans="12:12">
      <c r="L1385" s="927"/>
    </row>
    <row r="1386" spans="12:12">
      <c r="L1386" s="927"/>
    </row>
    <row r="1387" spans="12:12">
      <c r="L1387" s="927"/>
    </row>
    <row r="1388" spans="12:12">
      <c r="L1388" s="927"/>
    </row>
    <row r="1389" spans="12:12">
      <c r="L1389" s="927"/>
    </row>
    <row r="1390" spans="12:12">
      <c r="L1390" s="927"/>
    </row>
    <row r="1391" spans="12:12">
      <c r="L1391" s="927"/>
    </row>
    <row r="1392" spans="12:12">
      <c r="L1392" s="927"/>
    </row>
    <row r="1393" spans="12:12">
      <c r="L1393" s="927"/>
    </row>
    <row r="1394" spans="12:12">
      <c r="L1394" s="927"/>
    </row>
    <row r="1395" spans="12:12">
      <c r="L1395" s="927"/>
    </row>
    <row r="1396" spans="12:12">
      <c r="L1396" s="927"/>
    </row>
    <row r="1397" spans="12:12">
      <c r="L1397" s="927"/>
    </row>
    <row r="1398" spans="12:12">
      <c r="L1398" s="927"/>
    </row>
    <row r="1399" spans="12:12">
      <c r="L1399" s="927"/>
    </row>
    <row r="1400" spans="12:12">
      <c r="L1400" s="927"/>
    </row>
    <row r="1401" spans="12:12">
      <c r="L1401" s="927"/>
    </row>
    <row r="1402" spans="12:12">
      <c r="L1402" s="927"/>
    </row>
    <row r="1403" spans="12:12">
      <c r="L1403" s="927"/>
    </row>
    <row r="1404" spans="12:12">
      <c r="L1404" s="927"/>
    </row>
    <row r="1405" spans="12:12">
      <c r="L1405" s="927"/>
    </row>
    <row r="1406" spans="12:12">
      <c r="L1406" s="927"/>
    </row>
    <row r="1407" spans="12:12">
      <c r="L1407" s="927"/>
    </row>
    <row r="1408" spans="12:12">
      <c r="L1408" s="927"/>
    </row>
    <row r="1409" spans="12:12">
      <c r="L1409" s="927"/>
    </row>
    <row r="1410" spans="12:12">
      <c r="L1410" s="927"/>
    </row>
    <row r="1411" spans="12:12">
      <c r="L1411" s="927"/>
    </row>
    <row r="1412" spans="12:12">
      <c r="L1412" s="927"/>
    </row>
    <row r="1413" spans="12:12">
      <c r="L1413" s="927"/>
    </row>
    <row r="1414" spans="12:12">
      <c r="L1414" s="927"/>
    </row>
    <row r="1415" spans="12:12">
      <c r="L1415" s="927"/>
    </row>
    <row r="1416" spans="12:12">
      <c r="L1416" s="927"/>
    </row>
    <row r="1417" spans="12:12">
      <c r="L1417" s="927"/>
    </row>
    <row r="1418" spans="12:12">
      <c r="L1418" s="927"/>
    </row>
    <row r="1419" spans="12:12">
      <c r="L1419" s="927"/>
    </row>
    <row r="1420" spans="12:12">
      <c r="L1420" s="927"/>
    </row>
    <row r="1421" spans="12:12">
      <c r="L1421" s="927"/>
    </row>
    <row r="1422" spans="12:12">
      <c r="L1422" s="927"/>
    </row>
    <row r="1423" spans="12:12">
      <c r="L1423" s="927"/>
    </row>
    <row r="1424" spans="12:12">
      <c r="L1424" s="927"/>
    </row>
    <row r="1425" spans="12:12">
      <c r="L1425" s="927"/>
    </row>
    <row r="1426" spans="12:12">
      <c r="L1426" s="927"/>
    </row>
    <row r="1427" spans="12:12">
      <c r="L1427" s="927"/>
    </row>
    <row r="1428" spans="12:12">
      <c r="L1428" s="927"/>
    </row>
    <row r="1429" spans="12:12">
      <c r="L1429" s="927"/>
    </row>
    <row r="1430" spans="12:12">
      <c r="L1430" s="927"/>
    </row>
    <row r="1431" spans="12:12">
      <c r="L1431" s="927"/>
    </row>
    <row r="1432" spans="12:12">
      <c r="L1432" s="927"/>
    </row>
    <row r="1433" spans="12:12">
      <c r="L1433" s="927"/>
    </row>
    <row r="1434" spans="12:12">
      <c r="L1434" s="927"/>
    </row>
    <row r="1435" spans="12:12">
      <c r="L1435" s="927"/>
    </row>
    <row r="1436" spans="12:12">
      <c r="L1436" s="927"/>
    </row>
    <row r="1437" spans="12:12">
      <c r="L1437" s="927"/>
    </row>
    <row r="1438" spans="12:12">
      <c r="L1438" s="927"/>
    </row>
    <row r="1439" spans="12:12">
      <c r="L1439" s="927"/>
    </row>
    <row r="1440" spans="12:12">
      <c r="L1440" s="927"/>
    </row>
    <row r="1441" spans="12:12">
      <c r="L1441" s="927"/>
    </row>
    <row r="1442" spans="12:12">
      <c r="L1442" s="927"/>
    </row>
    <row r="1443" spans="12:12">
      <c r="L1443" s="927"/>
    </row>
    <row r="1444" spans="12:12">
      <c r="L1444" s="927"/>
    </row>
    <row r="1445" spans="12:12">
      <c r="L1445" s="927"/>
    </row>
    <row r="1446" spans="12:12">
      <c r="L1446" s="927"/>
    </row>
    <row r="1447" spans="12:12">
      <c r="L1447" s="927"/>
    </row>
    <row r="1448" spans="12:12">
      <c r="L1448" s="927"/>
    </row>
    <row r="1449" spans="12:12">
      <c r="L1449" s="779"/>
    </row>
    <row r="1450" spans="12:12">
      <c r="L1450" s="927"/>
    </row>
    <row r="1451" spans="12:12">
      <c r="L1451" s="927"/>
    </row>
    <row r="1452" spans="12:12">
      <c r="L1452" s="927"/>
    </row>
    <row r="1453" spans="12:12">
      <c r="L1453" s="927"/>
    </row>
    <row r="1454" spans="12:12">
      <c r="L1454" s="927"/>
    </row>
    <row r="1455" spans="12:12">
      <c r="L1455" s="927"/>
    </row>
    <row r="1456" spans="12:12">
      <c r="L1456" s="927"/>
    </row>
    <row r="1457" spans="12:12">
      <c r="L1457" s="927"/>
    </row>
    <row r="1458" spans="12:12">
      <c r="L1458" s="927"/>
    </row>
    <row r="1459" spans="12:12">
      <c r="L1459" s="927"/>
    </row>
    <row r="1460" spans="12:12">
      <c r="L1460" s="927"/>
    </row>
    <row r="1461" spans="12:12">
      <c r="L1461" s="927"/>
    </row>
    <row r="1462" spans="12:12">
      <c r="L1462" s="927"/>
    </row>
    <row r="1463" spans="12:12">
      <c r="L1463" s="927"/>
    </row>
    <row r="1464" spans="12:12">
      <c r="L1464" s="927"/>
    </row>
    <row r="1465" spans="12:12">
      <c r="L1465" s="927"/>
    </row>
    <row r="1466" spans="12:12">
      <c r="L1466" s="927"/>
    </row>
    <row r="1467" spans="12:12">
      <c r="L1467" s="927"/>
    </row>
    <row r="1468" spans="12:12">
      <c r="L1468" s="927"/>
    </row>
    <row r="1469" spans="12:12">
      <c r="L1469" s="927"/>
    </row>
    <row r="1470" spans="12:12">
      <c r="L1470" s="927"/>
    </row>
    <row r="1471" spans="12:12">
      <c r="L1471" s="927"/>
    </row>
    <row r="1472" spans="12:12">
      <c r="L1472" s="927"/>
    </row>
    <row r="1473" spans="12:12">
      <c r="L1473" s="927"/>
    </row>
    <row r="1474" spans="12:12">
      <c r="L1474" s="927"/>
    </row>
    <row r="1475" spans="12:12">
      <c r="L1475" s="927"/>
    </row>
    <row r="1476" spans="12:12">
      <c r="L1476" s="927"/>
    </row>
    <row r="1477" spans="12:12">
      <c r="L1477" s="927"/>
    </row>
    <row r="1478" spans="12:12">
      <c r="L1478" s="927"/>
    </row>
    <row r="1479" spans="12:12">
      <c r="L1479" s="927"/>
    </row>
    <row r="1480" spans="12:12">
      <c r="L1480" s="927"/>
    </row>
    <row r="1481" spans="12:12">
      <c r="L1481" s="927"/>
    </row>
    <row r="1482" spans="12:12">
      <c r="L1482" s="927"/>
    </row>
    <row r="1483" spans="12:12">
      <c r="L1483" s="927"/>
    </row>
    <row r="1484" spans="12:12">
      <c r="L1484" s="927"/>
    </row>
    <row r="1485" spans="12:12">
      <c r="L1485" s="927"/>
    </row>
    <row r="1486" spans="12:12">
      <c r="L1486" s="927"/>
    </row>
    <row r="1487" spans="12:12">
      <c r="L1487" s="927"/>
    </row>
    <row r="1488" spans="12:12">
      <c r="L1488" s="927"/>
    </row>
    <row r="1489" spans="12:12">
      <c r="L1489" s="927"/>
    </row>
    <row r="1490" spans="12:12">
      <c r="L1490" s="927"/>
    </row>
    <row r="1491" spans="12:12">
      <c r="L1491" s="927"/>
    </row>
    <row r="1492" spans="12:12">
      <c r="L1492" s="927"/>
    </row>
    <row r="1493" spans="12:12">
      <c r="L1493" s="927"/>
    </row>
    <row r="1494" spans="12:12">
      <c r="L1494" s="927"/>
    </row>
    <row r="1495" spans="12:12">
      <c r="L1495" s="927"/>
    </row>
    <row r="1496" spans="12:12">
      <c r="L1496" s="927"/>
    </row>
    <row r="1497" spans="12:12">
      <c r="L1497" s="927"/>
    </row>
    <row r="1498" spans="12:12">
      <c r="L1498" s="927"/>
    </row>
    <row r="1499" spans="12:12">
      <c r="L1499" s="927"/>
    </row>
    <row r="1500" spans="12:12">
      <c r="L1500" s="927"/>
    </row>
    <row r="1501" spans="12:12">
      <c r="L1501" s="927"/>
    </row>
    <row r="1502" spans="12:12">
      <c r="L1502" s="927"/>
    </row>
    <row r="1503" spans="12:12">
      <c r="L1503" s="927"/>
    </row>
    <row r="1504" spans="12:12">
      <c r="L1504" s="927"/>
    </row>
    <row r="1505" spans="12:12">
      <c r="L1505" s="927"/>
    </row>
    <row r="1506" spans="12:12">
      <c r="L1506" s="927"/>
    </row>
    <row r="1507" spans="12:12">
      <c r="L1507" s="927"/>
    </row>
    <row r="1508" spans="12:12">
      <c r="L1508" s="927"/>
    </row>
    <row r="1509" spans="12:12">
      <c r="L1509" s="927"/>
    </row>
    <row r="1510" spans="12:12">
      <c r="L1510" s="927"/>
    </row>
    <row r="1511" spans="12:12">
      <c r="L1511" s="927"/>
    </row>
    <row r="1512" spans="12:12">
      <c r="L1512" s="927"/>
    </row>
    <row r="1513" spans="12:12">
      <c r="L1513" s="927"/>
    </row>
    <row r="1514" spans="12:12">
      <c r="L1514" s="927"/>
    </row>
    <row r="1515" spans="12:12">
      <c r="L1515" s="927"/>
    </row>
    <row r="1516" spans="12:12">
      <c r="L1516" s="927"/>
    </row>
    <row r="1517" spans="12:12">
      <c r="L1517" s="927"/>
    </row>
    <row r="1518" spans="12:12">
      <c r="L1518" s="927"/>
    </row>
    <row r="1519" spans="12:12">
      <c r="L1519" s="927"/>
    </row>
    <row r="1520" spans="12:12">
      <c r="L1520" s="927"/>
    </row>
    <row r="1521" spans="12:12">
      <c r="L1521" s="927"/>
    </row>
    <row r="1522" spans="12:12">
      <c r="L1522" s="927"/>
    </row>
    <row r="1523" spans="12:12">
      <c r="L1523" s="927"/>
    </row>
    <row r="1524" spans="12:12">
      <c r="L1524" s="927"/>
    </row>
    <row r="1525" spans="12:12">
      <c r="L1525" s="927"/>
    </row>
    <row r="1526" spans="12:12">
      <c r="L1526" s="780"/>
    </row>
    <row r="1527" spans="12:12">
      <c r="L1527" s="779"/>
    </row>
    <row r="1528" spans="12:12">
      <c r="L1528" s="779"/>
    </row>
    <row r="1529" spans="12:12">
      <c r="L1529" s="779"/>
    </row>
    <row r="1530" spans="12:12">
      <c r="L1530" s="779"/>
    </row>
    <row r="1531" spans="12:12">
      <c r="L1531" s="779"/>
    </row>
    <row r="1532" spans="12:12">
      <c r="L1532" s="779"/>
    </row>
    <row r="1533" spans="12:12">
      <c r="L1533" s="779"/>
    </row>
    <row r="1534" spans="12:12">
      <c r="L1534" s="779"/>
    </row>
    <row r="1535" spans="12:12">
      <c r="L1535" s="779"/>
    </row>
    <row r="1536" spans="12:12">
      <c r="L1536" s="779"/>
    </row>
    <row r="1537" spans="12:12">
      <c r="L1537" s="779"/>
    </row>
    <row r="1538" spans="12:12">
      <c r="L1538" s="779"/>
    </row>
    <row r="1539" spans="12:12">
      <c r="L1539" s="779"/>
    </row>
    <row r="1540" spans="12:12">
      <c r="L1540" s="779"/>
    </row>
    <row r="1541" spans="12:12">
      <c r="L1541" s="779"/>
    </row>
    <row r="1542" spans="12:12">
      <c r="L1542" s="779"/>
    </row>
    <row r="1543" spans="12:12">
      <c r="L1543" s="779"/>
    </row>
    <row r="1544" spans="12:12">
      <c r="L1544" s="779"/>
    </row>
    <row r="1545" spans="12:12">
      <c r="L1545" s="779"/>
    </row>
    <row r="1546" spans="12:12">
      <c r="L1546" s="927"/>
    </row>
    <row r="1547" spans="12:12">
      <c r="L1547" s="927"/>
    </row>
    <row r="1548" spans="12:12">
      <c r="L1548" s="927"/>
    </row>
    <row r="1549" spans="12:12">
      <c r="L1549" s="927"/>
    </row>
    <row r="1550" spans="12:12">
      <c r="L1550" s="927"/>
    </row>
    <row r="1551" spans="12:12">
      <c r="L1551" s="927"/>
    </row>
    <row r="1552" spans="12:12">
      <c r="L1552" s="780"/>
    </row>
    <row r="1553" spans="12:12">
      <c r="L1553" s="779"/>
    </row>
    <row r="1554" spans="12:12">
      <c r="L1554" s="779"/>
    </row>
    <row r="1555" spans="12:12">
      <c r="L1555" s="779"/>
    </row>
    <row r="1556" spans="12:12">
      <c r="L1556" s="779"/>
    </row>
    <row r="1557" spans="12:12">
      <c r="L1557" s="779"/>
    </row>
    <row r="1558" spans="12:12">
      <c r="L1558" s="779"/>
    </row>
    <row r="1559" spans="12:12">
      <c r="L1559" s="779"/>
    </row>
    <row r="1560" spans="12:12">
      <c r="L1560" s="779"/>
    </row>
    <row r="1561" spans="12:12">
      <c r="L1561" s="779"/>
    </row>
    <row r="1562" spans="12:12">
      <c r="L1562" s="779"/>
    </row>
    <row r="1563" spans="12:12">
      <c r="L1563" s="779"/>
    </row>
    <row r="1564" spans="12:12">
      <c r="L1564" s="779"/>
    </row>
    <row r="1565" spans="12:12">
      <c r="L1565" s="779"/>
    </row>
    <row r="1566" spans="12:12">
      <c r="L1566" s="779"/>
    </row>
    <row r="1567" spans="12:12">
      <c r="L1567" s="779"/>
    </row>
    <row r="1568" spans="12:12">
      <c r="L1568" s="779"/>
    </row>
    <row r="1569" spans="12:12">
      <c r="L1569" s="779"/>
    </row>
    <row r="1570" spans="12:12">
      <c r="L1570" s="927"/>
    </row>
    <row r="1571" spans="12:12">
      <c r="L1571" s="927"/>
    </row>
    <row r="1572" spans="12:12">
      <c r="L1572" s="927"/>
    </row>
    <row r="1573" spans="12:12">
      <c r="L1573" s="927"/>
    </row>
    <row r="1574" spans="12:12">
      <c r="L1574" s="927"/>
    </row>
    <row r="1575" spans="12:12">
      <c r="L1575" s="927"/>
    </row>
    <row r="1576" spans="12:12">
      <c r="L1576" s="927"/>
    </row>
    <row r="1577" spans="12:12">
      <c r="L1577" s="927"/>
    </row>
    <row r="1578" spans="12:12">
      <c r="L1578" s="927"/>
    </row>
    <row r="1579" spans="12:12">
      <c r="L1579" s="927"/>
    </row>
    <row r="1580" spans="12:12">
      <c r="L1580" s="927"/>
    </row>
    <row r="1581" spans="12:12">
      <c r="L1581" s="927"/>
    </row>
    <row r="1582" spans="12:12">
      <c r="L1582" s="927"/>
    </row>
    <row r="1583" spans="12:12">
      <c r="L1583" s="927"/>
    </row>
    <row r="1584" spans="12:12">
      <c r="L1584" s="927"/>
    </row>
    <row r="1585" spans="12:12">
      <c r="L1585" s="927"/>
    </row>
    <row r="1586" spans="12:12">
      <c r="L1586" s="927"/>
    </row>
    <row r="1587" spans="12:12">
      <c r="L1587" s="927"/>
    </row>
    <row r="1588" spans="12:12">
      <c r="L1588" s="779"/>
    </row>
    <row r="1589" spans="12:12">
      <c r="L1589" s="779"/>
    </row>
    <row r="1590" spans="12:12">
      <c r="L1590" s="927"/>
    </row>
    <row r="1591" spans="12:12">
      <c r="L1591" s="927"/>
    </row>
    <row r="1592" spans="12:12">
      <c r="L1592" s="927"/>
    </row>
    <row r="1593" spans="12:12">
      <c r="L1593" s="927"/>
    </row>
    <row r="1594" spans="12:12">
      <c r="L1594" s="927"/>
    </row>
    <row r="1595" spans="12:12">
      <c r="L1595" s="927"/>
    </row>
    <row r="1596" spans="12:12">
      <c r="L1596" s="927"/>
    </row>
    <row r="1597" spans="12:12">
      <c r="L1597" s="927"/>
    </row>
    <row r="1598" spans="12:12">
      <c r="L1598" s="927"/>
    </row>
    <row r="1599" spans="12:12">
      <c r="L1599" s="927"/>
    </row>
    <row r="1600" spans="12:12">
      <c r="L1600" s="927"/>
    </row>
    <row r="1601" spans="12:12">
      <c r="L1601" s="927"/>
    </row>
    <row r="1602" spans="12:12">
      <c r="L1602" s="927"/>
    </row>
    <row r="1603" spans="12:12">
      <c r="L1603" s="927"/>
    </row>
    <row r="1604" spans="12:12">
      <c r="L1604" s="927"/>
    </row>
    <row r="1605" spans="12:12">
      <c r="L1605" s="927"/>
    </row>
    <row r="1606" spans="12:12">
      <c r="L1606" s="779"/>
    </row>
    <row r="1607" spans="12:12">
      <c r="L1607" s="779"/>
    </row>
    <row r="1608" spans="12:12">
      <c r="L1608" s="927"/>
    </row>
    <row r="1609" spans="12:12">
      <c r="L1609" s="927"/>
    </row>
    <row r="1610" spans="12:12">
      <c r="L1610" s="927"/>
    </row>
    <row r="1611" spans="12:12">
      <c r="L1611" s="927"/>
    </row>
    <row r="1612" spans="12:12">
      <c r="L1612" s="927"/>
    </row>
    <row r="1613" spans="12:12">
      <c r="L1613" s="927"/>
    </row>
    <row r="1614" spans="12:12">
      <c r="L1614" s="927"/>
    </row>
    <row r="1615" spans="12:12">
      <c r="L1615" s="927"/>
    </row>
    <row r="1616" spans="12:12">
      <c r="L1616" s="927"/>
    </row>
    <row r="1617" spans="12:12">
      <c r="L1617" s="927"/>
    </row>
    <row r="1618" spans="12:12">
      <c r="L1618" s="927"/>
    </row>
    <row r="1619" spans="12:12">
      <c r="L1619" s="927"/>
    </row>
    <row r="1620" spans="12:12">
      <c r="L1620" s="927"/>
    </row>
    <row r="1621" spans="12:12">
      <c r="L1621" s="779"/>
    </row>
    <row r="1622" spans="12:12">
      <c r="L1622" s="779"/>
    </row>
    <row r="1623" spans="12:12">
      <c r="L1623" s="779"/>
    </row>
    <row r="1624" spans="12:12">
      <c r="L1624" s="779"/>
    </row>
    <row r="1625" spans="12:12">
      <c r="L1625" s="779"/>
    </row>
    <row r="1626" spans="12:12">
      <c r="L1626" s="779"/>
    </row>
    <row r="1627" spans="12:12">
      <c r="L1627" s="779"/>
    </row>
    <row r="1628" spans="12:12">
      <c r="L1628" s="779"/>
    </row>
    <row r="1629" spans="12:12">
      <c r="L1629" s="779"/>
    </row>
    <row r="1630" spans="12:12">
      <c r="L1630" s="779"/>
    </row>
    <row r="1631" spans="12:12">
      <c r="L1631" s="927"/>
    </row>
    <row r="1632" spans="12:12">
      <c r="L1632" s="779"/>
    </row>
    <row r="1633" spans="12:12">
      <c r="L1633" s="779"/>
    </row>
    <row r="1634" spans="12:12">
      <c r="L1634" s="779"/>
    </row>
    <row r="1635" spans="12:12">
      <c r="L1635" s="779"/>
    </row>
    <row r="1636" spans="12:12">
      <c r="L1636" s="779"/>
    </row>
    <row r="1637" spans="12:12">
      <c r="L1637" s="927"/>
    </row>
    <row r="1638" spans="12:12">
      <c r="L1638" s="927"/>
    </row>
    <row r="1639" spans="12:12">
      <c r="L1639" s="927"/>
    </row>
    <row r="1640" spans="12:12">
      <c r="L1640" s="927"/>
    </row>
    <row r="1641" spans="12:12">
      <c r="L1641" s="927"/>
    </row>
    <row r="1642" spans="12:12">
      <c r="L1642" s="927"/>
    </row>
    <row r="1643" spans="12:12">
      <c r="L1643" s="779"/>
    </row>
    <row r="1644" spans="12:12">
      <c r="L1644" s="927"/>
    </row>
    <row r="1645" spans="12:12">
      <c r="L1645" s="927"/>
    </row>
    <row r="1646" spans="12:12">
      <c r="L1646" s="779"/>
    </row>
    <row r="1647" spans="12:12">
      <c r="L1647" s="927"/>
    </row>
    <row r="1648" spans="12:12">
      <c r="L1648" s="927"/>
    </row>
    <row r="1649" spans="12:12">
      <c r="L1649" s="927"/>
    </row>
    <row r="1650" spans="12:12">
      <c r="L1650" s="927"/>
    </row>
    <row r="1651" spans="12:12">
      <c r="L1651" s="927"/>
    </row>
    <row r="1652" spans="12:12">
      <c r="L1652" s="927"/>
    </row>
    <row r="1653" spans="12:12">
      <c r="L1653" s="927"/>
    </row>
    <row r="1654" spans="12:12">
      <c r="L1654" s="927"/>
    </row>
    <row r="1655" spans="12:12">
      <c r="L1655" s="927"/>
    </row>
    <row r="1656" spans="12:12">
      <c r="L1656" s="927"/>
    </row>
    <row r="1657" spans="12:12">
      <c r="L1657" s="927"/>
    </row>
    <row r="1658" spans="12:12">
      <c r="L1658" s="927"/>
    </row>
    <row r="1659" spans="12:12">
      <c r="L1659" s="927"/>
    </row>
    <row r="1660" spans="12:12">
      <c r="L1660" s="927"/>
    </row>
    <row r="1661" spans="12:12">
      <c r="L1661" s="927"/>
    </row>
    <row r="1662" spans="12:12">
      <c r="L1662" s="927"/>
    </row>
    <row r="1663" spans="12:12">
      <c r="L1663" s="927"/>
    </row>
    <row r="1664" spans="12:12">
      <c r="L1664" s="927"/>
    </row>
    <row r="1665" spans="12:12">
      <c r="L1665" s="927"/>
    </row>
    <row r="1666" spans="12:12">
      <c r="L1666" s="927"/>
    </row>
    <row r="1667" spans="12:12">
      <c r="L1667" s="927"/>
    </row>
    <row r="1668" spans="12:12">
      <c r="L1668" s="927"/>
    </row>
    <row r="1669" spans="12:12">
      <c r="L1669" s="927"/>
    </row>
    <row r="1670" spans="12:12">
      <c r="L1670" s="927"/>
    </row>
    <row r="1671" spans="12:12">
      <c r="L1671" s="927"/>
    </row>
    <row r="1672" spans="12:12">
      <c r="L1672" s="927"/>
    </row>
    <row r="1673" spans="12:12">
      <c r="L1673" s="927"/>
    </row>
    <row r="1674" spans="12:12">
      <c r="L1674" s="927"/>
    </row>
    <row r="1675" spans="12:12">
      <c r="L1675" s="779"/>
    </row>
    <row r="1676" spans="12:12">
      <c r="L1676" s="779"/>
    </row>
    <row r="1677" spans="12:12">
      <c r="L1677" s="779"/>
    </row>
    <row r="1678" spans="12:12">
      <c r="L1678" s="779"/>
    </row>
    <row r="1679" spans="12:12">
      <c r="L1679" s="779"/>
    </row>
    <row r="1680" spans="12:12">
      <c r="L1680" s="779"/>
    </row>
    <row r="1681" spans="12:12">
      <c r="L1681" s="779"/>
    </row>
    <row r="1682" spans="12:12">
      <c r="L1682" s="779"/>
    </row>
    <row r="1683" spans="12:12">
      <c r="L1683" s="779"/>
    </row>
    <row r="1684" spans="12:12">
      <c r="L1684" s="779"/>
    </row>
    <row r="1685" spans="12:12">
      <c r="L1685" s="779"/>
    </row>
    <row r="1686" spans="12:12">
      <c r="L1686" s="779"/>
    </row>
    <row r="1687" spans="12:12">
      <c r="L1687" s="779"/>
    </row>
    <row r="1688" spans="12:12">
      <c r="L1688" s="779"/>
    </row>
    <row r="1689" spans="12:12">
      <c r="L1689" s="779"/>
    </row>
    <row r="1690" spans="12:12">
      <c r="L1690" s="779"/>
    </row>
    <row r="1691" spans="12:12">
      <c r="L1691" s="779"/>
    </row>
    <row r="1692" spans="12:12">
      <c r="L1692" s="779"/>
    </row>
    <row r="1693" spans="12:12">
      <c r="L1693" s="779"/>
    </row>
    <row r="1694" spans="12:12">
      <c r="L1694" s="779"/>
    </row>
    <row r="1695" spans="12:12">
      <c r="L1695" s="779"/>
    </row>
    <row r="1696" spans="12:12">
      <c r="L1696" s="779"/>
    </row>
    <row r="1697" spans="12:12">
      <c r="L1697" s="779"/>
    </row>
    <row r="1698" spans="12:12">
      <c r="L1698" s="927"/>
    </row>
    <row r="1699" spans="12:12">
      <c r="L1699" s="927"/>
    </row>
    <row r="1700" spans="12:12">
      <c r="L1700" s="779"/>
    </row>
    <row r="1701" spans="12:12">
      <c r="L1701" s="779"/>
    </row>
    <row r="1702" spans="12:12">
      <c r="L1702" s="779"/>
    </row>
    <row r="1703" spans="12:12">
      <c r="L1703" s="779"/>
    </row>
    <row r="1704" spans="12:12">
      <c r="L1704" s="779"/>
    </row>
    <row r="1705" spans="12:12">
      <c r="L1705" s="927"/>
    </row>
    <row r="1706" spans="12:12">
      <c r="L1706" s="927"/>
    </row>
    <row r="1707" spans="12:12">
      <c r="L1707" s="927"/>
    </row>
    <row r="1708" spans="12:12">
      <c r="L1708" s="927"/>
    </row>
    <row r="1709" spans="12:12">
      <c r="L1709" s="927"/>
    </row>
    <row r="1710" spans="12:12">
      <c r="L1710" s="927"/>
    </row>
    <row r="1711" spans="12:12">
      <c r="L1711" s="927"/>
    </row>
    <row r="1712" spans="12:12">
      <c r="L1712" s="927"/>
    </row>
    <row r="1713" spans="12:12">
      <c r="L1713" s="927"/>
    </row>
    <row r="1714" spans="12:12">
      <c r="L1714" s="927"/>
    </row>
    <row r="1715" spans="12:12">
      <c r="L1715" s="927"/>
    </row>
    <row r="1716" spans="12:12">
      <c r="L1716" s="927"/>
    </row>
    <row r="1717" spans="12:12">
      <c r="L1717" s="779"/>
    </row>
    <row r="1718" spans="12:12">
      <c r="L1718" s="779"/>
    </row>
    <row r="1719" spans="12:12">
      <c r="L1719" s="779"/>
    </row>
    <row r="1720" spans="12:12">
      <c r="L1720" s="779"/>
    </row>
    <row r="1721" spans="12:12">
      <c r="L1721" s="779"/>
    </row>
    <row r="1722" spans="12:12">
      <c r="L1722" s="779"/>
    </row>
    <row r="1723" spans="12:12">
      <c r="L1723" s="779"/>
    </row>
    <row r="1724" spans="12:12">
      <c r="L1724" s="779"/>
    </row>
    <row r="1725" spans="12:12">
      <c r="L1725" s="927"/>
    </row>
    <row r="1726" spans="12:12">
      <c r="L1726" s="927"/>
    </row>
    <row r="1727" spans="12:12">
      <c r="L1727" s="779"/>
    </row>
    <row r="1728" spans="12:12">
      <c r="L1728" s="779"/>
    </row>
    <row r="1729" spans="12:12">
      <c r="L1729" s="779"/>
    </row>
    <row r="1730" spans="12:12">
      <c r="L1730" s="779"/>
    </row>
    <row r="1731" spans="12:12">
      <c r="L1731" s="779"/>
    </row>
    <row r="1732" spans="12:12">
      <c r="L1732" s="779"/>
    </row>
    <row r="1733" spans="12:12">
      <c r="L1733" s="779"/>
    </row>
    <row r="1734" spans="12:12">
      <c r="L1734" s="779"/>
    </row>
    <row r="1735" spans="12:12">
      <c r="L1735" s="779"/>
    </row>
    <row r="1736" spans="12:12">
      <c r="L1736" s="779"/>
    </row>
    <row r="1737" spans="12:12">
      <c r="L1737" s="779"/>
    </row>
    <row r="1738" spans="12:12">
      <c r="L1738" s="779"/>
    </row>
    <row r="1739" spans="12:12">
      <c r="L1739" s="779"/>
    </row>
    <row r="1740" spans="12:12">
      <c r="L1740" s="779"/>
    </row>
    <row r="1741" spans="12:12">
      <c r="L1741" s="779"/>
    </row>
    <row r="1742" spans="12:12">
      <c r="L1742" s="779"/>
    </row>
    <row r="1743" spans="12:12">
      <c r="L1743" s="779"/>
    </row>
    <row r="1744" spans="12:12">
      <c r="L1744" s="779"/>
    </row>
    <row r="1745" spans="12:12">
      <c r="L1745" s="779"/>
    </row>
    <row r="1746" spans="12:12">
      <c r="L1746" s="779"/>
    </row>
    <row r="1747" spans="12:12">
      <c r="L1747" s="779"/>
    </row>
    <row r="1748" spans="12:12">
      <c r="L1748" s="779"/>
    </row>
    <row r="1749" spans="12:12">
      <c r="L1749" s="779"/>
    </row>
    <row r="1750" spans="12:12">
      <c r="L1750" s="779"/>
    </row>
    <row r="1751" spans="12:12">
      <c r="L1751" s="779"/>
    </row>
    <row r="1752" spans="12:12">
      <c r="L1752" s="779"/>
    </row>
    <row r="1753" spans="12:12">
      <c r="L1753" s="779"/>
    </row>
    <row r="1754" spans="12:12">
      <c r="L1754" s="779"/>
    </row>
    <row r="1755" spans="12:12">
      <c r="L1755" s="779"/>
    </row>
    <row r="1756" spans="12:12">
      <c r="L1756" s="779"/>
    </row>
    <row r="1757" spans="12:12">
      <c r="L1757" s="779"/>
    </row>
    <row r="1758" spans="12:12">
      <c r="L1758" s="779"/>
    </row>
    <row r="1759" spans="12:12">
      <c r="L1759" s="779"/>
    </row>
    <row r="1760" spans="12:12">
      <c r="L1760" s="779"/>
    </row>
    <row r="1761" spans="12:12">
      <c r="L1761" s="779"/>
    </row>
    <row r="1762" spans="12:12">
      <c r="L1762" s="927"/>
    </row>
    <row r="1763" spans="12:12">
      <c r="L1763" s="780"/>
    </row>
    <row r="1764" spans="12:12">
      <c r="L1764" s="779"/>
    </row>
    <row r="1765" spans="12:12">
      <c r="L1765" s="927"/>
    </row>
    <row r="1766" spans="12:12">
      <c r="L1766" s="927"/>
    </row>
    <row r="1767" spans="12:12">
      <c r="L1767" s="779"/>
    </row>
    <row r="1768" spans="12:12">
      <c r="L1768" s="780"/>
    </row>
  </sheetData>
  <mergeCells count="9">
    <mergeCell ref="C1:L1"/>
    <mergeCell ref="K7:K8"/>
    <mergeCell ref="L7:L8"/>
    <mergeCell ref="C7:C8"/>
    <mergeCell ref="D7:D8"/>
    <mergeCell ref="E7:E8"/>
    <mergeCell ref="F7:F8"/>
    <mergeCell ref="G7:H7"/>
    <mergeCell ref="I7:J7"/>
  </mergeCells>
  <printOptions horizontalCentered="1"/>
  <pageMargins left="0.19685039370078741" right="0.19685039370078741" top="0.23622047244094491" bottom="3.937007874015748E-2" header="0.31496062992125984" footer="0.31496062992125984"/>
  <pageSetup paperSize="9" scale="54" orientation="landscape" r:id="rId1"/>
  <rowBreaks count="3" manualBreakCount="3">
    <brk id="22" min="2" max="11" man="1"/>
    <brk id="207" min="2" max="11" man="1"/>
    <brk id="254" min="2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Normal="100" zoomScaleSheetLayoutView="100" workbookViewId="0">
      <selection activeCell="D17" sqref="D17:H17"/>
    </sheetView>
  </sheetViews>
  <sheetFormatPr defaultColWidth="10.7109375" defaultRowHeight="21.75"/>
  <cols>
    <col min="1" max="1" width="10.7109375" style="508"/>
    <col min="2" max="2" width="19.140625" style="508" customWidth="1"/>
    <col min="3" max="3" width="12.140625" style="508" customWidth="1"/>
    <col min="4" max="4" width="18.140625" style="508" customWidth="1"/>
    <col min="5" max="5" width="22" style="508" customWidth="1"/>
    <col min="6" max="6" width="25.140625" style="508" customWidth="1"/>
    <col min="7" max="7" width="23.7109375" style="508" customWidth="1"/>
    <col min="8" max="8" width="13.7109375" style="508" customWidth="1"/>
    <col min="9" max="260" width="10.7109375" style="509"/>
    <col min="261" max="261" width="12.7109375" style="509" customWidth="1"/>
    <col min="262" max="262" width="10.7109375" style="509"/>
    <col min="263" max="263" width="13.5703125" style="509" customWidth="1"/>
    <col min="264" max="516" width="10.7109375" style="509"/>
    <col min="517" max="517" width="12.7109375" style="509" customWidth="1"/>
    <col min="518" max="518" width="10.7109375" style="509"/>
    <col min="519" max="519" width="13.5703125" style="509" customWidth="1"/>
    <col min="520" max="772" width="10.7109375" style="509"/>
    <col min="773" max="773" width="12.7109375" style="509" customWidth="1"/>
    <col min="774" max="774" width="10.7109375" style="509"/>
    <col min="775" max="775" width="13.5703125" style="509" customWidth="1"/>
    <col min="776" max="1028" width="10.7109375" style="509"/>
    <col min="1029" max="1029" width="12.7109375" style="509" customWidth="1"/>
    <col min="1030" max="1030" width="10.7109375" style="509"/>
    <col min="1031" max="1031" width="13.5703125" style="509" customWidth="1"/>
    <col min="1032" max="1284" width="10.7109375" style="509"/>
    <col min="1285" max="1285" width="12.7109375" style="509" customWidth="1"/>
    <col min="1286" max="1286" width="10.7109375" style="509"/>
    <col min="1287" max="1287" width="13.5703125" style="509" customWidth="1"/>
    <col min="1288" max="1540" width="10.7109375" style="509"/>
    <col min="1541" max="1541" width="12.7109375" style="509" customWidth="1"/>
    <col min="1542" max="1542" width="10.7109375" style="509"/>
    <col min="1543" max="1543" width="13.5703125" style="509" customWidth="1"/>
    <col min="1544" max="1796" width="10.7109375" style="509"/>
    <col min="1797" max="1797" width="12.7109375" style="509" customWidth="1"/>
    <col min="1798" max="1798" width="10.7109375" style="509"/>
    <col min="1799" max="1799" width="13.5703125" style="509" customWidth="1"/>
    <col min="1800" max="2052" width="10.7109375" style="509"/>
    <col min="2053" max="2053" width="12.7109375" style="509" customWidth="1"/>
    <col min="2054" max="2054" width="10.7109375" style="509"/>
    <col min="2055" max="2055" width="13.5703125" style="509" customWidth="1"/>
    <col min="2056" max="2308" width="10.7109375" style="509"/>
    <col min="2309" max="2309" width="12.7109375" style="509" customWidth="1"/>
    <col min="2310" max="2310" width="10.7109375" style="509"/>
    <col min="2311" max="2311" width="13.5703125" style="509" customWidth="1"/>
    <col min="2312" max="2564" width="10.7109375" style="509"/>
    <col min="2565" max="2565" width="12.7109375" style="509" customWidth="1"/>
    <col min="2566" max="2566" width="10.7109375" style="509"/>
    <col min="2567" max="2567" width="13.5703125" style="509" customWidth="1"/>
    <col min="2568" max="2820" width="10.7109375" style="509"/>
    <col min="2821" max="2821" width="12.7109375" style="509" customWidth="1"/>
    <col min="2822" max="2822" width="10.7109375" style="509"/>
    <col min="2823" max="2823" width="13.5703125" style="509" customWidth="1"/>
    <col min="2824" max="3076" width="10.7109375" style="509"/>
    <col min="3077" max="3077" width="12.7109375" style="509" customWidth="1"/>
    <col min="3078" max="3078" width="10.7109375" style="509"/>
    <col min="3079" max="3079" width="13.5703125" style="509" customWidth="1"/>
    <col min="3080" max="3332" width="10.7109375" style="509"/>
    <col min="3333" max="3333" width="12.7109375" style="509" customWidth="1"/>
    <col min="3334" max="3334" width="10.7109375" style="509"/>
    <col min="3335" max="3335" width="13.5703125" style="509" customWidth="1"/>
    <col min="3336" max="3588" width="10.7109375" style="509"/>
    <col min="3589" max="3589" width="12.7109375" style="509" customWidth="1"/>
    <col min="3590" max="3590" width="10.7109375" style="509"/>
    <col min="3591" max="3591" width="13.5703125" style="509" customWidth="1"/>
    <col min="3592" max="3844" width="10.7109375" style="509"/>
    <col min="3845" max="3845" width="12.7109375" style="509" customWidth="1"/>
    <col min="3846" max="3846" width="10.7109375" style="509"/>
    <col min="3847" max="3847" width="13.5703125" style="509" customWidth="1"/>
    <col min="3848" max="4100" width="10.7109375" style="509"/>
    <col min="4101" max="4101" width="12.7109375" style="509" customWidth="1"/>
    <col min="4102" max="4102" width="10.7109375" style="509"/>
    <col min="4103" max="4103" width="13.5703125" style="509" customWidth="1"/>
    <col min="4104" max="4356" width="10.7109375" style="509"/>
    <col min="4357" max="4357" width="12.7109375" style="509" customWidth="1"/>
    <col min="4358" max="4358" width="10.7109375" style="509"/>
    <col min="4359" max="4359" width="13.5703125" style="509" customWidth="1"/>
    <col min="4360" max="4612" width="10.7109375" style="509"/>
    <col min="4613" max="4613" width="12.7109375" style="509" customWidth="1"/>
    <col min="4614" max="4614" width="10.7109375" style="509"/>
    <col min="4615" max="4615" width="13.5703125" style="509" customWidth="1"/>
    <col min="4616" max="4868" width="10.7109375" style="509"/>
    <col min="4869" max="4869" width="12.7109375" style="509" customWidth="1"/>
    <col min="4870" max="4870" width="10.7109375" style="509"/>
    <col min="4871" max="4871" width="13.5703125" style="509" customWidth="1"/>
    <col min="4872" max="5124" width="10.7109375" style="509"/>
    <col min="5125" max="5125" width="12.7109375" style="509" customWidth="1"/>
    <col min="5126" max="5126" width="10.7109375" style="509"/>
    <col min="5127" max="5127" width="13.5703125" style="509" customWidth="1"/>
    <col min="5128" max="5380" width="10.7109375" style="509"/>
    <col min="5381" max="5381" width="12.7109375" style="509" customWidth="1"/>
    <col min="5382" max="5382" width="10.7109375" style="509"/>
    <col min="5383" max="5383" width="13.5703125" style="509" customWidth="1"/>
    <col min="5384" max="5636" width="10.7109375" style="509"/>
    <col min="5637" max="5637" width="12.7109375" style="509" customWidth="1"/>
    <col min="5638" max="5638" width="10.7109375" style="509"/>
    <col min="5639" max="5639" width="13.5703125" style="509" customWidth="1"/>
    <col min="5640" max="5892" width="10.7109375" style="509"/>
    <col min="5893" max="5893" width="12.7109375" style="509" customWidth="1"/>
    <col min="5894" max="5894" width="10.7109375" style="509"/>
    <col min="5895" max="5895" width="13.5703125" style="509" customWidth="1"/>
    <col min="5896" max="6148" width="10.7109375" style="509"/>
    <col min="6149" max="6149" width="12.7109375" style="509" customWidth="1"/>
    <col min="6150" max="6150" width="10.7109375" style="509"/>
    <col min="6151" max="6151" width="13.5703125" style="509" customWidth="1"/>
    <col min="6152" max="6404" width="10.7109375" style="509"/>
    <col min="6405" max="6405" width="12.7109375" style="509" customWidth="1"/>
    <col min="6406" max="6406" width="10.7109375" style="509"/>
    <col min="6407" max="6407" width="13.5703125" style="509" customWidth="1"/>
    <col min="6408" max="6660" width="10.7109375" style="509"/>
    <col min="6661" max="6661" width="12.7109375" style="509" customWidth="1"/>
    <col min="6662" max="6662" width="10.7109375" style="509"/>
    <col min="6663" max="6663" width="13.5703125" style="509" customWidth="1"/>
    <col min="6664" max="6916" width="10.7109375" style="509"/>
    <col min="6917" max="6917" width="12.7109375" style="509" customWidth="1"/>
    <col min="6918" max="6918" width="10.7109375" style="509"/>
    <col min="6919" max="6919" width="13.5703125" style="509" customWidth="1"/>
    <col min="6920" max="7172" width="10.7109375" style="509"/>
    <col min="7173" max="7173" width="12.7109375" style="509" customWidth="1"/>
    <col min="7174" max="7174" width="10.7109375" style="509"/>
    <col min="7175" max="7175" width="13.5703125" style="509" customWidth="1"/>
    <col min="7176" max="7428" width="10.7109375" style="509"/>
    <col min="7429" max="7429" width="12.7109375" style="509" customWidth="1"/>
    <col min="7430" max="7430" width="10.7109375" style="509"/>
    <col min="7431" max="7431" width="13.5703125" style="509" customWidth="1"/>
    <col min="7432" max="7684" width="10.7109375" style="509"/>
    <col min="7685" max="7685" width="12.7109375" style="509" customWidth="1"/>
    <col min="7686" max="7686" width="10.7109375" style="509"/>
    <col min="7687" max="7687" width="13.5703125" style="509" customWidth="1"/>
    <col min="7688" max="7940" width="10.7109375" style="509"/>
    <col min="7941" max="7941" width="12.7109375" style="509" customWidth="1"/>
    <col min="7942" max="7942" width="10.7109375" style="509"/>
    <col min="7943" max="7943" width="13.5703125" style="509" customWidth="1"/>
    <col min="7944" max="8196" width="10.7109375" style="509"/>
    <col min="8197" max="8197" width="12.7109375" style="509" customWidth="1"/>
    <col min="8198" max="8198" width="10.7109375" style="509"/>
    <col min="8199" max="8199" width="13.5703125" style="509" customWidth="1"/>
    <col min="8200" max="8452" width="10.7109375" style="509"/>
    <col min="8453" max="8453" width="12.7109375" style="509" customWidth="1"/>
    <col min="8454" max="8454" width="10.7109375" style="509"/>
    <col min="8455" max="8455" width="13.5703125" style="509" customWidth="1"/>
    <col min="8456" max="8708" width="10.7109375" style="509"/>
    <col min="8709" max="8709" width="12.7109375" style="509" customWidth="1"/>
    <col min="8710" max="8710" width="10.7109375" style="509"/>
    <col min="8711" max="8711" width="13.5703125" style="509" customWidth="1"/>
    <col min="8712" max="8964" width="10.7109375" style="509"/>
    <col min="8965" max="8965" width="12.7109375" style="509" customWidth="1"/>
    <col min="8966" max="8966" width="10.7109375" style="509"/>
    <col min="8967" max="8967" width="13.5703125" style="509" customWidth="1"/>
    <col min="8968" max="9220" width="10.7109375" style="509"/>
    <col min="9221" max="9221" width="12.7109375" style="509" customWidth="1"/>
    <col min="9222" max="9222" width="10.7109375" style="509"/>
    <col min="9223" max="9223" width="13.5703125" style="509" customWidth="1"/>
    <col min="9224" max="9476" width="10.7109375" style="509"/>
    <col min="9477" max="9477" width="12.7109375" style="509" customWidth="1"/>
    <col min="9478" max="9478" width="10.7109375" style="509"/>
    <col min="9479" max="9479" width="13.5703125" style="509" customWidth="1"/>
    <col min="9480" max="9732" width="10.7109375" style="509"/>
    <col min="9733" max="9733" width="12.7109375" style="509" customWidth="1"/>
    <col min="9734" max="9734" width="10.7109375" style="509"/>
    <col min="9735" max="9735" width="13.5703125" style="509" customWidth="1"/>
    <col min="9736" max="9988" width="10.7109375" style="509"/>
    <col min="9989" max="9989" width="12.7109375" style="509" customWidth="1"/>
    <col min="9990" max="9990" width="10.7109375" style="509"/>
    <col min="9991" max="9991" width="13.5703125" style="509" customWidth="1"/>
    <col min="9992" max="10244" width="10.7109375" style="509"/>
    <col min="10245" max="10245" width="12.7109375" style="509" customWidth="1"/>
    <col min="10246" max="10246" width="10.7109375" style="509"/>
    <col min="10247" max="10247" width="13.5703125" style="509" customWidth="1"/>
    <col min="10248" max="10500" width="10.7109375" style="509"/>
    <col min="10501" max="10501" width="12.7109375" style="509" customWidth="1"/>
    <col min="10502" max="10502" width="10.7109375" style="509"/>
    <col min="10503" max="10503" width="13.5703125" style="509" customWidth="1"/>
    <col min="10504" max="10756" width="10.7109375" style="509"/>
    <col min="10757" max="10757" width="12.7109375" style="509" customWidth="1"/>
    <col min="10758" max="10758" width="10.7109375" style="509"/>
    <col min="10759" max="10759" width="13.5703125" style="509" customWidth="1"/>
    <col min="10760" max="11012" width="10.7109375" style="509"/>
    <col min="11013" max="11013" width="12.7109375" style="509" customWidth="1"/>
    <col min="11014" max="11014" width="10.7109375" style="509"/>
    <col min="11015" max="11015" width="13.5703125" style="509" customWidth="1"/>
    <col min="11016" max="11268" width="10.7109375" style="509"/>
    <col min="11269" max="11269" width="12.7109375" style="509" customWidth="1"/>
    <col min="11270" max="11270" width="10.7109375" style="509"/>
    <col min="11271" max="11271" width="13.5703125" style="509" customWidth="1"/>
    <col min="11272" max="11524" width="10.7109375" style="509"/>
    <col min="11525" max="11525" width="12.7109375" style="509" customWidth="1"/>
    <col min="11526" max="11526" width="10.7109375" style="509"/>
    <col min="11527" max="11527" width="13.5703125" style="509" customWidth="1"/>
    <col min="11528" max="11780" width="10.7109375" style="509"/>
    <col min="11781" max="11781" width="12.7109375" style="509" customWidth="1"/>
    <col min="11782" max="11782" width="10.7109375" style="509"/>
    <col min="11783" max="11783" width="13.5703125" style="509" customWidth="1"/>
    <col min="11784" max="12036" width="10.7109375" style="509"/>
    <col min="12037" max="12037" width="12.7109375" style="509" customWidth="1"/>
    <col min="12038" max="12038" width="10.7109375" style="509"/>
    <col min="12039" max="12039" width="13.5703125" style="509" customWidth="1"/>
    <col min="12040" max="12292" width="10.7109375" style="509"/>
    <col min="12293" max="12293" width="12.7109375" style="509" customWidth="1"/>
    <col min="12294" max="12294" width="10.7109375" style="509"/>
    <col min="12295" max="12295" width="13.5703125" style="509" customWidth="1"/>
    <col min="12296" max="12548" width="10.7109375" style="509"/>
    <col min="12549" max="12549" width="12.7109375" style="509" customWidth="1"/>
    <col min="12550" max="12550" width="10.7109375" style="509"/>
    <col min="12551" max="12551" width="13.5703125" style="509" customWidth="1"/>
    <col min="12552" max="12804" width="10.7109375" style="509"/>
    <col min="12805" max="12805" width="12.7109375" style="509" customWidth="1"/>
    <col min="12806" max="12806" width="10.7109375" style="509"/>
    <col min="12807" max="12807" width="13.5703125" style="509" customWidth="1"/>
    <col min="12808" max="13060" width="10.7109375" style="509"/>
    <col min="13061" max="13061" width="12.7109375" style="509" customWidth="1"/>
    <col min="13062" max="13062" width="10.7109375" style="509"/>
    <col min="13063" max="13063" width="13.5703125" style="509" customWidth="1"/>
    <col min="13064" max="13316" width="10.7109375" style="509"/>
    <col min="13317" max="13317" width="12.7109375" style="509" customWidth="1"/>
    <col min="13318" max="13318" width="10.7109375" style="509"/>
    <col min="13319" max="13319" width="13.5703125" style="509" customWidth="1"/>
    <col min="13320" max="13572" width="10.7109375" style="509"/>
    <col min="13573" max="13573" width="12.7109375" style="509" customWidth="1"/>
    <col min="13574" max="13574" width="10.7109375" style="509"/>
    <col min="13575" max="13575" width="13.5703125" style="509" customWidth="1"/>
    <col min="13576" max="13828" width="10.7109375" style="509"/>
    <col min="13829" max="13829" width="12.7109375" style="509" customWidth="1"/>
    <col min="13830" max="13830" width="10.7109375" style="509"/>
    <col min="13831" max="13831" width="13.5703125" style="509" customWidth="1"/>
    <col min="13832" max="14084" width="10.7109375" style="509"/>
    <col min="14085" max="14085" width="12.7109375" style="509" customWidth="1"/>
    <col min="14086" max="14086" width="10.7109375" style="509"/>
    <col min="14087" max="14087" width="13.5703125" style="509" customWidth="1"/>
    <col min="14088" max="14340" width="10.7109375" style="509"/>
    <col min="14341" max="14341" width="12.7109375" style="509" customWidth="1"/>
    <col min="14342" max="14342" width="10.7109375" style="509"/>
    <col min="14343" max="14343" width="13.5703125" style="509" customWidth="1"/>
    <col min="14344" max="14596" width="10.7109375" style="509"/>
    <col min="14597" max="14597" width="12.7109375" style="509" customWidth="1"/>
    <col min="14598" max="14598" width="10.7109375" style="509"/>
    <col min="14599" max="14599" width="13.5703125" style="509" customWidth="1"/>
    <col min="14600" max="14852" width="10.7109375" style="509"/>
    <col min="14853" max="14853" width="12.7109375" style="509" customWidth="1"/>
    <col min="14854" max="14854" width="10.7109375" style="509"/>
    <col min="14855" max="14855" width="13.5703125" style="509" customWidth="1"/>
    <col min="14856" max="15108" width="10.7109375" style="509"/>
    <col min="15109" max="15109" width="12.7109375" style="509" customWidth="1"/>
    <col min="15110" max="15110" width="10.7109375" style="509"/>
    <col min="15111" max="15111" width="13.5703125" style="509" customWidth="1"/>
    <col min="15112" max="15364" width="10.7109375" style="509"/>
    <col min="15365" max="15365" width="12.7109375" style="509" customWidth="1"/>
    <col min="15366" max="15366" width="10.7109375" style="509"/>
    <col min="15367" max="15367" width="13.5703125" style="509" customWidth="1"/>
    <col min="15368" max="15620" width="10.7109375" style="509"/>
    <col min="15621" max="15621" width="12.7109375" style="509" customWidth="1"/>
    <col min="15622" max="15622" width="10.7109375" style="509"/>
    <col min="15623" max="15623" width="13.5703125" style="509" customWidth="1"/>
    <col min="15624" max="15876" width="10.7109375" style="509"/>
    <col min="15877" max="15877" width="12.7109375" style="509" customWidth="1"/>
    <col min="15878" max="15878" width="10.7109375" style="509"/>
    <col min="15879" max="15879" width="13.5703125" style="509" customWidth="1"/>
    <col min="15880" max="16132" width="10.7109375" style="509"/>
    <col min="16133" max="16133" width="12.7109375" style="509" customWidth="1"/>
    <col min="16134" max="16134" width="10.7109375" style="509"/>
    <col min="16135" max="16135" width="13.5703125" style="509" customWidth="1"/>
    <col min="16136" max="16384" width="10.7109375" style="509"/>
  </cols>
  <sheetData>
    <row r="1" spans="2:8" ht="22.5" thickBot="1">
      <c r="B1" s="1033"/>
      <c r="C1" s="1033"/>
    </row>
    <row r="2" spans="2:8" ht="22.5" thickBot="1">
      <c r="B2" s="1034" t="s">
        <v>1212</v>
      </c>
      <c r="C2" s="1035"/>
      <c r="D2" s="1036" t="s">
        <v>1213</v>
      </c>
      <c r="E2" s="1037"/>
      <c r="F2" s="1037"/>
      <c r="G2" s="1037"/>
      <c r="H2" s="1038"/>
    </row>
    <row r="3" spans="2:8">
      <c r="B3" s="510" t="s">
        <v>1214</v>
      </c>
      <c r="C3" s="511">
        <v>0</v>
      </c>
      <c r="D3" s="512" t="s">
        <v>1215</v>
      </c>
      <c r="H3" s="513"/>
    </row>
    <row r="4" spans="2:8">
      <c r="B4" s="510" t="s">
        <v>1216</v>
      </c>
      <c r="C4" s="511">
        <v>0</v>
      </c>
      <c r="D4" s="1039" t="s">
        <v>1217</v>
      </c>
      <c r="E4" s="1040"/>
      <c r="F4" s="1040"/>
      <c r="H4" s="514"/>
    </row>
    <row r="5" spans="2:8">
      <c r="B5" s="510" t="s">
        <v>1218</v>
      </c>
      <c r="C5" s="515">
        <v>7.0000000000000007E-2</v>
      </c>
      <c r="D5" s="543" t="s">
        <v>1219</v>
      </c>
      <c r="E5" s="544"/>
      <c r="G5" s="545">
        <f>+E15</f>
        <v>0</v>
      </c>
      <c r="H5" s="516" t="s">
        <v>1220</v>
      </c>
    </row>
    <row r="6" spans="2:8">
      <c r="B6" s="510" t="s">
        <v>1221</v>
      </c>
      <c r="C6" s="511">
        <v>7.0000000000000007E-2</v>
      </c>
      <c r="D6" s="517" t="s">
        <v>1222</v>
      </c>
      <c r="E6" s="1041" t="s">
        <v>1386</v>
      </c>
      <c r="F6" s="1041"/>
      <c r="G6" s="546"/>
      <c r="H6" s="514"/>
    </row>
    <row r="7" spans="2:8" ht="22.5" thickBot="1">
      <c r="B7" s="518"/>
      <c r="C7" s="519"/>
      <c r="G7" s="547"/>
      <c r="H7" s="514"/>
    </row>
    <row r="8" spans="2:8" ht="23.25" thickTop="1" thickBot="1">
      <c r="B8" s="520" t="s">
        <v>415</v>
      </c>
      <c r="C8" s="521" t="s">
        <v>416</v>
      </c>
      <c r="D8" s="522" t="s">
        <v>515</v>
      </c>
      <c r="E8" s="523">
        <f>IF(E9&lt;499999,500000,VLOOKUP(E9,B10:B33,1,TRUE))</f>
        <v>500000</v>
      </c>
      <c r="F8" s="524" t="s">
        <v>1223</v>
      </c>
      <c r="G8" s="547"/>
      <c r="H8" s="514"/>
    </row>
    <row r="9" spans="2:8" ht="23.25" thickTop="1" thickBot="1">
      <c r="B9" s="525" t="s">
        <v>1224</v>
      </c>
      <c r="C9" s="526"/>
      <c r="D9" s="527" t="s">
        <v>509</v>
      </c>
      <c r="E9" s="528">
        <f>'ปร.5(ก)'!F19</f>
        <v>0</v>
      </c>
      <c r="F9" s="508" t="s">
        <v>1225</v>
      </c>
      <c r="H9" s="514"/>
    </row>
    <row r="10" spans="2:8" ht="22.5" thickTop="1">
      <c r="B10" s="529">
        <v>500000</v>
      </c>
      <c r="C10" s="548">
        <v>1.3090999999999999</v>
      </c>
      <c r="D10" s="530" t="s">
        <v>1226</v>
      </c>
      <c r="E10" s="531">
        <f>IF(E9&gt;500000001,500000001,INDEX(B10:B33,MATCH(E8,B10:B33,0)+1,1))</f>
        <v>1000000</v>
      </c>
      <c r="F10" s="532" t="s">
        <v>1227</v>
      </c>
      <c r="H10" s="514"/>
    </row>
    <row r="11" spans="2:8">
      <c r="B11" s="529">
        <v>1000000</v>
      </c>
      <c r="C11" s="549">
        <v>1.3067</v>
      </c>
      <c r="H11" s="514"/>
    </row>
    <row r="12" spans="2:8">
      <c r="B12" s="529">
        <v>2000000</v>
      </c>
      <c r="C12" s="550">
        <v>1.3050999999999999</v>
      </c>
      <c r="D12" s="533" t="s">
        <v>1228</v>
      </c>
      <c r="E12" s="534">
        <f>VLOOKUP(E8,$B$10:$C$33,2,FALSE)</f>
        <v>1.3090999999999999</v>
      </c>
      <c r="F12" s="508" t="s">
        <v>1229</v>
      </c>
      <c r="H12" s="514"/>
    </row>
    <row r="13" spans="2:8" ht="22.5" thickBot="1">
      <c r="B13" s="529">
        <v>5000000</v>
      </c>
      <c r="C13" s="550">
        <v>1.302</v>
      </c>
      <c r="D13" s="533" t="s">
        <v>1230</v>
      </c>
      <c r="E13" s="534">
        <f>VLOOKUP(E10,$B$10:$C$33,2,FALSE)</f>
        <v>1.3067</v>
      </c>
      <c r="F13" s="508" t="s">
        <v>1231</v>
      </c>
      <c r="H13" s="514"/>
    </row>
    <row r="14" spans="2:8" ht="23.25" thickTop="1" thickBot="1">
      <c r="B14" s="529">
        <v>10000000</v>
      </c>
      <c r="C14" s="550">
        <v>1.296</v>
      </c>
      <c r="D14" s="527" t="s">
        <v>1222</v>
      </c>
      <c r="E14" s="535">
        <f>ROUND(E12-(((E12-E13)*(E9-E8))/(E10-E8)),4)</f>
        <v>1.3115000000000001</v>
      </c>
      <c r="F14" s="536" t="s">
        <v>1232</v>
      </c>
      <c r="H14" s="514"/>
    </row>
    <row r="15" spans="2:8" ht="22.5" thickTop="1">
      <c r="B15" s="529">
        <v>15000000</v>
      </c>
      <c r="C15" s="550">
        <v>1.2611000000000001</v>
      </c>
      <c r="D15" s="533" t="s">
        <v>1233</v>
      </c>
      <c r="E15" s="537">
        <f>E9*E14</f>
        <v>0</v>
      </c>
      <c r="F15" s="536"/>
      <c r="H15" s="514"/>
    </row>
    <row r="16" spans="2:8">
      <c r="B16" s="529">
        <v>20000000</v>
      </c>
      <c r="C16" s="550">
        <v>1.2535000000000001</v>
      </c>
      <c r="H16" s="514"/>
    </row>
    <row r="17" spans="2:8">
      <c r="B17" s="529">
        <v>25000000</v>
      </c>
      <c r="C17" s="550">
        <v>1.2264999999999999</v>
      </c>
      <c r="D17" s="1030"/>
      <c r="E17" s="1031"/>
      <c r="F17" s="1031"/>
      <c r="G17" s="1031"/>
      <c r="H17" s="1032"/>
    </row>
    <row r="18" spans="2:8" ht="22.5" thickBot="1">
      <c r="B18" s="529">
        <v>30000000</v>
      </c>
      <c r="C18" s="550">
        <v>1.2181</v>
      </c>
      <c r="D18" s="538"/>
      <c r="E18" s="538"/>
      <c r="F18" s="538"/>
      <c r="G18" s="538"/>
      <c r="H18" s="539"/>
    </row>
    <row r="19" spans="2:8">
      <c r="B19" s="529">
        <v>40000000</v>
      </c>
      <c r="C19" s="550">
        <v>1.2177</v>
      </c>
    </row>
    <row r="20" spans="2:8">
      <c r="B20" s="529">
        <v>50000000</v>
      </c>
      <c r="C20" s="550">
        <v>1.2176</v>
      </c>
      <c r="E20" s="524" t="s">
        <v>2</v>
      </c>
    </row>
    <row r="21" spans="2:8">
      <c r="B21" s="529">
        <v>60000000</v>
      </c>
      <c r="C21" s="550">
        <v>1.2078</v>
      </c>
      <c r="E21" s="508" t="s">
        <v>2</v>
      </c>
    </row>
    <row r="22" spans="2:8">
      <c r="B22" s="529">
        <v>70000000</v>
      </c>
      <c r="C22" s="550">
        <v>1.2067000000000001</v>
      </c>
      <c r="E22" s="508" t="s">
        <v>2</v>
      </c>
    </row>
    <row r="23" spans="2:8">
      <c r="B23" s="529">
        <v>80000000</v>
      </c>
      <c r="C23" s="550">
        <v>1.2067000000000001</v>
      </c>
      <c r="D23" s="540"/>
      <c r="E23" s="541" t="s">
        <v>2</v>
      </c>
      <c r="F23" s="536"/>
    </row>
    <row r="24" spans="2:8">
      <c r="B24" s="529">
        <v>90000000</v>
      </c>
      <c r="C24" s="550">
        <v>1.2065999999999999</v>
      </c>
      <c r="E24" s="508" t="s">
        <v>2</v>
      </c>
    </row>
    <row r="25" spans="2:8">
      <c r="B25" s="529">
        <v>100000000</v>
      </c>
      <c r="C25" s="550">
        <v>1.2065999999999999</v>
      </c>
      <c r="G25" s="536"/>
    </row>
    <row r="26" spans="2:8">
      <c r="B26" s="529">
        <v>150000000</v>
      </c>
      <c r="C26" s="550">
        <v>1.2039</v>
      </c>
    </row>
    <row r="27" spans="2:8">
      <c r="B27" s="529">
        <v>200000000</v>
      </c>
      <c r="C27" s="550">
        <v>1.2039</v>
      </c>
      <c r="G27" s="541" t="s">
        <v>2</v>
      </c>
    </row>
    <row r="28" spans="2:8">
      <c r="B28" s="529">
        <v>250000000</v>
      </c>
      <c r="C28" s="550">
        <v>1.2031000000000001</v>
      </c>
    </row>
    <row r="29" spans="2:8">
      <c r="B29" s="529">
        <v>300000000</v>
      </c>
      <c r="C29" s="550">
        <v>1.1969000000000001</v>
      </c>
      <c r="G29" s="536"/>
    </row>
    <row r="30" spans="2:8">
      <c r="B30" s="529">
        <v>350000000</v>
      </c>
      <c r="C30" s="550">
        <v>1.1883999999999999</v>
      </c>
    </row>
    <row r="31" spans="2:8">
      <c r="B31" s="529">
        <v>400000000</v>
      </c>
      <c r="C31" s="550">
        <v>1.1877</v>
      </c>
      <c r="G31" s="536"/>
    </row>
    <row r="32" spans="2:8">
      <c r="B32" s="529">
        <v>500000000</v>
      </c>
      <c r="C32" s="550">
        <v>1.1871</v>
      </c>
    </row>
    <row r="33" spans="2:7">
      <c r="B33" s="542">
        <v>500000001</v>
      </c>
      <c r="C33" s="550">
        <v>1.1805000000000001</v>
      </c>
      <c r="G33" s="536"/>
    </row>
  </sheetData>
  <mergeCells count="6">
    <mergeCell ref="D17:H17"/>
    <mergeCell ref="B1:C1"/>
    <mergeCell ref="B2:C2"/>
    <mergeCell ref="D2:H2"/>
    <mergeCell ref="D4:F4"/>
    <mergeCell ref="E6:F6"/>
  </mergeCells>
  <pageMargins left="0.7" right="0.7" top="0.75" bottom="0.75" header="0.3" footer="0.3"/>
  <pageSetup paperSize="9" scale="56" orientation="portrait" r:id="rId1"/>
  <colBreaks count="1" manualBreakCount="1">
    <brk id="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5"/>
  <sheetViews>
    <sheetView topLeftCell="A3" workbookViewId="0">
      <pane xSplit="8" ySplit="7" topLeftCell="I10" activePane="bottomRight" state="frozen"/>
      <selection activeCell="A3" sqref="A3"/>
      <selection pane="topRight" activeCell="I3" sqref="I3"/>
      <selection pane="bottomLeft" activeCell="A10" sqref="A10"/>
      <selection pane="bottomRight" activeCell="C124" sqref="C124"/>
    </sheetView>
  </sheetViews>
  <sheetFormatPr defaultRowHeight="19.5"/>
  <cols>
    <col min="1" max="1" width="4.140625" style="7" customWidth="1"/>
    <col min="2" max="2" width="10" style="2" customWidth="1"/>
    <col min="3" max="3" width="9.140625" style="2" customWidth="1"/>
    <col min="4" max="4" width="5" style="2" customWidth="1"/>
    <col min="5" max="5" width="6.140625" style="2" customWidth="1"/>
    <col min="6" max="6" width="5" style="2" customWidth="1"/>
    <col min="7" max="7" width="6.7109375" style="7" customWidth="1"/>
    <col min="8" max="8" width="5" style="7" customWidth="1"/>
    <col min="9" max="9" width="7.7109375" style="6" customWidth="1"/>
    <col min="10" max="11" width="8.140625" style="6" customWidth="1"/>
    <col min="12" max="13" width="7.7109375" style="6" customWidth="1"/>
    <col min="14" max="15" width="7.7109375" style="5" customWidth="1"/>
    <col min="16" max="16" width="8.140625" style="3" customWidth="1"/>
    <col min="17" max="17" width="6.7109375" style="3" customWidth="1"/>
    <col min="18" max="18" width="6.7109375" style="4" customWidth="1"/>
    <col min="19" max="19" width="10.140625" style="4" customWidth="1"/>
    <col min="20" max="21" width="7.7109375" style="3" customWidth="1"/>
    <col min="22" max="23" width="6.7109375" style="3" customWidth="1"/>
    <col min="24" max="25" width="7.7109375" style="3" customWidth="1"/>
    <col min="26" max="26" width="8.140625" style="3" bestFit="1" customWidth="1"/>
    <col min="27" max="27" width="7.140625" style="3" bestFit="1" customWidth="1"/>
    <col min="28" max="28" width="7.7109375" style="3" customWidth="1"/>
    <col min="29" max="258" width="9" style="2"/>
    <col min="259" max="259" width="4.140625" style="2" customWidth="1"/>
    <col min="260" max="260" width="5" style="2" customWidth="1"/>
    <col min="261" max="261" width="9.140625" style="2" customWidth="1"/>
    <col min="262" max="264" width="5" style="2" customWidth="1"/>
    <col min="265" max="265" width="5.85546875" style="2" customWidth="1"/>
    <col min="266" max="266" width="5" style="2" customWidth="1"/>
    <col min="267" max="272" width="7.7109375" style="2" customWidth="1"/>
    <col min="273" max="273" width="8.140625" style="2" customWidth="1"/>
    <col min="274" max="275" width="6.7109375" style="2" customWidth="1"/>
    <col min="276" max="277" width="7.7109375" style="2" customWidth="1"/>
    <col min="278" max="279" width="6.7109375" style="2" customWidth="1"/>
    <col min="280" max="281" width="7.7109375" style="2" customWidth="1"/>
    <col min="282" max="282" width="8.140625" style="2" bestFit="1" customWidth="1"/>
    <col min="283" max="283" width="7.140625" style="2" bestFit="1" customWidth="1"/>
    <col min="284" max="284" width="6.7109375" style="2" customWidth="1"/>
    <col min="285" max="514" width="9" style="2"/>
    <col min="515" max="515" width="4.140625" style="2" customWidth="1"/>
    <col min="516" max="516" width="5" style="2" customWidth="1"/>
    <col min="517" max="517" width="9.140625" style="2" customWidth="1"/>
    <col min="518" max="520" width="5" style="2" customWidth="1"/>
    <col min="521" max="521" width="5.85546875" style="2" customWidth="1"/>
    <col min="522" max="522" width="5" style="2" customWidth="1"/>
    <col min="523" max="528" width="7.7109375" style="2" customWidth="1"/>
    <col min="529" max="529" width="8.140625" style="2" customWidth="1"/>
    <col min="530" max="531" width="6.7109375" style="2" customWidth="1"/>
    <col min="532" max="533" width="7.7109375" style="2" customWidth="1"/>
    <col min="534" max="535" width="6.7109375" style="2" customWidth="1"/>
    <col min="536" max="537" width="7.7109375" style="2" customWidth="1"/>
    <col min="538" max="538" width="8.140625" style="2" bestFit="1" customWidth="1"/>
    <col min="539" max="539" width="7.140625" style="2" bestFit="1" customWidth="1"/>
    <col min="540" max="540" width="6.7109375" style="2" customWidth="1"/>
    <col min="541" max="770" width="9" style="2"/>
    <col min="771" max="771" width="4.140625" style="2" customWidth="1"/>
    <col min="772" max="772" width="5" style="2" customWidth="1"/>
    <col min="773" max="773" width="9.140625" style="2" customWidth="1"/>
    <col min="774" max="776" width="5" style="2" customWidth="1"/>
    <col min="777" max="777" width="5.85546875" style="2" customWidth="1"/>
    <col min="778" max="778" width="5" style="2" customWidth="1"/>
    <col min="779" max="784" width="7.7109375" style="2" customWidth="1"/>
    <col min="785" max="785" width="8.140625" style="2" customWidth="1"/>
    <col min="786" max="787" width="6.7109375" style="2" customWidth="1"/>
    <col min="788" max="789" width="7.7109375" style="2" customWidth="1"/>
    <col min="790" max="791" width="6.7109375" style="2" customWidth="1"/>
    <col min="792" max="793" width="7.7109375" style="2" customWidth="1"/>
    <col min="794" max="794" width="8.140625" style="2" bestFit="1" customWidth="1"/>
    <col min="795" max="795" width="7.140625" style="2" bestFit="1" customWidth="1"/>
    <col min="796" max="796" width="6.7109375" style="2" customWidth="1"/>
    <col min="797" max="1026" width="9" style="2"/>
    <col min="1027" max="1027" width="4.140625" style="2" customWidth="1"/>
    <col min="1028" max="1028" width="5" style="2" customWidth="1"/>
    <col min="1029" max="1029" width="9.140625" style="2" customWidth="1"/>
    <col min="1030" max="1032" width="5" style="2" customWidth="1"/>
    <col min="1033" max="1033" width="5.85546875" style="2" customWidth="1"/>
    <col min="1034" max="1034" width="5" style="2" customWidth="1"/>
    <col min="1035" max="1040" width="7.7109375" style="2" customWidth="1"/>
    <col min="1041" max="1041" width="8.140625" style="2" customWidth="1"/>
    <col min="1042" max="1043" width="6.7109375" style="2" customWidth="1"/>
    <col min="1044" max="1045" width="7.7109375" style="2" customWidth="1"/>
    <col min="1046" max="1047" width="6.7109375" style="2" customWidth="1"/>
    <col min="1048" max="1049" width="7.7109375" style="2" customWidth="1"/>
    <col min="1050" max="1050" width="8.140625" style="2" bestFit="1" customWidth="1"/>
    <col min="1051" max="1051" width="7.140625" style="2" bestFit="1" customWidth="1"/>
    <col min="1052" max="1052" width="6.7109375" style="2" customWidth="1"/>
    <col min="1053" max="1282" width="9" style="2"/>
    <col min="1283" max="1283" width="4.140625" style="2" customWidth="1"/>
    <col min="1284" max="1284" width="5" style="2" customWidth="1"/>
    <col min="1285" max="1285" width="9.140625" style="2" customWidth="1"/>
    <col min="1286" max="1288" width="5" style="2" customWidth="1"/>
    <col min="1289" max="1289" width="5.85546875" style="2" customWidth="1"/>
    <col min="1290" max="1290" width="5" style="2" customWidth="1"/>
    <col min="1291" max="1296" width="7.7109375" style="2" customWidth="1"/>
    <col min="1297" max="1297" width="8.140625" style="2" customWidth="1"/>
    <col min="1298" max="1299" width="6.7109375" style="2" customWidth="1"/>
    <col min="1300" max="1301" width="7.7109375" style="2" customWidth="1"/>
    <col min="1302" max="1303" width="6.7109375" style="2" customWidth="1"/>
    <col min="1304" max="1305" width="7.7109375" style="2" customWidth="1"/>
    <col min="1306" max="1306" width="8.140625" style="2" bestFit="1" customWidth="1"/>
    <col min="1307" max="1307" width="7.140625" style="2" bestFit="1" customWidth="1"/>
    <col min="1308" max="1308" width="6.7109375" style="2" customWidth="1"/>
    <col min="1309" max="1538" width="9" style="2"/>
    <col min="1539" max="1539" width="4.140625" style="2" customWidth="1"/>
    <col min="1540" max="1540" width="5" style="2" customWidth="1"/>
    <col min="1541" max="1541" width="9.140625" style="2" customWidth="1"/>
    <col min="1542" max="1544" width="5" style="2" customWidth="1"/>
    <col min="1545" max="1545" width="5.85546875" style="2" customWidth="1"/>
    <col min="1546" max="1546" width="5" style="2" customWidth="1"/>
    <col min="1547" max="1552" width="7.7109375" style="2" customWidth="1"/>
    <col min="1553" max="1553" width="8.140625" style="2" customWidth="1"/>
    <col min="1554" max="1555" width="6.7109375" style="2" customWidth="1"/>
    <col min="1556" max="1557" width="7.7109375" style="2" customWidth="1"/>
    <col min="1558" max="1559" width="6.7109375" style="2" customWidth="1"/>
    <col min="1560" max="1561" width="7.7109375" style="2" customWidth="1"/>
    <col min="1562" max="1562" width="8.140625" style="2" bestFit="1" customWidth="1"/>
    <col min="1563" max="1563" width="7.140625" style="2" bestFit="1" customWidth="1"/>
    <col min="1564" max="1564" width="6.7109375" style="2" customWidth="1"/>
    <col min="1565" max="1794" width="9" style="2"/>
    <col min="1795" max="1795" width="4.140625" style="2" customWidth="1"/>
    <col min="1796" max="1796" width="5" style="2" customWidth="1"/>
    <col min="1797" max="1797" width="9.140625" style="2" customWidth="1"/>
    <col min="1798" max="1800" width="5" style="2" customWidth="1"/>
    <col min="1801" max="1801" width="5.85546875" style="2" customWidth="1"/>
    <col min="1802" max="1802" width="5" style="2" customWidth="1"/>
    <col min="1803" max="1808" width="7.7109375" style="2" customWidth="1"/>
    <col min="1809" max="1809" width="8.140625" style="2" customWidth="1"/>
    <col min="1810" max="1811" width="6.7109375" style="2" customWidth="1"/>
    <col min="1812" max="1813" width="7.7109375" style="2" customWidth="1"/>
    <col min="1814" max="1815" width="6.7109375" style="2" customWidth="1"/>
    <col min="1816" max="1817" width="7.7109375" style="2" customWidth="1"/>
    <col min="1818" max="1818" width="8.140625" style="2" bestFit="1" customWidth="1"/>
    <col min="1819" max="1819" width="7.140625" style="2" bestFit="1" customWidth="1"/>
    <col min="1820" max="1820" width="6.7109375" style="2" customWidth="1"/>
    <col min="1821" max="2050" width="9" style="2"/>
    <col min="2051" max="2051" width="4.140625" style="2" customWidth="1"/>
    <col min="2052" max="2052" width="5" style="2" customWidth="1"/>
    <col min="2053" max="2053" width="9.140625" style="2" customWidth="1"/>
    <col min="2054" max="2056" width="5" style="2" customWidth="1"/>
    <col min="2057" max="2057" width="5.85546875" style="2" customWidth="1"/>
    <col min="2058" max="2058" width="5" style="2" customWidth="1"/>
    <col min="2059" max="2064" width="7.7109375" style="2" customWidth="1"/>
    <col min="2065" max="2065" width="8.140625" style="2" customWidth="1"/>
    <col min="2066" max="2067" width="6.7109375" style="2" customWidth="1"/>
    <col min="2068" max="2069" width="7.7109375" style="2" customWidth="1"/>
    <col min="2070" max="2071" width="6.7109375" style="2" customWidth="1"/>
    <col min="2072" max="2073" width="7.7109375" style="2" customWidth="1"/>
    <col min="2074" max="2074" width="8.140625" style="2" bestFit="1" customWidth="1"/>
    <col min="2075" max="2075" width="7.140625" style="2" bestFit="1" customWidth="1"/>
    <col min="2076" max="2076" width="6.7109375" style="2" customWidth="1"/>
    <col min="2077" max="2306" width="9" style="2"/>
    <col min="2307" max="2307" width="4.140625" style="2" customWidth="1"/>
    <col min="2308" max="2308" width="5" style="2" customWidth="1"/>
    <col min="2309" max="2309" width="9.140625" style="2" customWidth="1"/>
    <col min="2310" max="2312" width="5" style="2" customWidth="1"/>
    <col min="2313" max="2313" width="5.85546875" style="2" customWidth="1"/>
    <col min="2314" max="2314" width="5" style="2" customWidth="1"/>
    <col min="2315" max="2320" width="7.7109375" style="2" customWidth="1"/>
    <col min="2321" max="2321" width="8.140625" style="2" customWidth="1"/>
    <col min="2322" max="2323" width="6.7109375" style="2" customWidth="1"/>
    <col min="2324" max="2325" width="7.7109375" style="2" customWidth="1"/>
    <col min="2326" max="2327" width="6.7109375" style="2" customWidth="1"/>
    <col min="2328" max="2329" width="7.7109375" style="2" customWidth="1"/>
    <col min="2330" max="2330" width="8.140625" style="2" bestFit="1" customWidth="1"/>
    <col min="2331" max="2331" width="7.140625" style="2" bestFit="1" customWidth="1"/>
    <col min="2332" max="2332" width="6.7109375" style="2" customWidth="1"/>
    <col min="2333" max="2562" width="9" style="2"/>
    <col min="2563" max="2563" width="4.140625" style="2" customWidth="1"/>
    <col min="2564" max="2564" width="5" style="2" customWidth="1"/>
    <col min="2565" max="2565" width="9.140625" style="2" customWidth="1"/>
    <col min="2566" max="2568" width="5" style="2" customWidth="1"/>
    <col min="2569" max="2569" width="5.85546875" style="2" customWidth="1"/>
    <col min="2570" max="2570" width="5" style="2" customWidth="1"/>
    <col min="2571" max="2576" width="7.7109375" style="2" customWidth="1"/>
    <col min="2577" max="2577" width="8.140625" style="2" customWidth="1"/>
    <col min="2578" max="2579" width="6.7109375" style="2" customWidth="1"/>
    <col min="2580" max="2581" width="7.7109375" style="2" customWidth="1"/>
    <col min="2582" max="2583" width="6.7109375" style="2" customWidth="1"/>
    <col min="2584" max="2585" width="7.7109375" style="2" customWidth="1"/>
    <col min="2586" max="2586" width="8.140625" style="2" bestFit="1" customWidth="1"/>
    <col min="2587" max="2587" width="7.140625" style="2" bestFit="1" customWidth="1"/>
    <col min="2588" max="2588" width="6.7109375" style="2" customWidth="1"/>
    <col min="2589" max="2818" width="9" style="2"/>
    <col min="2819" max="2819" width="4.140625" style="2" customWidth="1"/>
    <col min="2820" max="2820" width="5" style="2" customWidth="1"/>
    <col min="2821" max="2821" width="9.140625" style="2" customWidth="1"/>
    <col min="2822" max="2824" width="5" style="2" customWidth="1"/>
    <col min="2825" max="2825" width="5.85546875" style="2" customWidth="1"/>
    <col min="2826" max="2826" width="5" style="2" customWidth="1"/>
    <col min="2827" max="2832" width="7.7109375" style="2" customWidth="1"/>
    <col min="2833" max="2833" width="8.140625" style="2" customWidth="1"/>
    <col min="2834" max="2835" width="6.7109375" style="2" customWidth="1"/>
    <col min="2836" max="2837" width="7.7109375" style="2" customWidth="1"/>
    <col min="2838" max="2839" width="6.7109375" style="2" customWidth="1"/>
    <col min="2840" max="2841" width="7.7109375" style="2" customWidth="1"/>
    <col min="2842" max="2842" width="8.140625" style="2" bestFit="1" customWidth="1"/>
    <col min="2843" max="2843" width="7.140625" style="2" bestFit="1" customWidth="1"/>
    <col min="2844" max="2844" width="6.7109375" style="2" customWidth="1"/>
    <col min="2845" max="3074" width="9" style="2"/>
    <col min="3075" max="3075" width="4.140625" style="2" customWidth="1"/>
    <col min="3076" max="3076" width="5" style="2" customWidth="1"/>
    <col min="3077" max="3077" width="9.140625" style="2" customWidth="1"/>
    <col min="3078" max="3080" width="5" style="2" customWidth="1"/>
    <col min="3081" max="3081" width="5.85546875" style="2" customWidth="1"/>
    <col min="3082" max="3082" width="5" style="2" customWidth="1"/>
    <col min="3083" max="3088" width="7.7109375" style="2" customWidth="1"/>
    <col min="3089" max="3089" width="8.140625" style="2" customWidth="1"/>
    <col min="3090" max="3091" width="6.7109375" style="2" customWidth="1"/>
    <col min="3092" max="3093" width="7.7109375" style="2" customWidth="1"/>
    <col min="3094" max="3095" width="6.7109375" style="2" customWidth="1"/>
    <col min="3096" max="3097" width="7.7109375" style="2" customWidth="1"/>
    <col min="3098" max="3098" width="8.140625" style="2" bestFit="1" customWidth="1"/>
    <col min="3099" max="3099" width="7.140625" style="2" bestFit="1" customWidth="1"/>
    <col min="3100" max="3100" width="6.7109375" style="2" customWidth="1"/>
    <col min="3101" max="3330" width="9" style="2"/>
    <col min="3331" max="3331" width="4.140625" style="2" customWidth="1"/>
    <col min="3332" max="3332" width="5" style="2" customWidth="1"/>
    <col min="3333" max="3333" width="9.140625" style="2" customWidth="1"/>
    <col min="3334" max="3336" width="5" style="2" customWidth="1"/>
    <col min="3337" max="3337" width="5.85546875" style="2" customWidth="1"/>
    <col min="3338" max="3338" width="5" style="2" customWidth="1"/>
    <col min="3339" max="3344" width="7.7109375" style="2" customWidth="1"/>
    <col min="3345" max="3345" width="8.140625" style="2" customWidth="1"/>
    <col min="3346" max="3347" width="6.7109375" style="2" customWidth="1"/>
    <col min="3348" max="3349" width="7.7109375" style="2" customWidth="1"/>
    <col min="3350" max="3351" width="6.7109375" style="2" customWidth="1"/>
    <col min="3352" max="3353" width="7.7109375" style="2" customWidth="1"/>
    <col min="3354" max="3354" width="8.140625" style="2" bestFit="1" customWidth="1"/>
    <col min="3355" max="3355" width="7.140625" style="2" bestFit="1" customWidth="1"/>
    <col min="3356" max="3356" width="6.7109375" style="2" customWidth="1"/>
    <col min="3357" max="3586" width="9" style="2"/>
    <col min="3587" max="3587" width="4.140625" style="2" customWidth="1"/>
    <col min="3588" max="3588" width="5" style="2" customWidth="1"/>
    <col min="3589" max="3589" width="9.140625" style="2" customWidth="1"/>
    <col min="3590" max="3592" width="5" style="2" customWidth="1"/>
    <col min="3593" max="3593" width="5.85546875" style="2" customWidth="1"/>
    <col min="3594" max="3594" width="5" style="2" customWidth="1"/>
    <col min="3595" max="3600" width="7.7109375" style="2" customWidth="1"/>
    <col min="3601" max="3601" width="8.140625" style="2" customWidth="1"/>
    <col min="3602" max="3603" width="6.7109375" style="2" customWidth="1"/>
    <col min="3604" max="3605" width="7.7109375" style="2" customWidth="1"/>
    <col min="3606" max="3607" width="6.7109375" style="2" customWidth="1"/>
    <col min="3608" max="3609" width="7.7109375" style="2" customWidth="1"/>
    <col min="3610" max="3610" width="8.140625" style="2" bestFit="1" customWidth="1"/>
    <col min="3611" max="3611" width="7.140625" style="2" bestFit="1" customWidth="1"/>
    <col min="3612" max="3612" width="6.7109375" style="2" customWidth="1"/>
    <col min="3613" max="3842" width="9" style="2"/>
    <col min="3843" max="3843" width="4.140625" style="2" customWidth="1"/>
    <col min="3844" max="3844" width="5" style="2" customWidth="1"/>
    <col min="3845" max="3845" width="9.140625" style="2" customWidth="1"/>
    <col min="3846" max="3848" width="5" style="2" customWidth="1"/>
    <col min="3849" max="3849" width="5.85546875" style="2" customWidth="1"/>
    <col min="3850" max="3850" width="5" style="2" customWidth="1"/>
    <col min="3851" max="3856" width="7.7109375" style="2" customWidth="1"/>
    <col min="3857" max="3857" width="8.140625" style="2" customWidth="1"/>
    <col min="3858" max="3859" width="6.7109375" style="2" customWidth="1"/>
    <col min="3860" max="3861" width="7.7109375" style="2" customWidth="1"/>
    <col min="3862" max="3863" width="6.7109375" style="2" customWidth="1"/>
    <col min="3864" max="3865" width="7.7109375" style="2" customWidth="1"/>
    <col min="3866" max="3866" width="8.140625" style="2" bestFit="1" customWidth="1"/>
    <col min="3867" max="3867" width="7.140625" style="2" bestFit="1" customWidth="1"/>
    <col min="3868" max="3868" width="6.7109375" style="2" customWidth="1"/>
    <col min="3869" max="4098" width="9" style="2"/>
    <col min="4099" max="4099" width="4.140625" style="2" customWidth="1"/>
    <col min="4100" max="4100" width="5" style="2" customWidth="1"/>
    <col min="4101" max="4101" width="9.140625" style="2" customWidth="1"/>
    <col min="4102" max="4104" width="5" style="2" customWidth="1"/>
    <col min="4105" max="4105" width="5.85546875" style="2" customWidth="1"/>
    <col min="4106" max="4106" width="5" style="2" customWidth="1"/>
    <col min="4107" max="4112" width="7.7109375" style="2" customWidth="1"/>
    <col min="4113" max="4113" width="8.140625" style="2" customWidth="1"/>
    <col min="4114" max="4115" width="6.7109375" style="2" customWidth="1"/>
    <col min="4116" max="4117" width="7.7109375" style="2" customWidth="1"/>
    <col min="4118" max="4119" width="6.7109375" style="2" customWidth="1"/>
    <col min="4120" max="4121" width="7.7109375" style="2" customWidth="1"/>
    <col min="4122" max="4122" width="8.140625" style="2" bestFit="1" customWidth="1"/>
    <col min="4123" max="4123" width="7.140625" style="2" bestFit="1" customWidth="1"/>
    <col min="4124" max="4124" width="6.7109375" style="2" customWidth="1"/>
    <col min="4125" max="4354" width="9" style="2"/>
    <col min="4355" max="4355" width="4.140625" style="2" customWidth="1"/>
    <col min="4356" max="4356" width="5" style="2" customWidth="1"/>
    <col min="4357" max="4357" width="9.140625" style="2" customWidth="1"/>
    <col min="4358" max="4360" width="5" style="2" customWidth="1"/>
    <col min="4361" max="4361" width="5.85546875" style="2" customWidth="1"/>
    <col min="4362" max="4362" width="5" style="2" customWidth="1"/>
    <col min="4363" max="4368" width="7.7109375" style="2" customWidth="1"/>
    <col min="4369" max="4369" width="8.140625" style="2" customWidth="1"/>
    <col min="4370" max="4371" width="6.7109375" style="2" customWidth="1"/>
    <col min="4372" max="4373" width="7.7109375" style="2" customWidth="1"/>
    <col min="4374" max="4375" width="6.7109375" style="2" customWidth="1"/>
    <col min="4376" max="4377" width="7.7109375" style="2" customWidth="1"/>
    <col min="4378" max="4378" width="8.140625" style="2" bestFit="1" customWidth="1"/>
    <col min="4379" max="4379" width="7.140625" style="2" bestFit="1" customWidth="1"/>
    <col min="4380" max="4380" width="6.7109375" style="2" customWidth="1"/>
    <col min="4381" max="4610" width="9" style="2"/>
    <col min="4611" max="4611" width="4.140625" style="2" customWidth="1"/>
    <col min="4612" max="4612" width="5" style="2" customWidth="1"/>
    <col min="4613" max="4613" width="9.140625" style="2" customWidth="1"/>
    <col min="4614" max="4616" width="5" style="2" customWidth="1"/>
    <col min="4617" max="4617" width="5.85546875" style="2" customWidth="1"/>
    <col min="4618" max="4618" width="5" style="2" customWidth="1"/>
    <col min="4619" max="4624" width="7.7109375" style="2" customWidth="1"/>
    <col min="4625" max="4625" width="8.140625" style="2" customWidth="1"/>
    <col min="4626" max="4627" width="6.7109375" style="2" customWidth="1"/>
    <col min="4628" max="4629" width="7.7109375" style="2" customWidth="1"/>
    <col min="4630" max="4631" width="6.7109375" style="2" customWidth="1"/>
    <col min="4632" max="4633" width="7.7109375" style="2" customWidth="1"/>
    <col min="4634" max="4634" width="8.140625" style="2" bestFit="1" customWidth="1"/>
    <col min="4635" max="4635" width="7.140625" style="2" bestFit="1" customWidth="1"/>
    <col min="4636" max="4636" width="6.7109375" style="2" customWidth="1"/>
    <col min="4637" max="4866" width="9" style="2"/>
    <col min="4867" max="4867" width="4.140625" style="2" customWidth="1"/>
    <col min="4868" max="4868" width="5" style="2" customWidth="1"/>
    <col min="4869" max="4869" width="9.140625" style="2" customWidth="1"/>
    <col min="4870" max="4872" width="5" style="2" customWidth="1"/>
    <col min="4873" max="4873" width="5.85546875" style="2" customWidth="1"/>
    <col min="4874" max="4874" width="5" style="2" customWidth="1"/>
    <col min="4875" max="4880" width="7.7109375" style="2" customWidth="1"/>
    <col min="4881" max="4881" width="8.140625" style="2" customWidth="1"/>
    <col min="4882" max="4883" width="6.7109375" style="2" customWidth="1"/>
    <col min="4884" max="4885" width="7.7109375" style="2" customWidth="1"/>
    <col min="4886" max="4887" width="6.7109375" style="2" customWidth="1"/>
    <col min="4888" max="4889" width="7.7109375" style="2" customWidth="1"/>
    <col min="4890" max="4890" width="8.140625" style="2" bestFit="1" customWidth="1"/>
    <col min="4891" max="4891" width="7.140625" style="2" bestFit="1" customWidth="1"/>
    <col min="4892" max="4892" width="6.7109375" style="2" customWidth="1"/>
    <col min="4893" max="5122" width="9" style="2"/>
    <col min="5123" max="5123" width="4.140625" style="2" customWidth="1"/>
    <col min="5124" max="5124" width="5" style="2" customWidth="1"/>
    <col min="5125" max="5125" width="9.140625" style="2" customWidth="1"/>
    <col min="5126" max="5128" width="5" style="2" customWidth="1"/>
    <col min="5129" max="5129" width="5.85546875" style="2" customWidth="1"/>
    <col min="5130" max="5130" width="5" style="2" customWidth="1"/>
    <col min="5131" max="5136" width="7.7109375" style="2" customWidth="1"/>
    <col min="5137" max="5137" width="8.140625" style="2" customWidth="1"/>
    <col min="5138" max="5139" width="6.7109375" style="2" customWidth="1"/>
    <col min="5140" max="5141" width="7.7109375" style="2" customWidth="1"/>
    <col min="5142" max="5143" width="6.7109375" style="2" customWidth="1"/>
    <col min="5144" max="5145" width="7.7109375" style="2" customWidth="1"/>
    <col min="5146" max="5146" width="8.140625" style="2" bestFit="1" customWidth="1"/>
    <col min="5147" max="5147" width="7.140625" style="2" bestFit="1" customWidth="1"/>
    <col min="5148" max="5148" width="6.7109375" style="2" customWidth="1"/>
    <col min="5149" max="5378" width="9" style="2"/>
    <col min="5379" max="5379" width="4.140625" style="2" customWidth="1"/>
    <col min="5380" max="5380" width="5" style="2" customWidth="1"/>
    <col min="5381" max="5381" width="9.140625" style="2" customWidth="1"/>
    <col min="5382" max="5384" width="5" style="2" customWidth="1"/>
    <col min="5385" max="5385" width="5.85546875" style="2" customWidth="1"/>
    <col min="5386" max="5386" width="5" style="2" customWidth="1"/>
    <col min="5387" max="5392" width="7.7109375" style="2" customWidth="1"/>
    <col min="5393" max="5393" width="8.140625" style="2" customWidth="1"/>
    <col min="5394" max="5395" width="6.7109375" style="2" customWidth="1"/>
    <col min="5396" max="5397" width="7.7109375" style="2" customWidth="1"/>
    <col min="5398" max="5399" width="6.7109375" style="2" customWidth="1"/>
    <col min="5400" max="5401" width="7.7109375" style="2" customWidth="1"/>
    <col min="5402" max="5402" width="8.140625" style="2" bestFit="1" customWidth="1"/>
    <col min="5403" max="5403" width="7.140625" style="2" bestFit="1" customWidth="1"/>
    <col min="5404" max="5404" width="6.7109375" style="2" customWidth="1"/>
    <col min="5405" max="5634" width="9" style="2"/>
    <col min="5635" max="5635" width="4.140625" style="2" customWidth="1"/>
    <col min="5636" max="5636" width="5" style="2" customWidth="1"/>
    <col min="5637" max="5637" width="9.140625" style="2" customWidth="1"/>
    <col min="5638" max="5640" width="5" style="2" customWidth="1"/>
    <col min="5641" max="5641" width="5.85546875" style="2" customWidth="1"/>
    <col min="5642" max="5642" width="5" style="2" customWidth="1"/>
    <col min="5643" max="5648" width="7.7109375" style="2" customWidth="1"/>
    <col min="5649" max="5649" width="8.140625" style="2" customWidth="1"/>
    <col min="5650" max="5651" width="6.7109375" style="2" customWidth="1"/>
    <col min="5652" max="5653" width="7.7109375" style="2" customWidth="1"/>
    <col min="5654" max="5655" width="6.7109375" style="2" customWidth="1"/>
    <col min="5656" max="5657" width="7.7109375" style="2" customWidth="1"/>
    <col min="5658" max="5658" width="8.140625" style="2" bestFit="1" customWidth="1"/>
    <col min="5659" max="5659" width="7.140625" style="2" bestFit="1" customWidth="1"/>
    <col min="5660" max="5660" width="6.7109375" style="2" customWidth="1"/>
    <col min="5661" max="5890" width="9" style="2"/>
    <col min="5891" max="5891" width="4.140625" style="2" customWidth="1"/>
    <col min="5892" max="5892" width="5" style="2" customWidth="1"/>
    <col min="5893" max="5893" width="9.140625" style="2" customWidth="1"/>
    <col min="5894" max="5896" width="5" style="2" customWidth="1"/>
    <col min="5897" max="5897" width="5.85546875" style="2" customWidth="1"/>
    <col min="5898" max="5898" width="5" style="2" customWidth="1"/>
    <col min="5899" max="5904" width="7.7109375" style="2" customWidth="1"/>
    <col min="5905" max="5905" width="8.140625" style="2" customWidth="1"/>
    <col min="5906" max="5907" width="6.7109375" style="2" customWidth="1"/>
    <col min="5908" max="5909" width="7.7109375" style="2" customWidth="1"/>
    <col min="5910" max="5911" width="6.7109375" style="2" customWidth="1"/>
    <col min="5912" max="5913" width="7.7109375" style="2" customWidth="1"/>
    <col min="5914" max="5914" width="8.140625" style="2" bestFit="1" customWidth="1"/>
    <col min="5915" max="5915" width="7.140625" style="2" bestFit="1" customWidth="1"/>
    <col min="5916" max="5916" width="6.7109375" style="2" customWidth="1"/>
    <col min="5917" max="6146" width="9" style="2"/>
    <col min="6147" max="6147" width="4.140625" style="2" customWidth="1"/>
    <col min="6148" max="6148" width="5" style="2" customWidth="1"/>
    <col min="6149" max="6149" width="9.140625" style="2" customWidth="1"/>
    <col min="6150" max="6152" width="5" style="2" customWidth="1"/>
    <col min="6153" max="6153" width="5.85546875" style="2" customWidth="1"/>
    <col min="6154" max="6154" width="5" style="2" customWidth="1"/>
    <col min="6155" max="6160" width="7.7109375" style="2" customWidth="1"/>
    <col min="6161" max="6161" width="8.140625" style="2" customWidth="1"/>
    <col min="6162" max="6163" width="6.7109375" style="2" customWidth="1"/>
    <col min="6164" max="6165" width="7.7109375" style="2" customWidth="1"/>
    <col min="6166" max="6167" width="6.7109375" style="2" customWidth="1"/>
    <col min="6168" max="6169" width="7.7109375" style="2" customWidth="1"/>
    <col min="6170" max="6170" width="8.140625" style="2" bestFit="1" customWidth="1"/>
    <col min="6171" max="6171" width="7.140625" style="2" bestFit="1" customWidth="1"/>
    <col min="6172" max="6172" width="6.7109375" style="2" customWidth="1"/>
    <col min="6173" max="6402" width="9" style="2"/>
    <col min="6403" max="6403" width="4.140625" style="2" customWidth="1"/>
    <col min="6404" max="6404" width="5" style="2" customWidth="1"/>
    <col min="6405" max="6405" width="9.140625" style="2" customWidth="1"/>
    <col min="6406" max="6408" width="5" style="2" customWidth="1"/>
    <col min="6409" max="6409" width="5.85546875" style="2" customWidth="1"/>
    <col min="6410" max="6410" width="5" style="2" customWidth="1"/>
    <col min="6411" max="6416" width="7.7109375" style="2" customWidth="1"/>
    <col min="6417" max="6417" width="8.140625" style="2" customWidth="1"/>
    <col min="6418" max="6419" width="6.7109375" style="2" customWidth="1"/>
    <col min="6420" max="6421" width="7.7109375" style="2" customWidth="1"/>
    <col min="6422" max="6423" width="6.7109375" style="2" customWidth="1"/>
    <col min="6424" max="6425" width="7.7109375" style="2" customWidth="1"/>
    <col min="6426" max="6426" width="8.140625" style="2" bestFit="1" customWidth="1"/>
    <col min="6427" max="6427" width="7.140625" style="2" bestFit="1" customWidth="1"/>
    <col min="6428" max="6428" width="6.7109375" style="2" customWidth="1"/>
    <col min="6429" max="6658" width="9" style="2"/>
    <col min="6659" max="6659" width="4.140625" style="2" customWidth="1"/>
    <col min="6660" max="6660" width="5" style="2" customWidth="1"/>
    <col min="6661" max="6661" width="9.140625" style="2" customWidth="1"/>
    <col min="6662" max="6664" width="5" style="2" customWidth="1"/>
    <col min="6665" max="6665" width="5.85546875" style="2" customWidth="1"/>
    <col min="6666" max="6666" width="5" style="2" customWidth="1"/>
    <col min="6667" max="6672" width="7.7109375" style="2" customWidth="1"/>
    <col min="6673" max="6673" width="8.140625" style="2" customWidth="1"/>
    <col min="6674" max="6675" width="6.7109375" style="2" customWidth="1"/>
    <col min="6676" max="6677" width="7.7109375" style="2" customWidth="1"/>
    <col min="6678" max="6679" width="6.7109375" style="2" customWidth="1"/>
    <col min="6680" max="6681" width="7.7109375" style="2" customWidth="1"/>
    <col min="6682" max="6682" width="8.140625" style="2" bestFit="1" customWidth="1"/>
    <col min="6683" max="6683" width="7.140625" style="2" bestFit="1" customWidth="1"/>
    <col min="6684" max="6684" width="6.7109375" style="2" customWidth="1"/>
    <col min="6685" max="6914" width="9" style="2"/>
    <col min="6915" max="6915" width="4.140625" style="2" customWidth="1"/>
    <col min="6916" max="6916" width="5" style="2" customWidth="1"/>
    <col min="6917" max="6917" width="9.140625" style="2" customWidth="1"/>
    <col min="6918" max="6920" width="5" style="2" customWidth="1"/>
    <col min="6921" max="6921" width="5.85546875" style="2" customWidth="1"/>
    <col min="6922" max="6922" width="5" style="2" customWidth="1"/>
    <col min="6923" max="6928" width="7.7109375" style="2" customWidth="1"/>
    <col min="6929" max="6929" width="8.140625" style="2" customWidth="1"/>
    <col min="6930" max="6931" width="6.7109375" style="2" customWidth="1"/>
    <col min="6932" max="6933" width="7.7109375" style="2" customWidth="1"/>
    <col min="6934" max="6935" width="6.7109375" style="2" customWidth="1"/>
    <col min="6936" max="6937" width="7.7109375" style="2" customWidth="1"/>
    <col min="6938" max="6938" width="8.140625" style="2" bestFit="1" customWidth="1"/>
    <col min="6939" max="6939" width="7.140625" style="2" bestFit="1" customWidth="1"/>
    <col min="6940" max="6940" width="6.7109375" style="2" customWidth="1"/>
    <col min="6941" max="7170" width="9" style="2"/>
    <col min="7171" max="7171" width="4.140625" style="2" customWidth="1"/>
    <col min="7172" max="7172" width="5" style="2" customWidth="1"/>
    <col min="7173" max="7173" width="9.140625" style="2" customWidth="1"/>
    <col min="7174" max="7176" width="5" style="2" customWidth="1"/>
    <col min="7177" max="7177" width="5.85546875" style="2" customWidth="1"/>
    <col min="7178" max="7178" width="5" style="2" customWidth="1"/>
    <col min="7179" max="7184" width="7.7109375" style="2" customWidth="1"/>
    <col min="7185" max="7185" width="8.140625" style="2" customWidth="1"/>
    <col min="7186" max="7187" width="6.7109375" style="2" customWidth="1"/>
    <col min="7188" max="7189" width="7.7109375" style="2" customWidth="1"/>
    <col min="7190" max="7191" width="6.7109375" style="2" customWidth="1"/>
    <col min="7192" max="7193" width="7.7109375" style="2" customWidth="1"/>
    <col min="7194" max="7194" width="8.140625" style="2" bestFit="1" customWidth="1"/>
    <col min="7195" max="7195" width="7.140625" style="2" bestFit="1" customWidth="1"/>
    <col min="7196" max="7196" width="6.7109375" style="2" customWidth="1"/>
    <col min="7197" max="7426" width="9" style="2"/>
    <col min="7427" max="7427" width="4.140625" style="2" customWidth="1"/>
    <col min="7428" max="7428" width="5" style="2" customWidth="1"/>
    <col min="7429" max="7429" width="9.140625" style="2" customWidth="1"/>
    <col min="7430" max="7432" width="5" style="2" customWidth="1"/>
    <col min="7433" max="7433" width="5.85546875" style="2" customWidth="1"/>
    <col min="7434" max="7434" width="5" style="2" customWidth="1"/>
    <col min="7435" max="7440" width="7.7109375" style="2" customWidth="1"/>
    <col min="7441" max="7441" width="8.140625" style="2" customWidth="1"/>
    <col min="7442" max="7443" width="6.7109375" style="2" customWidth="1"/>
    <col min="7444" max="7445" width="7.7109375" style="2" customWidth="1"/>
    <col min="7446" max="7447" width="6.7109375" style="2" customWidth="1"/>
    <col min="7448" max="7449" width="7.7109375" style="2" customWidth="1"/>
    <col min="7450" max="7450" width="8.140625" style="2" bestFit="1" customWidth="1"/>
    <col min="7451" max="7451" width="7.140625" style="2" bestFit="1" customWidth="1"/>
    <col min="7452" max="7452" width="6.7109375" style="2" customWidth="1"/>
    <col min="7453" max="7682" width="9" style="2"/>
    <col min="7683" max="7683" width="4.140625" style="2" customWidth="1"/>
    <col min="7684" max="7684" width="5" style="2" customWidth="1"/>
    <col min="7685" max="7685" width="9.140625" style="2" customWidth="1"/>
    <col min="7686" max="7688" width="5" style="2" customWidth="1"/>
    <col min="7689" max="7689" width="5.85546875" style="2" customWidth="1"/>
    <col min="7690" max="7690" width="5" style="2" customWidth="1"/>
    <col min="7691" max="7696" width="7.7109375" style="2" customWidth="1"/>
    <col min="7697" max="7697" width="8.140625" style="2" customWidth="1"/>
    <col min="7698" max="7699" width="6.7109375" style="2" customWidth="1"/>
    <col min="7700" max="7701" width="7.7109375" style="2" customWidth="1"/>
    <col min="7702" max="7703" width="6.7109375" style="2" customWidth="1"/>
    <col min="7704" max="7705" width="7.7109375" style="2" customWidth="1"/>
    <col min="7706" max="7706" width="8.140625" style="2" bestFit="1" customWidth="1"/>
    <col min="7707" max="7707" width="7.140625" style="2" bestFit="1" customWidth="1"/>
    <col min="7708" max="7708" width="6.7109375" style="2" customWidth="1"/>
    <col min="7709" max="7938" width="9" style="2"/>
    <col min="7939" max="7939" width="4.140625" style="2" customWidth="1"/>
    <col min="7940" max="7940" width="5" style="2" customWidth="1"/>
    <col min="7941" max="7941" width="9.140625" style="2" customWidth="1"/>
    <col min="7942" max="7944" width="5" style="2" customWidth="1"/>
    <col min="7945" max="7945" width="5.85546875" style="2" customWidth="1"/>
    <col min="7946" max="7946" width="5" style="2" customWidth="1"/>
    <col min="7947" max="7952" width="7.7109375" style="2" customWidth="1"/>
    <col min="7953" max="7953" width="8.140625" style="2" customWidth="1"/>
    <col min="7954" max="7955" width="6.7109375" style="2" customWidth="1"/>
    <col min="7956" max="7957" width="7.7109375" style="2" customWidth="1"/>
    <col min="7958" max="7959" width="6.7109375" style="2" customWidth="1"/>
    <col min="7960" max="7961" width="7.7109375" style="2" customWidth="1"/>
    <col min="7962" max="7962" width="8.140625" style="2" bestFit="1" customWidth="1"/>
    <col min="7963" max="7963" width="7.140625" style="2" bestFit="1" customWidth="1"/>
    <col min="7964" max="7964" width="6.7109375" style="2" customWidth="1"/>
    <col min="7965" max="8194" width="9" style="2"/>
    <col min="8195" max="8195" width="4.140625" style="2" customWidth="1"/>
    <col min="8196" max="8196" width="5" style="2" customWidth="1"/>
    <col min="8197" max="8197" width="9.140625" style="2" customWidth="1"/>
    <col min="8198" max="8200" width="5" style="2" customWidth="1"/>
    <col min="8201" max="8201" width="5.85546875" style="2" customWidth="1"/>
    <col min="8202" max="8202" width="5" style="2" customWidth="1"/>
    <col min="8203" max="8208" width="7.7109375" style="2" customWidth="1"/>
    <col min="8209" max="8209" width="8.140625" style="2" customWidth="1"/>
    <col min="8210" max="8211" width="6.7109375" style="2" customWidth="1"/>
    <col min="8212" max="8213" width="7.7109375" style="2" customWidth="1"/>
    <col min="8214" max="8215" width="6.7109375" style="2" customWidth="1"/>
    <col min="8216" max="8217" width="7.7109375" style="2" customWidth="1"/>
    <col min="8218" max="8218" width="8.140625" style="2" bestFit="1" customWidth="1"/>
    <col min="8219" max="8219" width="7.140625" style="2" bestFit="1" customWidth="1"/>
    <col min="8220" max="8220" width="6.7109375" style="2" customWidth="1"/>
    <col min="8221" max="8450" width="9" style="2"/>
    <col min="8451" max="8451" width="4.140625" style="2" customWidth="1"/>
    <col min="8452" max="8452" width="5" style="2" customWidth="1"/>
    <col min="8453" max="8453" width="9.140625" style="2" customWidth="1"/>
    <col min="8454" max="8456" width="5" style="2" customWidth="1"/>
    <col min="8457" max="8457" width="5.85546875" style="2" customWidth="1"/>
    <col min="8458" max="8458" width="5" style="2" customWidth="1"/>
    <col min="8459" max="8464" width="7.7109375" style="2" customWidth="1"/>
    <col min="8465" max="8465" width="8.140625" style="2" customWidth="1"/>
    <col min="8466" max="8467" width="6.7109375" style="2" customWidth="1"/>
    <col min="8468" max="8469" width="7.7109375" style="2" customWidth="1"/>
    <col min="8470" max="8471" width="6.7109375" style="2" customWidth="1"/>
    <col min="8472" max="8473" width="7.7109375" style="2" customWidth="1"/>
    <col min="8474" max="8474" width="8.140625" style="2" bestFit="1" customWidth="1"/>
    <col min="8475" max="8475" width="7.140625" style="2" bestFit="1" customWidth="1"/>
    <col min="8476" max="8476" width="6.7109375" style="2" customWidth="1"/>
    <col min="8477" max="8706" width="9" style="2"/>
    <col min="8707" max="8707" width="4.140625" style="2" customWidth="1"/>
    <col min="8708" max="8708" width="5" style="2" customWidth="1"/>
    <col min="8709" max="8709" width="9.140625" style="2" customWidth="1"/>
    <col min="8710" max="8712" width="5" style="2" customWidth="1"/>
    <col min="8713" max="8713" width="5.85546875" style="2" customWidth="1"/>
    <col min="8714" max="8714" width="5" style="2" customWidth="1"/>
    <col min="8715" max="8720" width="7.7109375" style="2" customWidth="1"/>
    <col min="8721" max="8721" width="8.140625" style="2" customWidth="1"/>
    <col min="8722" max="8723" width="6.7109375" style="2" customWidth="1"/>
    <col min="8724" max="8725" width="7.7109375" style="2" customWidth="1"/>
    <col min="8726" max="8727" width="6.7109375" style="2" customWidth="1"/>
    <col min="8728" max="8729" width="7.7109375" style="2" customWidth="1"/>
    <col min="8730" max="8730" width="8.140625" style="2" bestFit="1" customWidth="1"/>
    <col min="8731" max="8731" width="7.140625" style="2" bestFit="1" customWidth="1"/>
    <col min="8732" max="8732" width="6.7109375" style="2" customWidth="1"/>
    <col min="8733" max="8962" width="9" style="2"/>
    <col min="8963" max="8963" width="4.140625" style="2" customWidth="1"/>
    <col min="8964" max="8964" width="5" style="2" customWidth="1"/>
    <col min="8965" max="8965" width="9.140625" style="2" customWidth="1"/>
    <col min="8966" max="8968" width="5" style="2" customWidth="1"/>
    <col min="8969" max="8969" width="5.85546875" style="2" customWidth="1"/>
    <col min="8970" max="8970" width="5" style="2" customWidth="1"/>
    <col min="8971" max="8976" width="7.7109375" style="2" customWidth="1"/>
    <col min="8977" max="8977" width="8.140625" style="2" customWidth="1"/>
    <col min="8978" max="8979" width="6.7109375" style="2" customWidth="1"/>
    <col min="8980" max="8981" width="7.7109375" style="2" customWidth="1"/>
    <col min="8982" max="8983" width="6.7109375" style="2" customWidth="1"/>
    <col min="8984" max="8985" width="7.7109375" style="2" customWidth="1"/>
    <col min="8986" max="8986" width="8.140625" style="2" bestFit="1" customWidth="1"/>
    <col min="8987" max="8987" width="7.140625" style="2" bestFit="1" customWidth="1"/>
    <col min="8988" max="8988" width="6.7109375" style="2" customWidth="1"/>
    <col min="8989" max="9218" width="9" style="2"/>
    <col min="9219" max="9219" width="4.140625" style="2" customWidth="1"/>
    <col min="9220" max="9220" width="5" style="2" customWidth="1"/>
    <col min="9221" max="9221" width="9.140625" style="2" customWidth="1"/>
    <col min="9222" max="9224" width="5" style="2" customWidth="1"/>
    <col min="9225" max="9225" width="5.85546875" style="2" customWidth="1"/>
    <col min="9226" max="9226" width="5" style="2" customWidth="1"/>
    <col min="9227" max="9232" width="7.7109375" style="2" customWidth="1"/>
    <col min="9233" max="9233" width="8.140625" style="2" customWidth="1"/>
    <col min="9234" max="9235" width="6.7109375" style="2" customWidth="1"/>
    <col min="9236" max="9237" width="7.7109375" style="2" customWidth="1"/>
    <col min="9238" max="9239" width="6.7109375" style="2" customWidth="1"/>
    <col min="9240" max="9241" width="7.7109375" style="2" customWidth="1"/>
    <col min="9242" max="9242" width="8.140625" style="2" bestFit="1" customWidth="1"/>
    <col min="9243" max="9243" width="7.140625" style="2" bestFit="1" customWidth="1"/>
    <col min="9244" max="9244" width="6.7109375" style="2" customWidth="1"/>
    <col min="9245" max="9474" width="9" style="2"/>
    <col min="9475" max="9475" width="4.140625" style="2" customWidth="1"/>
    <col min="9476" max="9476" width="5" style="2" customWidth="1"/>
    <col min="9477" max="9477" width="9.140625" style="2" customWidth="1"/>
    <col min="9478" max="9480" width="5" style="2" customWidth="1"/>
    <col min="9481" max="9481" width="5.85546875" style="2" customWidth="1"/>
    <col min="9482" max="9482" width="5" style="2" customWidth="1"/>
    <col min="9483" max="9488" width="7.7109375" style="2" customWidth="1"/>
    <col min="9489" max="9489" width="8.140625" style="2" customWidth="1"/>
    <col min="9490" max="9491" width="6.7109375" style="2" customWidth="1"/>
    <col min="9492" max="9493" width="7.7109375" style="2" customWidth="1"/>
    <col min="9494" max="9495" width="6.7109375" style="2" customWidth="1"/>
    <col min="9496" max="9497" width="7.7109375" style="2" customWidth="1"/>
    <col min="9498" max="9498" width="8.140625" style="2" bestFit="1" customWidth="1"/>
    <col min="9499" max="9499" width="7.140625" style="2" bestFit="1" customWidth="1"/>
    <col min="9500" max="9500" width="6.7109375" style="2" customWidth="1"/>
    <col min="9501" max="9730" width="9" style="2"/>
    <col min="9731" max="9731" width="4.140625" style="2" customWidth="1"/>
    <col min="9732" max="9732" width="5" style="2" customWidth="1"/>
    <col min="9733" max="9733" width="9.140625" style="2" customWidth="1"/>
    <col min="9734" max="9736" width="5" style="2" customWidth="1"/>
    <col min="9737" max="9737" width="5.85546875" style="2" customWidth="1"/>
    <col min="9738" max="9738" width="5" style="2" customWidth="1"/>
    <col min="9739" max="9744" width="7.7109375" style="2" customWidth="1"/>
    <col min="9745" max="9745" width="8.140625" style="2" customWidth="1"/>
    <col min="9746" max="9747" width="6.7109375" style="2" customWidth="1"/>
    <col min="9748" max="9749" width="7.7109375" style="2" customWidth="1"/>
    <col min="9750" max="9751" width="6.7109375" style="2" customWidth="1"/>
    <col min="9752" max="9753" width="7.7109375" style="2" customWidth="1"/>
    <col min="9754" max="9754" width="8.140625" style="2" bestFit="1" customWidth="1"/>
    <col min="9755" max="9755" width="7.140625" style="2" bestFit="1" customWidth="1"/>
    <col min="9756" max="9756" width="6.7109375" style="2" customWidth="1"/>
    <col min="9757" max="9986" width="9" style="2"/>
    <col min="9987" max="9987" width="4.140625" style="2" customWidth="1"/>
    <col min="9988" max="9988" width="5" style="2" customWidth="1"/>
    <col min="9989" max="9989" width="9.140625" style="2" customWidth="1"/>
    <col min="9990" max="9992" width="5" style="2" customWidth="1"/>
    <col min="9993" max="9993" width="5.85546875" style="2" customWidth="1"/>
    <col min="9994" max="9994" width="5" style="2" customWidth="1"/>
    <col min="9995" max="10000" width="7.7109375" style="2" customWidth="1"/>
    <col min="10001" max="10001" width="8.140625" style="2" customWidth="1"/>
    <col min="10002" max="10003" width="6.7109375" style="2" customWidth="1"/>
    <col min="10004" max="10005" width="7.7109375" style="2" customWidth="1"/>
    <col min="10006" max="10007" width="6.7109375" style="2" customWidth="1"/>
    <col min="10008" max="10009" width="7.7109375" style="2" customWidth="1"/>
    <col min="10010" max="10010" width="8.140625" style="2" bestFit="1" customWidth="1"/>
    <col min="10011" max="10011" width="7.140625" style="2" bestFit="1" customWidth="1"/>
    <col min="10012" max="10012" width="6.7109375" style="2" customWidth="1"/>
    <col min="10013" max="10242" width="9" style="2"/>
    <col min="10243" max="10243" width="4.140625" style="2" customWidth="1"/>
    <col min="10244" max="10244" width="5" style="2" customWidth="1"/>
    <col min="10245" max="10245" width="9.140625" style="2" customWidth="1"/>
    <col min="10246" max="10248" width="5" style="2" customWidth="1"/>
    <col min="10249" max="10249" width="5.85546875" style="2" customWidth="1"/>
    <col min="10250" max="10250" width="5" style="2" customWidth="1"/>
    <col min="10251" max="10256" width="7.7109375" style="2" customWidth="1"/>
    <col min="10257" max="10257" width="8.140625" style="2" customWidth="1"/>
    <col min="10258" max="10259" width="6.7109375" style="2" customWidth="1"/>
    <col min="10260" max="10261" width="7.7109375" style="2" customWidth="1"/>
    <col min="10262" max="10263" width="6.7109375" style="2" customWidth="1"/>
    <col min="10264" max="10265" width="7.7109375" style="2" customWidth="1"/>
    <col min="10266" max="10266" width="8.140625" style="2" bestFit="1" customWidth="1"/>
    <col min="10267" max="10267" width="7.140625" style="2" bestFit="1" customWidth="1"/>
    <col min="10268" max="10268" width="6.7109375" style="2" customWidth="1"/>
    <col min="10269" max="10498" width="9" style="2"/>
    <col min="10499" max="10499" width="4.140625" style="2" customWidth="1"/>
    <col min="10500" max="10500" width="5" style="2" customWidth="1"/>
    <col min="10501" max="10501" width="9.140625" style="2" customWidth="1"/>
    <col min="10502" max="10504" width="5" style="2" customWidth="1"/>
    <col min="10505" max="10505" width="5.85546875" style="2" customWidth="1"/>
    <col min="10506" max="10506" width="5" style="2" customWidth="1"/>
    <col min="10507" max="10512" width="7.7109375" style="2" customWidth="1"/>
    <col min="10513" max="10513" width="8.140625" style="2" customWidth="1"/>
    <col min="10514" max="10515" width="6.7109375" style="2" customWidth="1"/>
    <col min="10516" max="10517" width="7.7109375" style="2" customWidth="1"/>
    <col min="10518" max="10519" width="6.7109375" style="2" customWidth="1"/>
    <col min="10520" max="10521" width="7.7109375" style="2" customWidth="1"/>
    <col min="10522" max="10522" width="8.140625" style="2" bestFit="1" customWidth="1"/>
    <col min="10523" max="10523" width="7.140625" style="2" bestFit="1" customWidth="1"/>
    <col min="10524" max="10524" width="6.7109375" style="2" customWidth="1"/>
    <col min="10525" max="10754" width="9" style="2"/>
    <col min="10755" max="10755" width="4.140625" style="2" customWidth="1"/>
    <col min="10756" max="10756" width="5" style="2" customWidth="1"/>
    <col min="10757" max="10757" width="9.140625" style="2" customWidth="1"/>
    <col min="10758" max="10760" width="5" style="2" customWidth="1"/>
    <col min="10761" max="10761" width="5.85546875" style="2" customWidth="1"/>
    <col min="10762" max="10762" width="5" style="2" customWidth="1"/>
    <col min="10763" max="10768" width="7.7109375" style="2" customWidth="1"/>
    <col min="10769" max="10769" width="8.140625" style="2" customWidth="1"/>
    <col min="10770" max="10771" width="6.7109375" style="2" customWidth="1"/>
    <col min="10772" max="10773" width="7.7109375" style="2" customWidth="1"/>
    <col min="10774" max="10775" width="6.7109375" style="2" customWidth="1"/>
    <col min="10776" max="10777" width="7.7109375" style="2" customWidth="1"/>
    <col min="10778" max="10778" width="8.140625" style="2" bestFit="1" customWidth="1"/>
    <col min="10779" max="10779" width="7.140625" style="2" bestFit="1" customWidth="1"/>
    <col min="10780" max="10780" width="6.7109375" style="2" customWidth="1"/>
    <col min="10781" max="11010" width="9" style="2"/>
    <col min="11011" max="11011" width="4.140625" style="2" customWidth="1"/>
    <col min="11012" max="11012" width="5" style="2" customWidth="1"/>
    <col min="11013" max="11013" width="9.140625" style="2" customWidth="1"/>
    <col min="11014" max="11016" width="5" style="2" customWidth="1"/>
    <col min="11017" max="11017" width="5.85546875" style="2" customWidth="1"/>
    <col min="11018" max="11018" width="5" style="2" customWidth="1"/>
    <col min="11019" max="11024" width="7.7109375" style="2" customWidth="1"/>
    <col min="11025" max="11025" width="8.140625" style="2" customWidth="1"/>
    <col min="11026" max="11027" width="6.7109375" style="2" customWidth="1"/>
    <col min="11028" max="11029" width="7.7109375" style="2" customWidth="1"/>
    <col min="11030" max="11031" width="6.7109375" style="2" customWidth="1"/>
    <col min="11032" max="11033" width="7.7109375" style="2" customWidth="1"/>
    <col min="11034" max="11034" width="8.140625" style="2" bestFit="1" customWidth="1"/>
    <col min="11035" max="11035" width="7.140625" style="2" bestFit="1" customWidth="1"/>
    <col min="11036" max="11036" width="6.7109375" style="2" customWidth="1"/>
    <col min="11037" max="11266" width="9" style="2"/>
    <col min="11267" max="11267" width="4.140625" style="2" customWidth="1"/>
    <col min="11268" max="11268" width="5" style="2" customWidth="1"/>
    <col min="11269" max="11269" width="9.140625" style="2" customWidth="1"/>
    <col min="11270" max="11272" width="5" style="2" customWidth="1"/>
    <col min="11273" max="11273" width="5.85546875" style="2" customWidth="1"/>
    <col min="11274" max="11274" width="5" style="2" customWidth="1"/>
    <col min="11275" max="11280" width="7.7109375" style="2" customWidth="1"/>
    <col min="11281" max="11281" width="8.140625" style="2" customWidth="1"/>
    <col min="11282" max="11283" width="6.7109375" style="2" customWidth="1"/>
    <col min="11284" max="11285" width="7.7109375" style="2" customWidth="1"/>
    <col min="11286" max="11287" width="6.7109375" style="2" customWidth="1"/>
    <col min="11288" max="11289" width="7.7109375" style="2" customWidth="1"/>
    <col min="11290" max="11290" width="8.140625" style="2" bestFit="1" customWidth="1"/>
    <col min="11291" max="11291" width="7.140625" style="2" bestFit="1" customWidth="1"/>
    <col min="11292" max="11292" width="6.7109375" style="2" customWidth="1"/>
    <col min="11293" max="11522" width="9" style="2"/>
    <col min="11523" max="11523" width="4.140625" style="2" customWidth="1"/>
    <col min="11524" max="11524" width="5" style="2" customWidth="1"/>
    <col min="11525" max="11525" width="9.140625" style="2" customWidth="1"/>
    <col min="11526" max="11528" width="5" style="2" customWidth="1"/>
    <col min="11529" max="11529" width="5.85546875" style="2" customWidth="1"/>
    <col min="11530" max="11530" width="5" style="2" customWidth="1"/>
    <col min="11531" max="11536" width="7.7109375" style="2" customWidth="1"/>
    <col min="11537" max="11537" width="8.140625" style="2" customWidth="1"/>
    <col min="11538" max="11539" width="6.7109375" style="2" customWidth="1"/>
    <col min="11540" max="11541" width="7.7109375" style="2" customWidth="1"/>
    <col min="11542" max="11543" width="6.7109375" style="2" customWidth="1"/>
    <col min="11544" max="11545" width="7.7109375" style="2" customWidth="1"/>
    <col min="11546" max="11546" width="8.140625" style="2" bestFit="1" customWidth="1"/>
    <col min="11547" max="11547" width="7.140625" style="2" bestFit="1" customWidth="1"/>
    <col min="11548" max="11548" width="6.7109375" style="2" customWidth="1"/>
    <col min="11549" max="11778" width="9" style="2"/>
    <col min="11779" max="11779" width="4.140625" style="2" customWidth="1"/>
    <col min="11780" max="11780" width="5" style="2" customWidth="1"/>
    <col min="11781" max="11781" width="9.140625" style="2" customWidth="1"/>
    <col min="11782" max="11784" width="5" style="2" customWidth="1"/>
    <col min="11785" max="11785" width="5.85546875" style="2" customWidth="1"/>
    <col min="11786" max="11786" width="5" style="2" customWidth="1"/>
    <col min="11787" max="11792" width="7.7109375" style="2" customWidth="1"/>
    <col min="11793" max="11793" width="8.140625" style="2" customWidth="1"/>
    <col min="11794" max="11795" width="6.7109375" style="2" customWidth="1"/>
    <col min="11796" max="11797" width="7.7109375" style="2" customWidth="1"/>
    <col min="11798" max="11799" width="6.7109375" style="2" customWidth="1"/>
    <col min="11800" max="11801" width="7.7109375" style="2" customWidth="1"/>
    <col min="11802" max="11802" width="8.140625" style="2" bestFit="1" customWidth="1"/>
    <col min="11803" max="11803" width="7.140625" style="2" bestFit="1" customWidth="1"/>
    <col min="11804" max="11804" width="6.7109375" style="2" customWidth="1"/>
    <col min="11805" max="12034" width="9" style="2"/>
    <col min="12035" max="12035" width="4.140625" style="2" customWidth="1"/>
    <col min="12036" max="12036" width="5" style="2" customWidth="1"/>
    <col min="12037" max="12037" width="9.140625" style="2" customWidth="1"/>
    <col min="12038" max="12040" width="5" style="2" customWidth="1"/>
    <col min="12041" max="12041" width="5.85546875" style="2" customWidth="1"/>
    <col min="12042" max="12042" width="5" style="2" customWidth="1"/>
    <col min="12043" max="12048" width="7.7109375" style="2" customWidth="1"/>
    <col min="12049" max="12049" width="8.140625" style="2" customWidth="1"/>
    <col min="12050" max="12051" width="6.7109375" style="2" customWidth="1"/>
    <col min="12052" max="12053" width="7.7109375" style="2" customWidth="1"/>
    <col min="12054" max="12055" width="6.7109375" style="2" customWidth="1"/>
    <col min="12056" max="12057" width="7.7109375" style="2" customWidth="1"/>
    <col min="12058" max="12058" width="8.140625" style="2" bestFit="1" customWidth="1"/>
    <col min="12059" max="12059" width="7.140625" style="2" bestFit="1" customWidth="1"/>
    <col min="12060" max="12060" width="6.7109375" style="2" customWidth="1"/>
    <col min="12061" max="12290" width="9" style="2"/>
    <col min="12291" max="12291" width="4.140625" style="2" customWidth="1"/>
    <col min="12292" max="12292" width="5" style="2" customWidth="1"/>
    <col min="12293" max="12293" width="9.140625" style="2" customWidth="1"/>
    <col min="12294" max="12296" width="5" style="2" customWidth="1"/>
    <col min="12297" max="12297" width="5.85546875" style="2" customWidth="1"/>
    <col min="12298" max="12298" width="5" style="2" customWidth="1"/>
    <col min="12299" max="12304" width="7.7109375" style="2" customWidth="1"/>
    <col min="12305" max="12305" width="8.140625" style="2" customWidth="1"/>
    <col min="12306" max="12307" width="6.7109375" style="2" customWidth="1"/>
    <col min="12308" max="12309" width="7.7109375" style="2" customWidth="1"/>
    <col min="12310" max="12311" width="6.7109375" style="2" customWidth="1"/>
    <col min="12312" max="12313" width="7.7109375" style="2" customWidth="1"/>
    <col min="12314" max="12314" width="8.140625" style="2" bestFit="1" customWidth="1"/>
    <col min="12315" max="12315" width="7.140625" style="2" bestFit="1" customWidth="1"/>
    <col min="12316" max="12316" width="6.7109375" style="2" customWidth="1"/>
    <col min="12317" max="12546" width="9" style="2"/>
    <col min="12547" max="12547" width="4.140625" style="2" customWidth="1"/>
    <col min="12548" max="12548" width="5" style="2" customWidth="1"/>
    <col min="12549" max="12549" width="9.140625" style="2" customWidth="1"/>
    <col min="12550" max="12552" width="5" style="2" customWidth="1"/>
    <col min="12553" max="12553" width="5.85546875" style="2" customWidth="1"/>
    <col min="12554" max="12554" width="5" style="2" customWidth="1"/>
    <col min="12555" max="12560" width="7.7109375" style="2" customWidth="1"/>
    <col min="12561" max="12561" width="8.140625" style="2" customWidth="1"/>
    <col min="12562" max="12563" width="6.7109375" style="2" customWidth="1"/>
    <col min="12564" max="12565" width="7.7109375" style="2" customWidth="1"/>
    <col min="12566" max="12567" width="6.7109375" style="2" customWidth="1"/>
    <col min="12568" max="12569" width="7.7109375" style="2" customWidth="1"/>
    <col min="12570" max="12570" width="8.140625" style="2" bestFit="1" customWidth="1"/>
    <col min="12571" max="12571" width="7.140625" style="2" bestFit="1" customWidth="1"/>
    <col min="12572" max="12572" width="6.7109375" style="2" customWidth="1"/>
    <col min="12573" max="12802" width="9" style="2"/>
    <col min="12803" max="12803" width="4.140625" style="2" customWidth="1"/>
    <col min="12804" max="12804" width="5" style="2" customWidth="1"/>
    <col min="12805" max="12805" width="9.140625" style="2" customWidth="1"/>
    <col min="12806" max="12808" width="5" style="2" customWidth="1"/>
    <col min="12809" max="12809" width="5.85546875" style="2" customWidth="1"/>
    <col min="12810" max="12810" width="5" style="2" customWidth="1"/>
    <col min="12811" max="12816" width="7.7109375" style="2" customWidth="1"/>
    <col min="12817" max="12817" width="8.140625" style="2" customWidth="1"/>
    <col min="12818" max="12819" width="6.7109375" style="2" customWidth="1"/>
    <col min="12820" max="12821" width="7.7109375" style="2" customWidth="1"/>
    <col min="12822" max="12823" width="6.7109375" style="2" customWidth="1"/>
    <col min="12824" max="12825" width="7.7109375" style="2" customWidth="1"/>
    <col min="12826" max="12826" width="8.140625" style="2" bestFit="1" customWidth="1"/>
    <col min="12827" max="12827" width="7.140625" style="2" bestFit="1" customWidth="1"/>
    <col min="12828" max="12828" width="6.7109375" style="2" customWidth="1"/>
    <col min="12829" max="13058" width="9" style="2"/>
    <col min="13059" max="13059" width="4.140625" style="2" customWidth="1"/>
    <col min="13060" max="13060" width="5" style="2" customWidth="1"/>
    <col min="13061" max="13061" width="9.140625" style="2" customWidth="1"/>
    <col min="13062" max="13064" width="5" style="2" customWidth="1"/>
    <col min="13065" max="13065" width="5.85546875" style="2" customWidth="1"/>
    <col min="13066" max="13066" width="5" style="2" customWidth="1"/>
    <col min="13067" max="13072" width="7.7109375" style="2" customWidth="1"/>
    <col min="13073" max="13073" width="8.140625" style="2" customWidth="1"/>
    <col min="13074" max="13075" width="6.7109375" style="2" customWidth="1"/>
    <col min="13076" max="13077" width="7.7109375" style="2" customWidth="1"/>
    <col min="13078" max="13079" width="6.7109375" style="2" customWidth="1"/>
    <col min="13080" max="13081" width="7.7109375" style="2" customWidth="1"/>
    <col min="13082" max="13082" width="8.140625" style="2" bestFit="1" customWidth="1"/>
    <col min="13083" max="13083" width="7.140625" style="2" bestFit="1" customWidth="1"/>
    <col min="13084" max="13084" width="6.7109375" style="2" customWidth="1"/>
    <col min="13085" max="13314" width="9" style="2"/>
    <col min="13315" max="13315" width="4.140625" style="2" customWidth="1"/>
    <col min="13316" max="13316" width="5" style="2" customWidth="1"/>
    <col min="13317" max="13317" width="9.140625" style="2" customWidth="1"/>
    <col min="13318" max="13320" width="5" style="2" customWidth="1"/>
    <col min="13321" max="13321" width="5.85546875" style="2" customWidth="1"/>
    <col min="13322" max="13322" width="5" style="2" customWidth="1"/>
    <col min="13323" max="13328" width="7.7109375" style="2" customWidth="1"/>
    <col min="13329" max="13329" width="8.140625" style="2" customWidth="1"/>
    <col min="13330" max="13331" width="6.7109375" style="2" customWidth="1"/>
    <col min="13332" max="13333" width="7.7109375" style="2" customWidth="1"/>
    <col min="13334" max="13335" width="6.7109375" style="2" customWidth="1"/>
    <col min="13336" max="13337" width="7.7109375" style="2" customWidth="1"/>
    <col min="13338" max="13338" width="8.140625" style="2" bestFit="1" customWidth="1"/>
    <col min="13339" max="13339" width="7.140625" style="2" bestFit="1" customWidth="1"/>
    <col min="13340" max="13340" width="6.7109375" style="2" customWidth="1"/>
    <col min="13341" max="13570" width="9" style="2"/>
    <col min="13571" max="13571" width="4.140625" style="2" customWidth="1"/>
    <col min="13572" max="13572" width="5" style="2" customWidth="1"/>
    <col min="13573" max="13573" width="9.140625" style="2" customWidth="1"/>
    <col min="13574" max="13576" width="5" style="2" customWidth="1"/>
    <col min="13577" max="13577" width="5.85546875" style="2" customWidth="1"/>
    <col min="13578" max="13578" width="5" style="2" customWidth="1"/>
    <col min="13579" max="13584" width="7.7109375" style="2" customWidth="1"/>
    <col min="13585" max="13585" width="8.140625" style="2" customWidth="1"/>
    <col min="13586" max="13587" width="6.7109375" style="2" customWidth="1"/>
    <col min="13588" max="13589" width="7.7109375" style="2" customWidth="1"/>
    <col min="13590" max="13591" width="6.7109375" style="2" customWidth="1"/>
    <col min="13592" max="13593" width="7.7109375" style="2" customWidth="1"/>
    <col min="13594" max="13594" width="8.140625" style="2" bestFit="1" customWidth="1"/>
    <col min="13595" max="13595" width="7.140625" style="2" bestFit="1" customWidth="1"/>
    <col min="13596" max="13596" width="6.7109375" style="2" customWidth="1"/>
    <col min="13597" max="13826" width="9" style="2"/>
    <col min="13827" max="13827" width="4.140625" style="2" customWidth="1"/>
    <col min="13828" max="13828" width="5" style="2" customWidth="1"/>
    <col min="13829" max="13829" width="9.140625" style="2" customWidth="1"/>
    <col min="13830" max="13832" width="5" style="2" customWidth="1"/>
    <col min="13833" max="13833" width="5.85546875" style="2" customWidth="1"/>
    <col min="13834" max="13834" width="5" style="2" customWidth="1"/>
    <col min="13835" max="13840" width="7.7109375" style="2" customWidth="1"/>
    <col min="13841" max="13841" width="8.140625" style="2" customWidth="1"/>
    <col min="13842" max="13843" width="6.7109375" style="2" customWidth="1"/>
    <col min="13844" max="13845" width="7.7109375" style="2" customWidth="1"/>
    <col min="13846" max="13847" width="6.7109375" style="2" customWidth="1"/>
    <col min="13848" max="13849" width="7.7109375" style="2" customWidth="1"/>
    <col min="13850" max="13850" width="8.140625" style="2" bestFit="1" customWidth="1"/>
    <col min="13851" max="13851" width="7.140625" style="2" bestFit="1" customWidth="1"/>
    <col min="13852" max="13852" width="6.7109375" style="2" customWidth="1"/>
    <col min="13853" max="14082" width="9" style="2"/>
    <col min="14083" max="14083" width="4.140625" style="2" customWidth="1"/>
    <col min="14084" max="14084" width="5" style="2" customWidth="1"/>
    <col min="14085" max="14085" width="9.140625" style="2" customWidth="1"/>
    <col min="14086" max="14088" width="5" style="2" customWidth="1"/>
    <col min="14089" max="14089" width="5.85546875" style="2" customWidth="1"/>
    <col min="14090" max="14090" width="5" style="2" customWidth="1"/>
    <col min="14091" max="14096" width="7.7109375" style="2" customWidth="1"/>
    <col min="14097" max="14097" width="8.140625" style="2" customWidth="1"/>
    <col min="14098" max="14099" width="6.7109375" style="2" customWidth="1"/>
    <col min="14100" max="14101" width="7.7109375" style="2" customWidth="1"/>
    <col min="14102" max="14103" width="6.7109375" style="2" customWidth="1"/>
    <col min="14104" max="14105" width="7.7109375" style="2" customWidth="1"/>
    <col min="14106" max="14106" width="8.140625" style="2" bestFit="1" customWidth="1"/>
    <col min="14107" max="14107" width="7.140625" style="2" bestFit="1" customWidth="1"/>
    <col min="14108" max="14108" width="6.7109375" style="2" customWidth="1"/>
    <col min="14109" max="14338" width="9" style="2"/>
    <col min="14339" max="14339" width="4.140625" style="2" customWidth="1"/>
    <col min="14340" max="14340" width="5" style="2" customWidth="1"/>
    <col min="14341" max="14341" width="9.140625" style="2" customWidth="1"/>
    <col min="14342" max="14344" width="5" style="2" customWidth="1"/>
    <col min="14345" max="14345" width="5.85546875" style="2" customWidth="1"/>
    <col min="14346" max="14346" width="5" style="2" customWidth="1"/>
    <col min="14347" max="14352" width="7.7109375" style="2" customWidth="1"/>
    <col min="14353" max="14353" width="8.140625" style="2" customWidth="1"/>
    <col min="14354" max="14355" width="6.7109375" style="2" customWidth="1"/>
    <col min="14356" max="14357" width="7.7109375" style="2" customWidth="1"/>
    <col min="14358" max="14359" width="6.7109375" style="2" customWidth="1"/>
    <col min="14360" max="14361" width="7.7109375" style="2" customWidth="1"/>
    <col min="14362" max="14362" width="8.140625" style="2" bestFit="1" customWidth="1"/>
    <col min="14363" max="14363" width="7.140625" style="2" bestFit="1" customWidth="1"/>
    <col min="14364" max="14364" width="6.7109375" style="2" customWidth="1"/>
    <col min="14365" max="14594" width="9" style="2"/>
    <col min="14595" max="14595" width="4.140625" style="2" customWidth="1"/>
    <col min="14596" max="14596" width="5" style="2" customWidth="1"/>
    <col min="14597" max="14597" width="9.140625" style="2" customWidth="1"/>
    <col min="14598" max="14600" width="5" style="2" customWidth="1"/>
    <col min="14601" max="14601" width="5.85546875" style="2" customWidth="1"/>
    <col min="14602" max="14602" width="5" style="2" customWidth="1"/>
    <col min="14603" max="14608" width="7.7109375" style="2" customWidth="1"/>
    <col min="14609" max="14609" width="8.140625" style="2" customWidth="1"/>
    <col min="14610" max="14611" width="6.7109375" style="2" customWidth="1"/>
    <col min="14612" max="14613" width="7.7109375" style="2" customWidth="1"/>
    <col min="14614" max="14615" width="6.7109375" style="2" customWidth="1"/>
    <col min="14616" max="14617" width="7.7109375" style="2" customWidth="1"/>
    <col min="14618" max="14618" width="8.140625" style="2" bestFit="1" customWidth="1"/>
    <col min="14619" max="14619" width="7.140625" style="2" bestFit="1" customWidth="1"/>
    <col min="14620" max="14620" width="6.7109375" style="2" customWidth="1"/>
    <col min="14621" max="14850" width="9" style="2"/>
    <col min="14851" max="14851" width="4.140625" style="2" customWidth="1"/>
    <col min="14852" max="14852" width="5" style="2" customWidth="1"/>
    <col min="14853" max="14853" width="9.140625" style="2" customWidth="1"/>
    <col min="14854" max="14856" width="5" style="2" customWidth="1"/>
    <col min="14857" max="14857" width="5.85546875" style="2" customWidth="1"/>
    <col min="14858" max="14858" width="5" style="2" customWidth="1"/>
    <col min="14859" max="14864" width="7.7109375" style="2" customWidth="1"/>
    <col min="14865" max="14865" width="8.140625" style="2" customWidth="1"/>
    <col min="14866" max="14867" width="6.7109375" style="2" customWidth="1"/>
    <col min="14868" max="14869" width="7.7109375" style="2" customWidth="1"/>
    <col min="14870" max="14871" width="6.7109375" style="2" customWidth="1"/>
    <col min="14872" max="14873" width="7.7109375" style="2" customWidth="1"/>
    <col min="14874" max="14874" width="8.140625" style="2" bestFit="1" customWidth="1"/>
    <col min="14875" max="14875" width="7.140625" style="2" bestFit="1" customWidth="1"/>
    <col min="14876" max="14876" width="6.7109375" style="2" customWidth="1"/>
    <col min="14877" max="15106" width="9" style="2"/>
    <col min="15107" max="15107" width="4.140625" style="2" customWidth="1"/>
    <col min="15108" max="15108" width="5" style="2" customWidth="1"/>
    <col min="15109" max="15109" width="9.140625" style="2" customWidth="1"/>
    <col min="15110" max="15112" width="5" style="2" customWidth="1"/>
    <col min="15113" max="15113" width="5.85546875" style="2" customWidth="1"/>
    <col min="15114" max="15114" width="5" style="2" customWidth="1"/>
    <col min="15115" max="15120" width="7.7109375" style="2" customWidth="1"/>
    <col min="15121" max="15121" width="8.140625" style="2" customWidth="1"/>
    <col min="15122" max="15123" width="6.7109375" style="2" customWidth="1"/>
    <col min="15124" max="15125" width="7.7109375" style="2" customWidth="1"/>
    <col min="15126" max="15127" width="6.7109375" style="2" customWidth="1"/>
    <col min="15128" max="15129" width="7.7109375" style="2" customWidth="1"/>
    <col min="15130" max="15130" width="8.140625" style="2" bestFit="1" customWidth="1"/>
    <col min="15131" max="15131" width="7.140625" style="2" bestFit="1" customWidth="1"/>
    <col min="15132" max="15132" width="6.7109375" style="2" customWidth="1"/>
    <col min="15133" max="15362" width="9" style="2"/>
    <col min="15363" max="15363" width="4.140625" style="2" customWidth="1"/>
    <col min="15364" max="15364" width="5" style="2" customWidth="1"/>
    <col min="15365" max="15365" width="9.140625" style="2" customWidth="1"/>
    <col min="15366" max="15368" width="5" style="2" customWidth="1"/>
    <col min="15369" max="15369" width="5.85546875" style="2" customWidth="1"/>
    <col min="15370" max="15370" width="5" style="2" customWidth="1"/>
    <col min="15371" max="15376" width="7.7109375" style="2" customWidth="1"/>
    <col min="15377" max="15377" width="8.140625" style="2" customWidth="1"/>
    <col min="15378" max="15379" width="6.7109375" style="2" customWidth="1"/>
    <col min="15380" max="15381" width="7.7109375" style="2" customWidth="1"/>
    <col min="15382" max="15383" width="6.7109375" style="2" customWidth="1"/>
    <col min="15384" max="15385" width="7.7109375" style="2" customWidth="1"/>
    <col min="15386" max="15386" width="8.140625" style="2" bestFit="1" customWidth="1"/>
    <col min="15387" max="15387" width="7.140625" style="2" bestFit="1" customWidth="1"/>
    <col min="15388" max="15388" width="6.7109375" style="2" customWidth="1"/>
    <col min="15389" max="15618" width="9" style="2"/>
    <col min="15619" max="15619" width="4.140625" style="2" customWidth="1"/>
    <col min="15620" max="15620" width="5" style="2" customWidth="1"/>
    <col min="15621" max="15621" width="9.140625" style="2" customWidth="1"/>
    <col min="15622" max="15624" width="5" style="2" customWidth="1"/>
    <col min="15625" max="15625" width="5.85546875" style="2" customWidth="1"/>
    <col min="15626" max="15626" width="5" style="2" customWidth="1"/>
    <col min="15627" max="15632" width="7.7109375" style="2" customWidth="1"/>
    <col min="15633" max="15633" width="8.140625" style="2" customWidth="1"/>
    <col min="15634" max="15635" width="6.7109375" style="2" customWidth="1"/>
    <col min="15636" max="15637" width="7.7109375" style="2" customWidth="1"/>
    <col min="15638" max="15639" width="6.7109375" style="2" customWidth="1"/>
    <col min="15640" max="15641" width="7.7109375" style="2" customWidth="1"/>
    <col min="15642" max="15642" width="8.140625" style="2" bestFit="1" customWidth="1"/>
    <col min="15643" max="15643" width="7.140625" style="2" bestFit="1" customWidth="1"/>
    <col min="15644" max="15644" width="6.7109375" style="2" customWidth="1"/>
    <col min="15645" max="15874" width="9" style="2"/>
    <col min="15875" max="15875" width="4.140625" style="2" customWidth="1"/>
    <col min="15876" max="15876" width="5" style="2" customWidth="1"/>
    <col min="15877" max="15877" width="9.140625" style="2" customWidth="1"/>
    <col min="15878" max="15880" width="5" style="2" customWidth="1"/>
    <col min="15881" max="15881" width="5.85546875" style="2" customWidth="1"/>
    <col min="15882" max="15882" width="5" style="2" customWidth="1"/>
    <col min="15883" max="15888" width="7.7109375" style="2" customWidth="1"/>
    <col min="15889" max="15889" width="8.140625" style="2" customWidth="1"/>
    <col min="15890" max="15891" width="6.7109375" style="2" customWidth="1"/>
    <col min="15892" max="15893" width="7.7109375" style="2" customWidth="1"/>
    <col min="15894" max="15895" width="6.7109375" style="2" customWidth="1"/>
    <col min="15896" max="15897" width="7.7109375" style="2" customWidth="1"/>
    <col min="15898" max="15898" width="8.140625" style="2" bestFit="1" customWidth="1"/>
    <col min="15899" max="15899" width="7.140625" style="2" bestFit="1" customWidth="1"/>
    <col min="15900" max="15900" width="6.7109375" style="2" customWidth="1"/>
    <col min="15901" max="16130" width="9" style="2"/>
    <col min="16131" max="16131" width="4.140625" style="2" customWidth="1"/>
    <col min="16132" max="16132" width="5" style="2" customWidth="1"/>
    <col min="16133" max="16133" width="9.140625" style="2" customWidth="1"/>
    <col min="16134" max="16136" width="5" style="2" customWidth="1"/>
    <col min="16137" max="16137" width="5.85546875" style="2" customWidth="1"/>
    <col min="16138" max="16138" width="5" style="2" customWidth="1"/>
    <col min="16139" max="16144" width="7.7109375" style="2" customWidth="1"/>
    <col min="16145" max="16145" width="8.140625" style="2" customWidth="1"/>
    <col min="16146" max="16147" width="6.7109375" style="2" customWidth="1"/>
    <col min="16148" max="16149" width="7.7109375" style="2" customWidth="1"/>
    <col min="16150" max="16151" width="6.7109375" style="2" customWidth="1"/>
    <col min="16152" max="16153" width="7.7109375" style="2" customWidth="1"/>
    <col min="16154" max="16154" width="8.140625" style="2" bestFit="1" customWidth="1"/>
    <col min="16155" max="16155" width="7.140625" style="2" bestFit="1" customWidth="1"/>
    <col min="16156" max="16156" width="6.7109375" style="2" customWidth="1"/>
    <col min="16157" max="16384" width="9" style="2"/>
  </cols>
  <sheetData>
    <row r="1" spans="1:28" s="48" customFormat="1" ht="30">
      <c r="A1" s="57" t="s">
        <v>169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0"/>
      <c r="M1" s="50"/>
      <c r="N1" s="50"/>
      <c r="O1" s="50"/>
      <c r="P1" s="50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s="48" customFormat="1" ht="30">
      <c r="A2" s="57" t="s">
        <v>168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0"/>
      <c r="M2" s="50"/>
      <c r="N2" s="50"/>
      <c r="O2" s="50"/>
      <c r="P2" s="50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s="48" customFormat="1" ht="15.75" customHeight="1">
      <c r="A3" s="56"/>
      <c r="B3" s="55"/>
      <c r="C3" s="55"/>
      <c r="D3" s="55"/>
      <c r="E3" s="55"/>
      <c r="F3" s="55"/>
      <c r="G3" s="55"/>
      <c r="H3" s="55"/>
      <c r="I3" s="54"/>
      <c r="J3" s="53"/>
      <c r="K3" s="53"/>
      <c r="L3" s="52"/>
      <c r="M3" s="50"/>
      <c r="N3" s="51"/>
      <c r="O3" s="51"/>
      <c r="P3" s="50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s="38" customFormat="1" ht="17.25">
      <c r="A4" s="228" t="s">
        <v>167</v>
      </c>
      <c r="B4" s="229" t="s">
        <v>166</v>
      </c>
      <c r="C4" s="230"/>
      <c r="D4" s="231"/>
      <c r="E4" s="231"/>
      <c r="F4" s="232"/>
      <c r="G4" s="233" t="s">
        <v>165</v>
      </c>
      <c r="H4" s="233"/>
      <c r="I4" s="234" t="s">
        <v>164</v>
      </c>
      <c r="J4" s="235"/>
      <c r="K4" s="285"/>
      <c r="L4" s="1051" t="s">
        <v>333</v>
      </c>
      <c r="M4" s="1051"/>
      <c r="N4" s="1051"/>
      <c r="O4" s="1052"/>
      <c r="P4" s="236" t="s">
        <v>162</v>
      </c>
      <c r="Q4" s="237" t="s">
        <v>161</v>
      </c>
      <c r="R4" s="1053" t="s">
        <v>160</v>
      </c>
      <c r="S4" s="1054"/>
      <c r="T4" s="1047" t="s">
        <v>159</v>
      </c>
      <c r="U4" s="1048"/>
      <c r="V4" s="237" t="s">
        <v>158</v>
      </c>
      <c r="W4" s="236" t="s">
        <v>157</v>
      </c>
      <c r="X4" s="238" t="s">
        <v>156</v>
      </c>
      <c r="Y4" s="238"/>
      <c r="Z4" s="239" t="s">
        <v>155</v>
      </c>
      <c r="AA4" s="236" t="s">
        <v>154</v>
      </c>
      <c r="AB4" s="239" t="s">
        <v>153</v>
      </c>
    </row>
    <row r="5" spans="1:28" s="38" customFormat="1" ht="17.25">
      <c r="A5" s="240"/>
      <c r="B5" s="241"/>
      <c r="C5" s="242"/>
      <c r="D5" s="242"/>
      <c r="E5" s="242"/>
      <c r="F5" s="243"/>
      <c r="G5" s="240" t="s">
        <v>152</v>
      </c>
      <c r="H5" s="240" t="s">
        <v>151</v>
      </c>
      <c r="I5" s="244"/>
      <c r="J5" s="245"/>
      <c r="K5" s="286"/>
      <c r="L5" s="244"/>
      <c r="M5" s="246"/>
      <c r="N5" s="246"/>
      <c r="O5" s="247"/>
      <c r="P5" s="248" t="s">
        <v>150</v>
      </c>
      <c r="Q5" s="249" t="s">
        <v>149</v>
      </c>
      <c r="R5" s="250" t="s">
        <v>148</v>
      </c>
      <c r="S5" s="250" t="s">
        <v>147</v>
      </c>
      <c r="T5" s="1049" t="s">
        <v>146</v>
      </c>
      <c r="U5" s="1050"/>
      <c r="V5" s="251"/>
      <c r="W5" s="248"/>
      <c r="X5" s="248" t="s">
        <v>145</v>
      </c>
      <c r="Y5" s="248" t="s">
        <v>144</v>
      </c>
      <c r="Z5" s="252" t="s">
        <v>143</v>
      </c>
      <c r="AA5" s="253" t="s">
        <v>142</v>
      </c>
      <c r="AB5" s="254"/>
    </row>
    <row r="6" spans="1:28" s="38" customFormat="1" ht="17.25">
      <c r="A6" s="240"/>
      <c r="B6" s="1055" t="s">
        <v>256</v>
      </c>
      <c r="C6" s="1056"/>
      <c r="D6" s="242"/>
      <c r="E6" s="242"/>
      <c r="F6" s="243"/>
      <c r="G6" s="240"/>
      <c r="H6" s="240"/>
      <c r="I6" s="255" t="s">
        <v>141</v>
      </c>
      <c r="J6" s="256" t="s">
        <v>140</v>
      </c>
      <c r="K6" s="257" t="s">
        <v>391</v>
      </c>
      <c r="L6" s="255" t="s">
        <v>139</v>
      </c>
      <c r="M6" s="257" t="s">
        <v>138</v>
      </c>
      <c r="N6" s="256" t="s">
        <v>137</v>
      </c>
      <c r="O6" s="258" t="s">
        <v>136</v>
      </c>
      <c r="P6" s="248"/>
      <c r="Q6" s="249"/>
      <c r="R6" s="259" t="s">
        <v>135</v>
      </c>
      <c r="S6" s="260" t="s">
        <v>134</v>
      </c>
      <c r="T6" s="261"/>
      <c r="U6" s="262"/>
      <c r="V6" s="251"/>
      <c r="W6" s="248"/>
      <c r="X6" s="248"/>
      <c r="Y6" s="248"/>
      <c r="Z6" s="253" t="s">
        <v>133</v>
      </c>
      <c r="AA6" s="254"/>
      <c r="AB6" s="254"/>
    </row>
    <row r="7" spans="1:28" s="38" customFormat="1" ht="17.25">
      <c r="A7" s="240"/>
      <c r="B7" s="241"/>
      <c r="C7" s="242"/>
      <c r="D7" s="242"/>
      <c r="E7" s="242"/>
      <c r="F7" s="243"/>
      <c r="G7" s="240"/>
      <c r="H7" s="240"/>
      <c r="I7" s="255" t="s">
        <v>132</v>
      </c>
      <c r="J7" s="256" t="s">
        <v>131</v>
      </c>
      <c r="K7" s="257" t="s">
        <v>392</v>
      </c>
      <c r="L7" s="255" t="s">
        <v>130</v>
      </c>
      <c r="M7" s="257" t="s">
        <v>129</v>
      </c>
      <c r="N7" s="256" t="s">
        <v>128</v>
      </c>
      <c r="O7" s="258" t="s">
        <v>127</v>
      </c>
      <c r="P7" s="248"/>
      <c r="Q7" s="248"/>
      <c r="R7" s="250"/>
      <c r="S7" s="250" t="s">
        <v>126</v>
      </c>
      <c r="T7" s="261"/>
      <c r="U7" s="262"/>
      <c r="V7" s="248"/>
      <c r="W7" s="248"/>
      <c r="X7" s="248"/>
      <c r="Y7" s="248"/>
      <c r="Z7" s="252"/>
      <c r="AA7" s="252"/>
      <c r="AB7" s="254"/>
    </row>
    <row r="8" spans="1:28" s="38" customFormat="1" ht="17.25">
      <c r="A8" s="240"/>
      <c r="B8" s="241"/>
      <c r="C8" s="242"/>
      <c r="D8" s="242" t="s">
        <v>125</v>
      </c>
      <c r="E8" s="242" t="s">
        <v>124</v>
      </c>
      <c r="F8" s="243" t="s">
        <v>123</v>
      </c>
      <c r="G8" s="240"/>
      <c r="H8" s="240"/>
      <c r="I8" s="263">
        <v>0.222</v>
      </c>
      <c r="J8" s="264">
        <v>0.499</v>
      </c>
      <c r="K8" s="265">
        <v>2.226</v>
      </c>
      <c r="L8" s="263">
        <v>0.88800000000000001</v>
      </c>
      <c r="M8" s="265">
        <v>1.5780000000000001</v>
      </c>
      <c r="N8" s="264">
        <v>2.4660000000000002</v>
      </c>
      <c r="O8" s="266">
        <v>3.8530000000000002</v>
      </c>
      <c r="P8" s="248"/>
      <c r="Q8" s="248"/>
      <c r="R8" s="250"/>
      <c r="S8" s="250"/>
      <c r="T8" s="267"/>
      <c r="U8" s="262"/>
      <c r="V8" s="248"/>
      <c r="W8" s="248"/>
      <c r="X8" s="248"/>
      <c r="Y8" s="248"/>
      <c r="Z8" s="254"/>
      <c r="AA8" s="254"/>
      <c r="AB8" s="254"/>
    </row>
    <row r="9" spans="1:28" s="38" customFormat="1" ht="17.25">
      <c r="A9" s="268"/>
      <c r="B9" s="269"/>
      <c r="C9" s="270"/>
      <c r="D9" s="270" t="s">
        <v>122</v>
      </c>
      <c r="E9" s="270" t="s">
        <v>122</v>
      </c>
      <c r="F9" s="271" t="s">
        <v>122</v>
      </c>
      <c r="G9" s="268"/>
      <c r="H9" s="268"/>
      <c r="I9" s="272" t="s">
        <v>120</v>
      </c>
      <c r="J9" s="273" t="s">
        <v>120</v>
      </c>
      <c r="K9" s="274" t="s">
        <v>120</v>
      </c>
      <c r="L9" s="272" t="s">
        <v>120</v>
      </c>
      <c r="M9" s="274" t="s">
        <v>120</v>
      </c>
      <c r="N9" s="273" t="s">
        <v>120</v>
      </c>
      <c r="O9" s="275" t="s">
        <v>120</v>
      </c>
      <c r="P9" s="276" t="s">
        <v>120</v>
      </c>
      <c r="Q9" s="276" t="s">
        <v>118</v>
      </c>
      <c r="R9" s="277" t="s">
        <v>119</v>
      </c>
      <c r="S9" s="277" t="s">
        <v>119</v>
      </c>
      <c r="T9" s="297" t="s">
        <v>117</v>
      </c>
      <c r="U9" s="297" t="s">
        <v>121</v>
      </c>
      <c r="V9" s="276" t="s">
        <v>120</v>
      </c>
      <c r="W9" s="277" t="s">
        <v>119</v>
      </c>
      <c r="X9" s="277" t="s">
        <v>119</v>
      </c>
      <c r="Y9" s="277" t="s">
        <v>119</v>
      </c>
      <c r="Z9" s="276" t="s">
        <v>118</v>
      </c>
      <c r="AA9" s="276" t="s">
        <v>117</v>
      </c>
      <c r="AB9" s="276" t="s">
        <v>117</v>
      </c>
    </row>
    <row r="10" spans="1:28" s="38" customFormat="1" ht="17.25">
      <c r="A10" s="47"/>
      <c r="B10" s="1045" t="s">
        <v>332</v>
      </c>
      <c r="C10" s="1046"/>
      <c r="D10" s="1046"/>
      <c r="E10" s="1046"/>
      <c r="F10" s="46"/>
      <c r="G10" s="45"/>
      <c r="H10" s="45"/>
      <c r="I10" s="43"/>
      <c r="J10" s="44"/>
      <c r="K10" s="41"/>
      <c r="L10" s="43"/>
      <c r="M10" s="41"/>
      <c r="N10" s="41"/>
      <c r="O10" s="42"/>
      <c r="P10" s="39"/>
      <c r="Q10" s="39"/>
      <c r="R10" s="40"/>
      <c r="S10" s="40"/>
      <c r="T10" s="298"/>
      <c r="U10" s="298"/>
      <c r="V10" s="39"/>
      <c r="W10" s="40"/>
      <c r="X10" s="40"/>
      <c r="Y10" s="40"/>
      <c r="Z10" s="39"/>
      <c r="AA10" s="39"/>
      <c r="AB10" s="39"/>
    </row>
    <row r="11" spans="1:28" ht="22.15" customHeight="1">
      <c r="A11" s="302"/>
      <c r="B11" s="36" t="s">
        <v>116</v>
      </c>
      <c r="C11" s="35"/>
      <c r="D11" s="25">
        <v>1.3</v>
      </c>
      <c r="E11" s="25">
        <v>1.3</v>
      </c>
      <c r="F11" s="24">
        <v>1.5</v>
      </c>
      <c r="G11" s="301">
        <v>8</v>
      </c>
      <c r="H11" s="22" t="s">
        <v>104</v>
      </c>
      <c r="I11" s="20"/>
      <c r="J11" s="19"/>
      <c r="K11" s="17"/>
      <c r="L11" s="20">
        <f>((F11+D11+F11)*8+(F11+E11+F11)*8)*G11*L8+((D11*2+E11*2)*2*G11)*L8</f>
        <v>562.63679999999999</v>
      </c>
      <c r="M11" s="17"/>
      <c r="N11" s="34"/>
      <c r="O11" s="21">
        <f>(F11+D11+F11)*E11/0.2+(10*E11)*G11*O8</f>
        <v>428.66200000000003</v>
      </c>
      <c r="P11" s="16">
        <f>SUM(I11:O11)</f>
        <v>991.29880000000003</v>
      </c>
      <c r="Q11" s="16">
        <f t="shared" ref="Q11:Q15" si="0">(P11*0.03)</f>
        <v>29.738963999999999</v>
      </c>
      <c r="R11" s="16">
        <f>D11*E11*0.1*G11</f>
        <v>1.3520000000000003</v>
      </c>
      <c r="S11" s="16">
        <f>D11*E11*F11*G11</f>
        <v>20.28</v>
      </c>
      <c r="T11" s="296">
        <f>((D11*F11)*2+(E11*F11)*2)*G11</f>
        <v>62.400000000000006</v>
      </c>
      <c r="U11" s="296">
        <f t="shared" ref="U11:U15" si="1">(T11*0.03)*10.764</f>
        <v>20.150207999999999</v>
      </c>
      <c r="V11" s="16">
        <f t="shared" ref="V11:V15" si="2">T11*0.25</f>
        <v>15.600000000000001</v>
      </c>
      <c r="W11" s="16">
        <f>(D11*E11*0.1)*G11</f>
        <v>1.3520000000000003</v>
      </c>
      <c r="X11" s="16">
        <f>((D11*E11)*F11)*G11</f>
        <v>20.28</v>
      </c>
      <c r="Y11" s="16">
        <v>0</v>
      </c>
      <c r="Z11" s="16">
        <f>G11*1</f>
        <v>8</v>
      </c>
      <c r="AA11" s="16">
        <v>0</v>
      </c>
      <c r="AB11" s="16">
        <v>0</v>
      </c>
    </row>
    <row r="12" spans="1:28" ht="22.15" customHeight="1">
      <c r="A12" s="302"/>
      <c r="B12" s="36" t="s">
        <v>115</v>
      </c>
      <c r="C12" s="35"/>
      <c r="D12" s="25">
        <v>2.4</v>
      </c>
      <c r="E12" s="25">
        <v>2.4</v>
      </c>
      <c r="F12" s="24">
        <v>1.1000000000000001</v>
      </c>
      <c r="G12" s="301">
        <v>8</v>
      </c>
      <c r="H12" s="22" t="s">
        <v>104</v>
      </c>
      <c r="I12" s="20"/>
      <c r="J12" s="19"/>
      <c r="K12" s="17"/>
      <c r="L12" s="20"/>
      <c r="M12" s="37"/>
      <c r="N12" s="19"/>
      <c r="O12" s="21">
        <f>(F12+D12+F12)*E12/0.2+(10*E12)*G12*O8</f>
        <v>794.97600000000011</v>
      </c>
      <c r="P12" s="16">
        <f>SUM(I12:O12)</f>
        <v>794.97600000000011</v>
      </c>
      <c r="Q12" s="16">
        <f t="shared" si="0"/>
        <v>23.849280000000004</v>
      </c>
      <c r="R12" s="16">
        <f>D12*E12*0.1*G12</f>
        <v>4.6079999999999997</v>
      </c>
      <c r="S12" s="16">
        <f>D12*E12*F12*G12</f>
        <v>50.688000000000002</v>
      </c>
      <c r="T12" s="16">
        <f>((D12*F12)*2+(E12*F12)*2)*G12</f>
        <v>84.48</v>
      </c>
      <c r="U12" s="16">
        <f t="shared" si="1"/>
        <v>27.280281600000002</v>
      </c>
      <c r="V12" s="16">
        <f t="shared" si="2"/>
        <v>21.12</v>
      </c>
      <c r="W12" s="16">
        <f>(D12*E12*0.1)*G12</f>
        <v>4.6079999999999997</v>
      </c>
      <c r="X12" s="16">
        <f>((D12*E12)*F12)*G12</f>
        <v>50.688000000000002</v>
      </c>
      <c r="Y12" s="16"/>
      <c r="Z12" s="16">
        <f>G12*3</f>
        <v>24</v>
      </c>
      <c r="AA12" s="16">
        <v>0</v>
      </c>
      <c r="AB12" s="16">
        <v>0</v>
      </c>
    </row>
    <row r="13" spans="1:28" ht="22.15" customHeight="1">
      <c r="A13" s="302"/>
      <c r="B13" s="36" t="s">
        <v>114</v>
      </c>
      <c r="C13" s="35"/>
      <c r="D13" s="25">
        <v>2.8</v>
      </c>
      <c r="E13" s="25">
        <v>2.8</v>
      </c>
      <c r="F13" s="24">
        <v>1.6</v>
      </c>
      <c r="G13" s="301">
        <v>8</v>
      </c>
      <c r="H13" s="22" t="s">
        <v>104</v>
      </c>
      <c r="I13" s="20"/>
      <c r="J13" s="19"/>
      <c r="K13" s="17"/>
      <c r="L13" s="20"/>
      <c r="M13" s="17"/>
      <c r="N13" s="34"/>
      <c r="O13" s="21">
        <f>(F13+D13+F13)*E13/0.2+(10*E13)*G13*O8</f>
        <v>947.072</v>
      </c>
      <c r="P13" s="16">
        <f>SUM(I13:O13)</f>
        <v>947.072</v>
      </c>
      <c r="Q13" s="16">
        <f t="shared" si="0"/>
        <v>28.41216</v>
      </c>
      <c r="R13" s="16">
        <f>D13*E13*0.1*G13</f>
        <v>6.2719999999999994</v>
      </c>
      <c r="S13" s="16">
        <f>D13*E13*F13*G13</f>
        <v>100.35199999999999</v>
      </c>
      <c r="T13" s="16">
        <f>((D13*F13)*2+(E13*F13)*2)*G13</f>
        <v>143.35999999999999</v>
      </c>
      <c r="U13" s="16">
        <f t="shared" si="1"/>
        <v>46.293811199999993</v>
      </c>
      <c r="V13" s="16">
        <f t="shared" si="2"/>
        <v>35.839999999999996</v>
      </c>
      <c r="W13" s="16">
        <f>(D13*E13*0.1)*G13</f>
        <v>6.2719999999999994</v>
      </c>
      <c r="X13" s="16">
        <f>((D13*E13)*F13)*G13</f>
        <v>100.35199999999999</v>
      </c>
      <c r="Y13" s="16"/>
      <c r="Z13" s="16">
        <f>G13*4</f>
        <v>32</v>
      </c>
      <c r="AA13" s="16">
        <v>0</v>
      </c>
      <c r="AB13" s="16">
        <v>0</v>
      </c>
    </row>
    <row r="14" spans="1:28" ht="22.15" customHeight="1">
      <c r="A14" s="302"/>
      <c r="B14" s="36" t="s">
        <v>113</v>
      </c>
      <c r="C14" s="35"/>
      <c r="D14" s="25">
        <v>3.1</v>
      </c>
      <c r="E14" s="25">
        <v>3.1</v>
      </c>
      <c r="F14" s="24">
        <v>1.7</v>
      </c>
      <c r="G14" s="301">
        <v>3</v>
      </c>
      <c r="H14" s="22" t="s">
        <v>104</v>
      </c>
      <c r="I14" s="20"/>
      <c r="J14" s="19"/>
      <c r="K14" s="17"/>
      <c r="L14" s="20"/>
      <c r="M14" s="17"/>
      <c r="N14" s="34"/>
      <c r="O14" s="21">
        <f>(F14+D14+F14)*E14/0.2+(10*E14)*G14*O8</f>
        <v>459.07900000000001</v>
      </c>
      <c r="P14" s="16">
        <f>SUM(I14:O14)</f>
        <v>459.07900000000001</v>
      </c>
      <c r="Q14" s="16">
        <f t="shared" si="0"/>
        <v>13.77237</v>
      </c>
      <c r="R14" s="16">
        <f>D14*E14*0.1*G14</f>
        <v>2.8830000000000005</v>
      </c>
      <c r="S14" s="16">
        <f>D14*E14*F14*G14</f>
        <v>49.01100000000001</v>
      </c>
      <c r="T14" s="16">
        <f>((D14*F14)*2+(E14*F14)*2)*G14</f>
        <v>63.239999999999995</v>
      </c>
      <c r="U14" s="16">
        <f t="shared" si="1"/>
        <v>20.421460799999995</v>
      </c>
      <c r="V14" s="16">
        <f t="shared" si="2"/>
        <v>15.809999999999999</v>
      </c>
      <c r="W14" s="16">
        <f>(D14*E14*0.1)*G14</f>
        <v>2.8830000000000005</v>
      </c>
      <c r="X14" s="16">
        <f>((D14*E14)*F14)*G14</f>
        <v>49.01100000000001</v>
      </c>
      <c r="Y14" s="16"/>
      <c r="Z14" s="16">
        <f>G14*5</f>
        <v>15</v>
      </c>
      <c r="AA14" s="16">
        <v>0</v>
      </c>
      <c r="AB14" s="16">
        <v>0</v>
      </c>
    </row>
    <row r="15" spans="1:28" ht="22.15" customHeight="1">
      <c r="A15" s="302"/>
      <c r="B15" s="36" t="s">
        <v>112</v>
      </c>
      <c r="C15" s="35"/>
      <c r="D15" s="25">
        <v>3.3</v>
      </c>
      <c r="E15" s="25">
        <v>3.3</v>
      </c>
      <c r="F15" s="24">
        <v>1</v>
      </c>
      <c r="G15" s="301">
        <v>3</v>
      </c>
      <c r="H15" s="22" t="s">
        <v>104</v>
      </c>
      <c r="I15" s="20"/>
      <c r="J15" s="19"/>
      <c r="K15" s="17"/>
      <c r="L15" s="20"/>
      <c r="M15" s="17"/>
      <c r="N15" s="34"/>
      <c r="O15" s="21">
        <f>(F15+D15+F15)*E15/0.2+(10*E15)*G15*O8</f>
        <v>468.89699999999999</v>
      </c>
      <c r="P15" s="16">
        <f>SUM(I15:O15)</f>
        <v>468.89699999999999</v>
      </c>
      <c r="Q15" s="16">
        <f t="shared" si="0"/>
        <v>14.06691</v>
      </c>
      <c r="R15" s="16">
        <f>D15*E15*0.1*G15</f>
        <v>3.2669999999999999</v>
      </c>
      <c r="S15" s="16">
        <f>D15*E15*F15*G15</f>
        <v>32.669999999999995</v>
      </c>
      <c r="T15" s="16">
        <f>((D15*F15)*2+(E15*F15)*2)*G15</f>
        <v>39.599999999999994</v>
      </c>
      <c r="U15" s="16">
        <f t="shared" si="1"/>
        <v>12.787631999999997</v>
      </c>
      <c r="V15" s="16">
        <f t="shared" si="2"/>
        <v>9.8999999999999986</v>
      </c>
      <c r="W15" s="16">
        <f>(D15*E15*0.1)*G15</f>
        <v>3.2669999999999999</v>
      </c>
      <c r="X15" s="16">
        <f>((D15*E15)*F15)*G15</f>
        <v>32.669999999999995</v>
      </c>
      <c r="Y15" s="16"/>
      <c r="Z15" s="16">
        <f>G15*6</f>
        <v>18</v>
      </c>
      <c r="AA15" s="16">
        <v>0</v>
      </c>
      <c r="AB15" s="16">
        <v>0</v>
      </c>
    </row>
    <row r="16" spans="1:28" ht="22.15" customHeight="1">
      <c r="A16" s="33"/>
      <c r="B16" s="36" t="s">
        <v>263</v>
      </c>
      <c r="C16" s="35"/>
      <c r="D16" s="25"/>
      <c r="E16" s="25"/>
      <c r="F16" s="24"/>
      <c r="G16" s="22"/>
      <c r="H16" s="22"/>
      <c r="I16" s="20"/>
      <c r="J16" s="17"/>
      <c r="K16" s="17"/>
      <c r="L16" s="20"/>
      <c r="M16" s="17"/>
      <c r="N16" s="19"/>
      <c r="O16" s="21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ht="22.15" customHeight="1">
      <c r="A17" s="33"/>
      <c r="B17" s="36" t="s">
        <v>111</v>
      </c>
      <c r="C17" s="35"/>
      <c r="D17" s="25">
        <v>0.2</v>
      </c>
      <c r="E17" s="25">
        <v>0.2</v>
      </c>
      <c r="F17" s="24">
        <v>1</v>
      </c>
      <c r="G17" s="22">
        <v>11</v>
      </c>
      <c r="H17" s="22" t="s">
        <v>104</v>
      </c>
      <c r="I17" s="17">
        <f>(((D17+E17+D17+E17)*F17/0.2)*G17)*I8</f>
        <v>9.7680000000000007</v>
      </c>
      <c r="J17" s="17"/>
      <c r="K17" s="17"/>
      <c r="L17" s="20"/>
      <c r="M17" s="19"/>
      <c r="N17" s="19"/>
      <c r="O17" s="21">
        <f>(G17*4)*O8</f>
        <v>169.53200000000001</v>
      </c>
      <c r="P17" s="16">
        <f t="shared" ref="P17:P23" si="3">SUM(I17:O17)</f>
        <v>179.3</v>
      </c>
      <c r="Q17" s="16">
        <f t="shared" ref="Q17:Q23" si="4">(P17*0.03)</f>
        <v>5.3790000000000004</v>
      </c>
      <c r="R17" s="16"/>
      <c r="S17" s="16">
        <f t="shared" ref="S17:S23" si="5">(D17*E17*F17)*G17</f>
        <v>0.44000000000000006</v>
      </c>
      <c r="T17" s="16">
        <f t="shared" ref="T17:T23" si="6">(D17+E17+E17+D17)*G17</f>
        <v>8.8000000000000007</v>
      </c>
      <c r="U17" s="16">
        <f t="shared" ref="U17:U23" si="7">(T17*0.03)*10.764</f>
        <v>2.8416959999999998</v>
      </c>
      <c r="V17" s="16">
        <f t="shared" ref="V17:V23" si="8">(T17+U17)*0.25</f>
        <v>2.9104239999999999</v>
      </c>
      <c r="W17" s="16"/>
      <c r="X17" s="16">
        <v>0</v>
      </c>
      <c r="Y17" s="16">
        <v>0</v>
      </c>
      <c r="Z17" s="16">
        <v>0</v>
      </c>
      <c r="AA17" s="16">
        <v>0</v>
      </c>
      <c r="AB17" s="16">
        <v>0</v>
      </c>
    </row>
    <row r="18" spans="1:28" ht="22.15" customHeight="1">
      <c r="A18" s="33"/>
      <c r="B18" s="36" t="s">
        <v>110</v>
      </c>
      <c r="C18" s="35"/>
      <c r="D18" s="25">
        <v>0.4</v>
      </c>
      <c r="E18" s="25">
        <v>0.6</v>
      </c>
      <c r="F18" s="24">
        <v>1</v>
      </c>
      <c r="G18" s="22">
        <v>9</v>
      </c>
      <c r="H18" s="22" t="s">
        <v>104</v>
      </c>
      <c r="I18" s="17">
        <f>(((D18+E18+D18+E18)*F18/0.29)*G18)*4*I8</f>
        <v>55.11724137931035</v>
      </c>
      <c r="J18" s="17"/>
      <c r="K18" s="17"/>
      <c r="L18" s="20"/>
      <c r="M18" s="19"/>
      <c r="N18" s="19"/>
      <c r="O18" s="21">
        <f>(G18*12)*O8</f>
        <v>416.12400000000002</v>
      </c>
      <c r="P18" s="16">
        <f t="shared" si="3"/>
        <v>471.2412413793104</v>
      </c>
      <c r="Q18" s="16">
        <f t="shared" si="4"/>
        <v>14.137237241379312</v>
      </c>
      <c r="R18" s="16"/>
      <c r="S18" s="16">
        <f t="shared" si="5"/>
        <v>2.16</v>
      </c>
      <c r="T18" s="16">
        <f t="shared" si="6"/>
        <v>18</v>
      </c>
      <c r="U18" s="16">
        <f t="shared" si="7"/>
        <v>5.8125600000000004</v>
      </c>
      <c r="V18" s="16">
        <f t="shared" si="8"/>
        <v>5.9531400000000003</v>
      </c>
      <c r="W18" s="16"/>
      <c r="X18" s="16">
        <v>0</v>
      </c>
      <c r="Y18" s="16">
        <v>0</v>
      </c>
      <c r="Z18" s="16">
        <v>0</v>
      </c>
      <c r="AA18" s="16">
        <v>0</v>
      </c>
      <c r="AB18" s="16">
        <v>0</v>
      </c>
    </row>
    <row r="19" spans="1:28" ht="22.15" customHeight="1">
      <c r="A19" s="33"/>
      <c r="B19" s="36" t="s">
        <v>109</v>
      </c>
      <c r="C19" s="35"/>
      <c r="D19" s="25">
        <v>0.4</v>
      </c>
      <c r="E19" s="25">
        <v>0.6</v>
      </c>
      <c r="F19" s="24">
        <v>1</v>
      </c>
      <c r="G19" s="22">
        <v>3</v>
      </c>
      <c r="H19" s="22" t="s">
        <v>104</v>
      </c>
      <c r="I19" s="17">
        <f>(((D19+E19+D19+E19)*F19/0.29)*G19)*4*I8</f>
        <v>18.372413793103448</v>
      </c>
      <c r="J19" s="17"/>
      <c r="K19" s="17"/>
      <c r="L19" s="20"/>
      <c r="M19" s="19"/>
      <c r="N19" s="19"/>
      <c r="O19" s="21">
        <f>(G19*12)*O8</f>
        <v>138.708</v>
      </c>
      <c r="P19" s="16">
        <f t="shared" si="3"/>
        <v>157.08041379310345</v>
      </c>
      <c r="Q19" s="16">
        <f t="shared" si="4"/>
        <v>4.7124124137931034</v>
      </c>
      <c r="R19" s="16"/>
      <c r="S19" s="16">
        <f t="shared" si="5"/>
        <v>0.72</v>
      </c>
      <c r="T19" s="16">
        <f t="shared" si="6"/>
        <v>6</v>
      </c>
      <c r="U19" s="16">
        <f t="shared" si="7"/>
        <v>1.9375199999999999</v>
      </c>
      <c r="V19" s="16">
        <f t="shared" si="8"/>
        <v>1.98438</v>
      </c>
      <c r="W19" s="16"/>
      <c r="X19" s="16">
        <v>0</v>
      </c>
      <c r="Y19" s="16">
        <v>0</v>
      </c>
      <c r="Z19" s="16">
        <v>0</v>
      </c>
      <c r="AA19" s="16">
        <v>0</v>
      </c>
      <c r="AB19" s="16">
        <v>0</v>
      </c>
    </row>
    <row r="20" spans="1:28" ht="22.15" customHeight="1">
      <c r="A20" s="33"/>
      <c r="B20" s="36" t="s">
        <v>108</v>
      </c>
      <c r="C20" s="35"/>
      <c r="D20" s="25">
        <v>0.4</v>
      </c>
      <c r="E20" s="25">
        <v>0.6</v>
      </c>
      <c r="F20" s="24">
        <v>1</v>
      </c>
      <c r="G20" s="22">
        <v>24</v>
      </c>
      <c r="H20" s="22" t="s">
        <v>104</v>
      </c>
      <c r="I20" s="17">
        <f>(((D20+E20+D20+E20)*F20/0.29)*G20)*4*I8</f>
        <v>146.97931034482758</v>
      </c>
      <c r="J20" s="17"/>
      <c r="K20" s="17"/>
      <c r="L20" s="20"/>
      <c r="M20" s="19"/>
      <c r="N20" s="19"/>
      <c r="O20" s="21">
        <f>(G20*14)*O8</f>
        <v>1294.6080000000002</v>
      </c>
      <c r="P20" s="16">
        <f t="shared" si="3"/>
        <v>1441.5873103448278</v>
      </c>
      <c r="Q20" s="16">
        <f t="shared" si="4"/>
        <v>43.247619310344831</v>
      </c>
      <c r="R20" s="16"/>
      <c r="S20" s="16">
        <f t="shared" si="5"/>
        <v>5.76</v>
      </c>
      <c r="T20" s="16">
        <f t="shared" si="6"/>
        <v>48</v>
      </c>
      <c r="U20" s="16">
        <f t="shared" si="7"/>
        <v>15.500159999999999</v>
      </c>
      <c r="V20" s="16">
        <f t="shared" si="8"/>
        <v>15.87504</v>
      </c>
      <c r="W20" s="16"/>
      <c r="X20" s="16">
        <v>0</v>
      </c>
      <c r="Y20" s="16">
        <v>0</v>
      </c>
      <c r="Z20" s="16">
        <v>0</v>
      </c>
      <c r="AA20" s="16">
        <v>0</v>
      </c>
      <c r="AB20" s="16">
        <v>0</v>
      </c>
    </row>
    <row r="21" spans="1:28" ht="22.15" customHeight="1">
      <c r="A21" s="33"/>
      <c r="B21" s="36" t="s">
        <v>107</v>
      </c>
      <c r="C21" s="35"/>
      <c r="D21" s="25">
        <v>0.4</v>
      </c>
      <c r="E21" s="25">
        <v>0.6</v>
      </c>
      <c r="F21" s="24">
        <v>1</v>
      </c>
      <c r="G21" s="22">
        <v>12</v>
      </c>
      <c r="H21" s="22" t="s">
        <v>104</v>
      </c>
      <c r="I21" s="17">
        <f>(((D21+E21+D21+E21)*F21/0.29)*G21)*4*I8</f>
        <v>73.489655172413791</v>
      </c>
      <c r="J21" s="17"/>
      <c r="K21" s="17"/>
      <c r="L21" s="20"/>
      <c r="M21" s="19"/>
      <c r="N21" s="19"/>
      <c r="O21" s="21">
        <f>(G21*12)*O8</f>
        <v>554.83199999999999</v>
      </c>
      <c r="P21" s="16">
        <f t="shared" si="3"/>
        <v>628.32165517241378</v>
      </c>
      <c r="Q21" s="16">
        <f t="shared" si="4"/>
        <v>18.849649655172414</v>
      </c>
      <c r="R21" s="16"/>
      <c r="S21" s="16">
        <f t="shared" si="5"/>
        <v>2.88</v>
      </c>
      <c r="T21" s="16">
        <f t="shared" si="6"/>
        <v>24</v>
      </c>
      <c r="U21" s="16">
        <f t="shared" si="7"/>
        <v>7.7500799999999996</v>
      </c>
      <c r="V21" s="16">
        <f t="shared" si="8"/>
        <v>7.9375200000000001</v>
      </c>
      <c r="W21" s="16"/>
      <c r="X21" s="16">
        <v>0</v>
      </c>
      <c r="Y21" s="16">
        <v>0</v>
      </c>
      <c r="Z21" s="16">
        <v>0</v>
      </c>
      <c r="AA21" s="16">
        <v>0</v>
      </c>
      <c r="AB21" s="16">
        <v>0</v>
      </c>
    </row>
    <row r="22" spans="1:28" ht="22.15" customHeight="1">
      <c r="A22" s="33"/>
      <c r="B22" s="36" t="s">
        <v>106</v>
      </c>
      <c r="C22" s="35"/>
      <c r="D22" s="25">
        <v>0.4</v>
      </c>
      <c r="E22" s="25">
        <v>0.6</v>
      </c>
      <c r="F22" s="24">
        <v>1</v>
      </c>
      <c r="G22" s="22">
        <v>34</v>
      </c>
      <c r="H22" s="22" t="s">
        <v>104</v>
      </c>
      <c r="I22" s="17">
        <f>(((D22+E22+D22+E22)*F22/0.29)*G22)*4*I8</f>
        <v>208.22068965517244</v>
      </c>
      <c r="J22" s="17"/>
      <c r="K22" s="17"/>
      <c r="L22" s="20"/>
      <c r="M22" s="19"/>
      <c r="N22" s="19"/>
      <c r="O22" s="21">
        <f>(G22*14)*O8</f>
        <v>1834.028</v>
      </c>
      <c r="P22" s="16">
        <f t="shared" si="3"/>
        <v>2042.2486896551725</v>
      </c>
      <c r="Q22" s="16">
        <f t="shared" si="4"/>
        <v>61.267460689655174</v>
      </c>
      <c r="R22" s="16"/>
      <c r="S22" s="16">
        <f t="shared" si="5"/>
        <v>8.16</v>
      </c>
      <c r="T22" s="16">
        <f t="shared" si="6"/>
        <v>68</v>
      </c>
      <c r="U22" s="16">
        <f t="shared" si="7"/>
        <v>21.958559999999999</v>
      </c>
      <c r="V22" s="16">
        <f t="shared" si="8"/>
        <v>22.489640000000001</v>
      </c>
      <c r="W22" s="16"/>
      <c r="X22" s="16">
        <v>0</v>
      </c>
      <c r="Y22" s="16">
        <v>0</v>
      </c>
      <c r="Z22" s="16">
        <v>0</v>
      </c>
      <c r="AA22" s="16">
        <v>0</v>
      </c>
      <c r="AB22" s="16">
        <v>0</v>
      </c>
    </row>
    <row r="23" spans="1:28" ht="22.15" customHeight="1">
      <c r="A23" s="33"/>
      <c r="B23" s="36" t="s">
        <v>105</v>
      </c>
      <c r="C23" s="35"/>
      <c r="D23" s="25">
        <v>0.4</v>
      </c>
      <c r="E23" s="25">
        <v>0.6</v>
      </c>
      <c r="F23" s="24">
        <v>1</v>
      </c>
      <c r="G23" s="22">
        <v>3</v>
      </c>
      <c r="H23" s="22" t="s">
        <v>104</v>
      </c>
      <c r="I23" s="17">
        <f>(((D23+E23+D23+E23)*F23/0.29)*G23)*4*I8</f>
        <v>18.372413793103448</v>
      </c>
      <c r="J23" s="17"/>
      <c r="K23" s="17"/>
      <c r="L23" s="20"/>
      <c r="M23" s="19"/>
      <c r="N23" s="19"/>
      <c r="O23" s="21">
        <f>(G23*14)*O8</f>
        <v>161.82600000000002</v>
      </c>
      <c r="P23" s="16">
        <f t="shared" si="3"/>
        <v>180.19841379310347</v>
      </c>
      <c r="Q23" s="16">
        <f t="shared" si="4"/>
        <v>5.4059524137931039</v>
      </c>
      <c r="R23" s="16"/>
      <c r="S23" s="16">
        <f t="shared" si="5"/>
        <v>0.72</v>
      </c>
      <c r="T23" s="16">
        <f t="shared" si="6"/>
        <v>6</v>
      </c>
      <c r="U23" s="16">
        <f t="shared" si="7"/>
        <v>1.9375199999999999</v>
      </c>
      <c r="V23" s="16">
        <f t="shared" si="8"/>
        <v>1.98438</v>
      </c>
      <c r="W23" s="16"/>
      <c r="X23" s="16">
        <v>0</v>
      </c>
      <c r="Y23" s="16">
        <v>0</v>
      </c>
      <c r="Z23" s="16">
        <v>0</v>
      </c>
      <c r="AA23" s="16">
        <v>0</v>
      </c>
      <c r="AB23" s="16">
        <v>0</v>
      </c>
    </row>
    <row r="24" spans="1:28" ht="22.15" customHeight="1">
      <c r="A24" s="33"/>
      <c r="B24" s="36" t="s">
        <v>396</v>
      </c>
      <c r="C24" s="35"/>
      <c r="D24" s="25"/>
      <c r="E24" s="25"/>
      <c r="F24" s="24"/>
      <c r="G24" s="22"/>
      <c r="H24" s="22"/>
      <c r="I24" s="20"/>
      <c r="J24" s="17"/>
      <c r="K24" s="17"/>
      <c r="L24" s="20"/>
      <c r="M24" s="17"/>
      <c r="N24" s="19"/>
      <c r="O24" s="21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s="8" customFormat="1" ht="22.15" customHeight="1">
      <c r="A25" s="33"/>
      <c r="B25" s="27" t="s">
        <v>103</v>
      </c>
      <c r="C25" s="26"/>
      <c r="D25" s="25">
        <v>0.15</v>
      </c>
      <c r="E25" s="25">
        <v>0.4</v>
      </c>
      <c r="F25" s="24"/>
      <c r="G25" s="23">
        <v>24.72</v>
      </c>
      <c r="H25" s="22" t="s">
        <v>62</v>
      </c>
      <c r="I25" s="17">
        <f>((D25+E25+D25+E25)*G25/0.175)*I8</f>
        <v>34.494994285714284</v>
      </c>
      <c r="J25" s="17"/>
      <c r="K25" s="17"/>
      <c r="L25" s="20">
        <f>(G25*4)*L8</f>
        <v>87.80543999999999</v>
      </c>
      <c r="M25" s="19"/>
      <c r="N25" s="19"/>
      <c r="O25" s="21"/>
      <c r="P25" s="16">
        <f t="shared" ref="P25:P44" si="9">SUM(I25:O25)</f>
        <v>122.30043428571427</v>
      </c>
      <c r="Q25" s="16">
        <f t="shared" ref="Q25:Q44" si="10">(P25*0.03)</f>
        <v>3.669013028571428</v>
      </c>
      <c r="R25" s="16"/>
      <c r="S25" s="16">
        <f t="shared" ref="S25:S39" si="11">D25*E25*G25</f>
        <v>1.4831999999999999</v>
      </c>
      <c r="T25" s="16">
        <f t="shared" ref="T25:T39" si="12">(D25+E25+E25)*G25</f>
        <v>23.484000000000002</v>
      </c>
      <c r="U25" s="16">
        <f t="shared" ref="U25:U44" si="13">(T25*0.03)*10.764</f>
        <v>7.5834532799999996</v>
      </c>
      <c r="V25" s="16">
        <f t="shared" ref="V25:V44" si="14">(T25+U25)*0.25</f>
        <v>7.7668633200000006</v>
      </c>
      <c r="W25" s="16"/>
      <c r="X25" s="16">
        <v>0</v>
      </c>
      <c r="Y25" s="16">
        <v>0</v>
      </c>
      <c r="Z25" s="16">
        <v>0</v>
      </c>
      <c r="AA25" s="16">
        <v>0</v>
      </c>
      <c r="AB25" s="16">
        <v>0</v>
      </c>
    </row>
    <row r="26" spans="1:28" s="8" customFormat="1" ht="22.15" customHeight="1">
      <c r="A26" s="33"/>
      <c r="B26" s="27" t="s">
        <v>102</v>
      </c>
      <c r="C26" s="26"/>
      <c r="D26" s="25">
        <v>0.2</v>
      </c>
      <c r="E26" s="25">
        <v>0.4</v>
      </c>
      <c r="F26" s="24"/>
      <c r="G26" s="23">
        <v>13.81</v>
      </c>
      <c r="H26" s="22" t="s">
        <v>62</v>
      </c>
      <c r="I26" s="17">
        <f>((D26+E26+D26+E26)*G26/0.15)*I8</f>
        <v>24.526560000000003</v>
      </c>
      <c r="J26" s="17"/>
      <c r="K26" s="17"/>
      <c r="L26" s="20">
        <f>(G26*4)*L8</f>
        <v>49.05312</v>
      </c>
      <c r="M26" s="19"/>
      <c r="N26" s="19"/>
      <c r="O26" s="21">
        <f>(G26*2)/0.75*O8</f>
        <v>141.89314666666667</v>
      </c>
      <c r="P26" s="16">
        <f t="shared" si="9"/>
        <v>215.47282666666666</v>
      </c>
      <c r="Q26" s="16">
        <f t="shared" si="10"/>
        <v>6.4641848</v>
      </c>
      <c r="R26" s="16"/>
      <c r="S26" s="16">
        <f t="shared" si="11"/>
        <v>1.1048000000000002</v>
      </c>
      <c r="T26" s="16">
        <f t="shared" si="12"/>
        <v>13.81</v>
      </c>
      <c r="U26" s="16">
        <f t="shared" si="13"/>
        <v>4.4595251999999999</v>
      </c>
      <c r="V26" s="16">
        <f t="shared" si="14"/>
        <v>4.5673813000000001</v>
      </c>
      <c r="W26" s="16"/>
      <c r="X26" s="16">
        <v>0</v>
      </c>
      <c r="Y26" s="16">
        <v>0</v>
      </c>
      <c r="Z26" s="16">
        <v>0</v>
      </c>
      <c r="AA26" s="16">
        <v>0</v>
      </c>
      <c r="AB26" s="16">
        <v>0</v>
      </c>
    </row>
    <row r="27" spans="1:28" s="8" customFormat="1" ht="22.15" customHeight="1">
      <c r="A27" s="33"/>
      <c r="B27" s="27" t="s">
        <v>101</v>
      </c>
      <c r="C27" s="26"/>
      <c r="D27" s="25">
        <v>0.3</v>
      </c>
      <c r="E27" s="25">
        <v>0.5</v>
      </c>
      <c r="F27" s="24"/>
      <c r="G27" s="23">
        <v>104.04</v>
      </c>
      <c r="H27" s="22" t="s">
        <v>62</v>
      </c>
      <c r="I27" s="20"/>
      <c r="J27" s="17">
        <f>((D27+E27+D27+E27)*G27/0.2)*J8</f>
        <v>415.32768000000004</v>
      </c>
      <c r="K27" s="17"/>
      <c r="L27" s="20">
        <f>(G27*4)*L8</f>
        <v>369.55008000000004</v>
      </c>
      <c r="M27" s="19"/>
      <c r="N27" s="19"/>
      <c r="O27" s="21">
        <f>((G27*2)/0.75)+(G27)*O8</f>
        <v>678.30611999999996</v>
      </c>
      <c r="P27" s="16">
        <f t="shared" si="9"/>
        <v>1463.18388</v>
      </c>
      <c r="Q27" s="16">
        <f t="shared" si="10"/>
        <v>43.895516399999998</v>
      </c>
      <c r="R27" s="16"/>
      <c r="S27" s="16">
        <f t="shared" si="11"/>
        <v>15.606</v>
      </c>
      <c r="T27" s="16">
        <f t="shared" si="12"/>
        <v>135.25200000000001</v>
      </c>
      <c r="U27" s="16">
        <f t="shared" si="13"/>
        <v>43.67557584</v>
      </c>
      <c r="V27" s="16">
        <f t="shared" si="14"/>
        <v>44.731893960000001</v>
      </c>
      <c r="W27" s="16"/>
      <c r="X27" s="16">
        <v>0</v>
      </c>
      <c r="Y27" s="16">
        <v>0</v>
      </c>
      <c r="Z27" s="16">
        <v>0</v>
      </c>
      <c r="AA27" s="16">
        <v>0</v>
      </c>
      <c r="AB27" s="16">
        <v>0</v>
      </c>
    </row>
    <row r="28" spans="1:28" s="8" customFormat="1" ht="22.15" customHeight="1">
      <c r="A28" s="33"/>
      <c r="B28" s="27" t="s">
        <v>100</v>
      </c>
      <c r="C28" s="26"/>
      <c r="D28" s="25">
        <v>0.2</v>
      </c>
      <c r="E28" s="25">
        <v>0.7</v>
      </c>
      <c r="F28" s="24"/>
      <c r="G28" s="23">
        <v>8.1999999999999993</v>
      </c>
      <c r="H28" s="22" t="s">
        <v>62</v>
      </c>
      <c r="I28" s="20"/>
      <c r="J28" s="17">
        <f>((D28+E28+D28+E28)*G28/0.3)*J8</f>
        <v>24.550799999999999</v>
      </c>
      <c r="K28" s="17"/>
      <c r="L28" s="20">
        <f>(G28*4)*L8</f>
        <v>29.126399999999997</v>
      </c>
      <c r="M28" s="19"/>
      <c r="N28" s="19"/>
      <c r="O28" s="21">
        <f>((G28*2)/0.75)+(G28)*O8</f>
        <v>53.46126666666666</v>
      </c>
      <c r="P28" s="16">
        <f t="shared" si="9"/>
        <v>107.13846666666666</v>
      </c>
      <c r="Q28" s="16">
        <f t="shared" si="10"/>
        <v>3.2141539999999997</v>
      </c>
      <c r="R28" s="16"/>
      <c r="S28" s="16">
        <f t="shared" si="11"/>
        <v>1.1479999999999997</v>
      </c>
      <c r="T28" s="16">
        <f t="shared" si="12"/>
        <v>13.119999999999997</v>
      </c>
      <c r="U28" s="16">
        <f t="shared" si="13"/>
        <v>4.2367103999999989</v>
      </c>
      <c r="V28" s="16">
        <f t="shared" si="14"/>
        <v>4.3391775999999993</v>
      </c>
      <c r="W28" s="16"/>
      <c r="X28" s="16">
        <v>0</v>
      </c>
      <c r="Y28" s="16">
        <v>0</v>
      </c>
      <c r="Z28" s="16">
        <v>0</v>
      </c>
      <c r="AA28" s="16">
        <v>0</v>
      </c>
      <c r="AB28" s="16">
        <v>0</v>
      </c>
    </row>
    <row r="29" spans="1:28" s="8" customFormat="1" ht="22.15" customHeight="1">
      <c r="A29" s="33"/>
      <c r="B29" s="27" t="s">
        <v>99</v>
      </c>
      <c r="C29" s="26"/>
      <c r="D29" s="25">
        <v>0.2</v>
      </c>
      <c r="E29" s="25">
        <v>0.5</v>
      </c>
      <c r="F29" s="24"/>
      <c r="G29" s="23">
        <v>117.53</v>
      </c>
      <c r="H29" s="22" t="s">
        <v>62</v>
      </c>
      <c r="I29" s="20"/>
      <c r="J29" s="17">
        <f>((D29+E29+D29+E29)*G29/0.3)*J8</f>
        <v>273.68819333333334</v>
      </c>
      <c r="K29" s="17"/>
      <c r="L29" s="20">
        <f>(G29*4)+((G29*2)/0.75)*L8</f>
        <v>748.43104000000005</v>
      </c>
      <c r="M29" s="19">
        <f>2*(G29/4)*M8</f>
        <v>92.731170000000006</v>
      </c>
      <c r="N29" s="19"/>
      <c r="O29" s="21"/>
      <c r="P29" s="16">
        <f t="shared" si="9"/>
        <v>1114.8504033333334</v>
      </c>
      <c r="Q29" s="16">
        <f t="shared" si="10"/>
        <v>33.445512100000002</v>
      </c>
      <c r="R29" s="16"/>
      <c r="S29" s="16">
        <f t="shared" si="11"/>
        <v>11.753</v>
      </c>
      <c r="T29" s="16">
        <f t="shared" si="12"/>
        <v>141.036</v>
      </c>
      <c r="U29" s="16">
        <f t="shared" si="13"/>
        <v>45.543345119999991</v>
      </c>
      <c r="V29" s="16">
        <f t="shared" si="14"/>
        <v>46.64483628</v>
      </c>
      <c r="W29" s="16"/>
      <c r="X29" s="16">
        <v>0</v>
      </c>
      <c r="Y29" s="16">
        <v>0</v>
      </c>
      <c r="Z29" s="16">
        <v>0</v>
      </c>
      <c r="AA29" s="16">
        <v>0</v>
      </c>
      <c r="AB29" s="16">
        <v>0</v>
      </c>
    </row>
    <row r="30" spans="1:28" s="8" customFormat="1" ht="22.15" customHeight="1">
      <c r="A30" s="33"/>
      <c r="B30" s="27" t="s">
        <v>98</v>
      </c>
      <c r="C30" s="26"/>
      <c r="D30" s="25">
        <v>0.2</v>
      </c>
      <c r="E30" s="25">
        <v>0.4</v>
      </c>
      <c r="F30" s="24"/>
      <c r="G30" s="23">
        <v>20.56</v>
      </c>
      <c r="H30" s="22" t="s">
        <v>62</v>
      </c>
      <c r="I30" s="17">
        <f>((D30+E30+D30+E30)*G30/0.15)*I8</f>
        <v>36.514560000000003</v>
      </c>
      <c r="J30" s="17"/>
      <c r="K30" s="17"/>
      <c r="L30" s="20">
        <f>(G30*4)+((G30*2)/0.75)+(1*(G30/4))*L8</f>
        <v>141.63098666666667</v>
      </c>
      <c r="M30" s="19">
        <f>2*(G30/4)*M8</f>
        <v>16.22184</v>
      </c>
      <c r="N30" s="19"/>
      <c r="O30" s="21"/>
      <c r="P30" s="16">
        <f t="shared" si="9"/>
        <v>194.36738666666668</v>
      </c>
      <c r="Q30" s="16">
        <f t="shared" si="10"/>
        <v>5.8310215999999997</v>
      </c>
      <c r="R30" s="16"/>
      <c r="S30" s="16">
        <f t="shared" si="11"/>
        <v>1.6448000000000003</v>
      </c>
      <c r="T30" s="16">
        <f t="shared" si="12"/>
        <v>20.56</v>
      </c>
      <c r="U30" s="16">
        <f t="shared" si="13"/>
        <v>6.639235199999999</v>
      </c>
      <c r="V30" s="16">
        <f t="shared" si="14"/>
        <v>6.7998087999999992</v>
      </c>
      <c r="W30" s="16"/>
      <c r="X30" s="16">
        <v>0</v>
      </c>
      <c r="Y30" s="16">
        <v>0</v>
      </c>
      <c r="Z30" s="16">
        <v>0</v>
      </c>
      <c r="AA30" s="16">
        <v>0</v>
      </c>
      <c r="AB30" s="16">
        <v>0</v>
      </c>
    </row>
    <row r="31" spans="1:28" s="8" customFormat="1" ht="22.15" customHeight="1">
      <c r="A31" s="33"/>
      <c r="B31" s="27" t="s">
        <v>97</v>
      </c>
      <c r="C31" s="26"/>
      <c r="D31" s="25">
        <v>0.2</v>
      </c>
      <c r="E31" s="25">
        <v>0.7</v>
      </c>
      <c r="F31" s="24"/>
      <c r="G31" s="23">
        <v>2.9</v>
      </c>
      <c r="H31" s="22" t="s">
        <v>62</v>
      </c>
      <c r="I31" s="20"/>
      <c r="J31" s="17">
        <f>((D31+E31+D31+E31)*G31/0.3)*J8</f>
        <v>8.682599999999999</v>
      </c>
      <c r="K31" s="17"/>
      <c r="L31" s="20">
        <f>(G31*4)+((G31*2)/0.75)+(1*(G31/4))*L8</f>
        <v>19.977133333333331</v>
      </c>
      <c r="M31" s="19">
        <f>2*(G31/4)*M8</f>
        <v>2.2881</v>
      </c>
      <c r="N31" s="19"/>
      <c r="O31" s="21"/>
      <c r="P31" s="16">
        <f t="shared" si="9"/>
        <v>30.947833333333328</v>
      </c>
      <c r="Q31" s="16">
        <f t="shared" si="10"/>
        <v>0.92843499999999979</v>
      </c>
      <c r="R31" s="16"/>
      <c r="S31" s="16">
        <f t="shared" si="11"/>
        <v>0.40599999999999997</v>
      </c>
      <c r="T31" s="16">
        <f t="shared" si="12"/>
        <v>4.6399999999999997</v>
      </c>
      <c r="U31" s="16">
        <f t="shared" si="13"/>
        <v>1.4983487999999998</v>
      </c>
      <c r="V31" s="16">
        <f t="shared" si="14"/>
        <v>1.5345871999999998</v>
      </c>
      <c r="W31" s="16"/>
      <c r="X31" s="16">
        <v>0</v>
      </c>
      <c r="Y31" s="16">
        <v>0</v>
      </c>
      <c r="Z31" s="16">
        <v>0</v>
      </c>
      <c r="AA31" s="16">
        <v>0</v>
      </c>
      <c r="AB31" s="16">
        <v>0</v>
      </c>
    </row>
    <row r="32" spans="1:28" s="8" customFormat="1" ht="22.15" customHeight="1">
      <c r="A32" s="28"/>
      <c r="B32" s="27" t="s">
        <v>96</v>
      </c>
      <c r="C32" s="26"/>
      <c r="D32" s="25">
        <v>0.3</v>
      </c>
      <c r="E32" s="25">
        <v>0.5</v>
      </c>
      <c r="F32" s="24"/>
      <c r="G32" s="23">
        <v>45.39</v>
      </c>
      <c r="H32" s="22" t="s">
        <v>62</v>
      </c>
      <c r="I32" s="20"/>
      <c r="J32" s="17">
        <f>((D32+E32+D32+E32)*G32/0.225)*2*J8</f>
        <v>322.12778666666668</v>
      </c>
      <c r="K32" s="17"/>
      <c r="L32" s="20"/>
      <c r="M32" s="19"/>
      <c r="N32" s="32"/>
      <c r="O32" s="21">
        <f>(G32*4)+(3*(G32/4))*O8</f>
        <v>312.7257525</v>
      </c>
      <c r="P32" s="16">
        <f t="shared" si="9"/>
        <v>634.85353916666668</v>
      </c>
      <c r="Q32" s="16">
        <f t="shared" si="10"/>
        <v>19.045606175</v>
      </c>
      <c r="R32" s="16"/>
      <c r="S32" s="16">
        <f t="shared" si="11"/>
        <v>6.8084999999999996</v>
      </c>
      <c r="T32" s="16">
        <f t="shared" si="12"/>
        <v>59.007000000000005</v>
      </c>
      <c r="U32" s="16">
        <f t="shared" si="13"/>
        <v>19.05454044</v>
      </c>
      <c r="V32" s="16">
        <f t="shared" si="14"/>
        <v>19.51538511</v>
      </c>
      <c r="W32" s="16"/>
      <c r="X32" s="16">
        <v>0</v>
      </c>
      <c r="Y32" s="16">
        <v>0</v>
      </c>
      <c r="Z32" s="16">
        <v>0</v>
      </c>
      <c r="AA32" s="16">
        <v>0</v>
      </c>
      <c r="AB32" s="16">
        <v>0</v>
      </c>
    </row>
    <row r="33" spans="1:28" s="8" customFormat="1" ht="22.15" customHeight="1">
      <c r="A33" s="28"/>
      <c r="B33" s="27" t="s">
        <v>95</v>
      </c>
      <c r="C33" s="26"/>
      <c r="D33" s="25">
        <v>0.3</v>
      </c>
      <c r="E33" s="25">
        <v>0.7</v>
      </c>
      <c r="F33" s="24"/>
      <c r="G33" s="23">
        <v>128.34</v>
      </c>
      <c r="H33" s="22" t="s">
        <v>62</v>
      </c>
      <c r="I33" s="20"/>
      <c r="J33" s="17">
        <f>((D33+E33+D33+E33)*G33/0.3)*2*J8</f>
        <v>853.88880000000006</v>
      </c>
      <c r="K33" s="17"/>
      <c r="L33" s="20"/>
      <c r="M33" s="19"/>
      <c r="N33" s="19"/>
      <c r="O33" s="21">
        <f>(G33/0.75)*2+(2*(G33/4))*O8</f>
        <v>589.48701000000005</v>
      </c>
      <c r="P33" s="16">
        <f t="shared" si="9"/>
        <v>1443.37581</v>
      </c>
      <c r="Q33" s="16">
        <f t="shared" si="10"/>
        <v>43.301274299999996</v>
      </c>
      <c r="R33" s="16"/>
      <c r="S33" s="16">
        <f t="shared" si="11"/>
        <v>26.9514</v>
      </c>
      <c r="T33" s="16">
        <f t="shared" si="12"/>
        <v>218.178</v>
      </c>
      <c r="U33" s="16">
        <f t="shared" si="13"/>
        <v>70.454039759999986</v>
      </c>
      <c r="V33" s="16">
        <f t="shared" si="14"/>
        <v>72.158009939999999</v>
      </c>
      <c r="W33" s="16"/>
      <c r="X33" s="16">
        <v>0</v>
      </c>
      <c r="Y33" s="16">
        <v>0</v>
      </c>
      <c r="Z33" s="16">
        <v>0</v>
      </c>
      <c r="AA33" s="16">
        <v>0</v>
      </c>
      <c r="AB33" s="16">
        <v>0</v>
      </c>
    </row>
    <row r="34" spans="1:28" s="8" customFormat="1" ht="22.15" customHeight="1">
      <c r="A34" s="28"/>
      <c r="B34" s="27" t="s">
        <v>94</v>
      </c>
      <c r="C34" s="26"/>
      <c r="D34" s="25">
        <v>0.3</v>
      </c>
      <c r="E34" s="25">
        <v>0.8</v>
      </c>
      <c r="F34" s="24"/>
      <c r="G34" s="23">
        <v>211.77</v>
      </c>
      <c r="H34" s="22" t="s">
        <v>62</v>
      </c>
      <c r="I34" s="20"/>
      <c r="J34" s="17">
        <f>((D34+E34+D34+E34)*G34/0.225)*2*J8</f>
        <v>2066.4987200000005</v>
      </c>
      <c r="K34" s="17"/>
      <c r="L34" s="20"/>
      <c r="M34" s="19"/>
      <c r="N34" s="19"/>
      <c r="O34" s="21">
        <f>(G34*4)+(6*(G34/4))+((G34*3)/0.75)*O8</f>
        <v>4428.5342400000009</v>
      </c>
      <c r="P34" s="16">
        <f t="shared" si="9"/>
        <v>6495.0329600000014</v>
      </c>
      <c r="Q34" s="16">
        <f t="shared" si="10"/>
        <v>194.85098880000004</v>
      </c>
      <c r="R34" s="16"/>
      <c r="S34" s="16">
        <f t="shared" si="11"/>
        <v>50.824800000000003</v>
      </c>
      <c r="T34" s="16">
        <f t="shared" si="12"/>
        <v>402.36300000000006</v>
      </c>
      <c r="U34" s="16">
        <f t="shared" si="13"/>
        <v>129.93105996000003</v>
      </c>
      <c r="V34" s="16">
        <f t="shared" si="14"/>
        <v>133.07351499000004</v>
      </c>
      <c r="W34" s="16"/>
      <c r="X34" s="16">
        <v>0</v>
      </c>
      <c r="Y34" s="16">
        <v>0</v>
      </c>
      <c r="Z34" s="16">
        <v>0</v>
      </c>
      <c r="AA34" s="16">
        <v>0</v>
      </c>
      <c r="AB34" s="16">
        <v>0</v>
      </c>
    </row>
    <row r="35" spans="1:28" s="8" customFormat="1" ht="22.15" customHeight="1">
      <c r="A35" s="28"/>
      <c r="B35" s="27" t="s">
        <v>93</v>
      </c>
      <c r="C35" s="26"/>
      <c r="D35" s="25">
        <v>0.2</v>
      </c>
      <c r="E35" s="25">
        <v>0.6</v>
      </c>
      <c r="F35" s="24"/>
      <c r="G35" s="23">
        <v>34.229999999999997</v>
      </c>
      <c r="H35" s="22" t="s">
        <v>62</v>
      </c>
      <c r="I35" s="20"/>
      <c r="J35" s="17">
        <f>((D35+E35+D35+E35)*G35/0.25)*J8</f>
        <v>109.316928</v>
      </c>
      <c r="K35" s="17"/>
      <c r="L35" s="20">
        <f>(G35*4)*L8</f>
        <v>121.58496</v>
      </c>
      <c r="M35" s="19"/>
      <c r="N35" s="19"/>
      <c r="O35" s="21">
        <f>(2*(G35/4))+((G35*2)/0.75)*O8</f>
        <v>368.81683999999996</v>
      </c>
      <c r="P35" s="16">
        <f t="shared" si="9"/>
        <v>599.71872799999994</v>
      </c>
      <c r="Q35" s="16">
        <f t="shared" si="10"/>
        <v>17.991561839999999</v>
      </c>
      <c r="R35" s="16"/>
      <c r="S35" s="16">
        <f t="shared" si="11"/>
        <v>4.1075999999999997</v>
      </c>
      <c r="T35" s="16">
        <f t="shared" si="12"/>
        <v>47.92199999999999</v>
      </c>
      <c r="U35" s="16">
        <f t="shared" si="13"/>
        <v>15.474972239999996</v>
      </c>
      <c r="V35" s="16">
        <f t="shared" si="14"/>
        <v>15.849243059999996</v>
      </c>
      <c r="W35" s="16"/>
      <c r="X35" s="16">
        <v>0</v>
      </c>
      <c r="Y35" s="16">
        <v>0</v>
      </c>
      <c r="Z35" s="16">
        <v>0</v>
      </c>
      <c r="AA35" s="16">
        <v>0</v>
      </c>
      <c r="AB35" s="16">
        <v>0</v>
      </c>
    </row>
    <row r="36" spans="1:28" s="8" customFormat="1" ht="22.15" customHeight="1">
      <c r="A36" s="28"/>
      <c r="B36" s="27" t="s">
        <v>92</v>
      </c>
      <c r="C36" s="26"/>
      <c r="D36" s="25">
        <v>0.2</v>
      </c>
      <c r="E36" s="25">
        <v>0.6</v>
      </c>
      <c r="F36" s="24"/>
      <c r="G36" s="23">
        <v>7.37</v>
      </c>
      <c r="H36" s="22" t="s">
        <v>62</v>
      </c>
      <c r="I36" s="20"/>
      <c r="J36" s="17">
        <f>((D36+E36+D36+E36)*G36/0.25)*J8</f>
        <v>23.536832000000004</v>
      </c>
      <c r="K36" s="17"/>
      <c r="L36" s="20">
        <f>(G36*4)+((G36*2)/0.75)*L8</f>
        <v>46.932159999999996</v>
      </c>
      <c r="M36" s="19"/>
      <c r="N36" s="19"/>
      <c r="O36" s="21">
        <f>(G36*2)/0.75*O8</f>
        <v>75.724293333333335</v>
      </c>
      <c r="P36" s="16">
        <f t="shared" si="9"/>
        <v>146.19328533333334</v>
      </c>
      <c r="Q36" s="16">
        <f t="shared" si="10"/>
        <v>4.3857985599999996</v>
      </c>
      <c r="R36" s="16"/>
      <c r="S36" s="16">
        <f t="shared" si="11"/>
        <v>0.88439999999999996</v>
      </c>
      <c r="T36" s="16">
        <f t="shared" si="12"/>
        <v>10.318</v>
      </c>
      <c r="U36" s="16">
        <f t="shared" si="13"/>
        <v>3.3318885599999994</v>
      </c>
      <c r="V36" s="16">
        <f t="shared" si="14"/>
        <v>3.4124721399999998</v>
      </c>
      <c r="W36" s="16"/>
      <c r="X36" s="16">
        <v>0</v>
      </c>
      <c r="Y36" s="16">
        <v>0</v>
      </c>
      <c r="Z36" s="16">
        <v>0</v>
      </c>
      <c r="AA36" s="16">
        <v>0</v>
      </c>
      <c r="AB36" s="16">
        <v>0</v>
      </c>
    </row>
    <row r="37" spans="1:28" s="8" customFormat="1" ht="22.15" customHeight="1">
      <c r="A37" s="28"/>
      <c r="B37" s="27" t="s">
        <v>91</v>
      </c>
      <c r="C37" s="26"/>
      <c r="D37" s="25">
        <v>0.3</v>
      </c>
      <c r="E37" s="25">
        <v>0.7</v>
      </c>
      <c r="F37" s="24"/>
      <c r="G37" s="23">
        <v>10.43</v>
      </c>
      <c r="H37" s="22" t="s">
        <v>62</v>
      </c>
      <c r="I37" s="20"/>
      <c r="J37" s="17">
        <f>((D37+E37+D37+E37)*G37/0.25)*J8</f>
        <v>41.636559999999996</v>
      </c>
      <c r="K37" s="17"/>
      <c r="L37" s="20"/>
      <c r="M37" s="19"/>
      <c r="N37" s="19"/>
      <c r="O37" s="21">
        <f>(G37*7)*O8</f>
        <v>281.30752999999999</v>
      </c>
      <c r="P37" s="16">
        <f t="shared" si="9"/>
        <v>322.94408999999996</v>
      </c>
      <c r="Q37" s="16">
        <f t="shared" si="10"/>
        <v>9.6883226999999987</v>
      </c>
      <c r="R37" s="16"/>
      <c r="S37" s="16">
        <f t="shared" si="11"/>
        <v>2.1902999999999997</v>
      </c>
      <c r="T37" s="16">
        <f t="shared" si="12"/>
        <v>17.730999999999998</v>
      </c>
      <c r="U37" s="16">
        <f t="shared" si="13"/>
        <v>5.7256945199999985</v>
      </c>
      <c r="V37" s="16">
        <f t="shared" si="14"/>
        <v>5.8641736299999989</v>
      </c>
      <c r="W37" s="16"/>
      <c r="X37" s="16">
        <v>0</v>
      </c>
      <c r="Y37" s="16">
        <v>0</v>
      </c>
      <c r="Z37" s="16">
        <v>0</v>
      </c>
      <c r="AA37" s="16">
        <v>0</v>
      </c>
      <c r="AB37" s="16">
        <v>0</v>
      </c>
    </row>
    <row r="38" spans="1:28" s="8" customFormat="1" ht="22.15" customHeight="1">
      <c r="A38" s="28"/>
      <c r="B38" s="27" t="s">
        <v>90</v>
      </c>
      <c r="C38" s="26"/>
      <c r="D38" s="25">
        <v>0.3</v>
      </c>
      <c r="E38" s="25">
        <v>0.7</v>
      </c>
      <c r="F38" s="24"/>
      <c r="G38" s="23">
        <v>205.04</v>
      </c>
      <c r="H38" s="22" t="s">
        <v>62</v>
      </c>
      <c r="I38" s="20"/>
      <c r="J38" s="17">
        <f>((D38+E38+D38+E38)*G38/0.3)*2*J8</f>
        <v>1364.1994666666667</v>
      </c>
      <c r="K38" s="17"/>
      <c r="L38" s="20"/>
      <c r="M38" s="19"/>
      <c r="N38" s="19"/>
      <c r="O38" s="21">
        <f>(G38*4)+(2*(G38/4))+((G38*2)/0.75)*O8</f>
        <v>3029.397653333333</v>
      </c>
      <c r="P38" s="16">
        <f t="shared" si="9"/>
        <v>4393.5971199999994</v>
      </c>
      <c r="Q38" s="16">
        <f t="shared" si="10"/>
        <v>131.80791359999998</v>
      </c>
      <c r="R38" s="16"/>
      <c r="S38" s="16">
        <f t="shared" si="11"/>
        <v>43.058399999999999</v>
      </c>
      <c r="T38" s="16">
        <f t="shared" si="12"/>
        <v>348.56799999999998</v>
      </c>
      <c r="U38" s="16">
        <f t="shared" si="13"/>
        <v>112.55957855999999</v>
      </c>
      <c r="V38" s="16">
        <f t="shared" si="14"/>
        <v>115.28189463999999</v>
      </c>
      <c r="W38" s="16"/>
      <c r="X38" s="16">
        <v>0</v>
      </c>
      <c r="Y38" s="16">
        <v>0</v>
      </c>
      <c r="Z38" s="16">
        <v>0</v>
      </c>
      <c r="AA38" s="16">
        <v>0</v>
      </c>
      <c r="AB38" s="16">
        <v>0</v>
      </c>
    </row>
    <row r="39" spans="1:28" s="8" customFormat="1" ht="22.15" customHeight="1">
      <c r="A39" s="28"/>
      <c r="B39" s="27" t="s">
        <v>89</v>
      </c>
      <c r="C39" s="26"/>
      <c r="D39" s="25">
        <v>0.3</v>
      </c>
      <c r="E39" s="25">
        <v>0.6</v>
      </c>
      <c r="F39" s="24"/>
      <c r="G39" s="23">
        <v>9.6</v>
      </c>
      <c r="H39" s="22" t="s">
        <v>62</v>
      </c>
      <c r="I39" s="20"/>
      <c r="J39" s="17">
        <f>((D39+E39+D39+E39)*G39/0.25)*J8</f>
        <v>34.490879999999997</v>
      </c>
      <c r="K39" s="17"/>
      <c r="L39" s="20"/>
      <c r="M39" s="19"/>
      <c r="N39" s="19"/>
      <c r="O39" s="21">
        <f>(G39*8)*O8</f>
        <v>295.91039999999998</v>
      </c>
      <c r="P39" s="16">
        <f t="shared" si="9"/>
        <v>330.40127999999999</v>
      </c>
      <c r="Q39" s="16">
        <f t="shared" si="10"/>
        <v>9.9120383999999984</v>
      </c>
      <c r="R39" s="16"/>
      <c r="S39" s="16">
        <f t="shared" si="11"/>
        <v>1.728</v>
      </c>
      <c r="T39" s="16">
        <f t="shared" si="12"/>
        <v>14.399999999999999</v>
      </c>
      <c r="U39" s="16">
        <f t="shared" si="13"/>
        <v>4.6500479999999991</v>
      </c>
      <c r="V39" s="16">
        <f t="shared" si="14"/>
        <v>4.7625119999999992</v>
      </c>
      <c r="W39" s="16"/>
      <c r="X39" s="16">
        <v>0</v>
      </c>
      <c r="Y39" s="16">
        <v>0</v>
      </c>
      <c r="Z39" s="16">
        <v>0</v>
      </c>
      <c r="AA39" s="16">
        <v>0</v>
      </c>
      <c r="AB39" s="16">
        <v>0</v>
      </c>
    </row>
    <row r="40" spans="1:28" s="8" customFormat="1" ht="22.15" customHeight="1">
      <c r="A40" s="28"/>
      <c r="B40" s="27" t="s">
        <v>88</v>
      </c>
      <c r="C40" s="26"/>
      <c r="D40" s="25">
        <v>0.4</v>
      </c>
      <c r="E40" s="25">
        <v>0.6</v>
      </c>
      <c r="F40" s="24">
        <v>4</v>
      </c>
      <c r="G40" s="23">
        <v>9</v>
      </c>
      <c r="H40" s="22" t="s">
        <v>62</v>
      </c>
      <c r="I40" s="17">
        <f>(((D40+E40+D40+E40)*F40/0.29)*G40)*4*I8</f>
        <v>220.4689655172414</v>
      </c>
      <c r="J40" s="17"/>
      <c r="K40" s="17"/>
      <c r="L40" s="20"/>
      <c r="M40" s="19"/>
      <c r="N40" s="19"/>
      <c r="O40" s="21">
        <f>(G40*12*F40)*O8</f>
        <v>1664.4960000000001</v>
      </c>
      <c r="P40" s="16">
        <f t="shared" si="9"/>
        <v>1884.9649655172416</v>
      </c>
      <c r="Q40" s="16">
        <f t="shared" si="10"/>
        <v>56.548948965517248</v>
      </c>
      <c r="R40" s="16"/>
      <c r="S40" s="16">
        <f>(D40*E40*F40)*G40</f>
        <v>8.64</v>
      </c>
      <c r="T40" s="16">
        <f>(D40+E40+E40+D40)*G40</f>
        <v>18</v>
      </c>
      <c r="U40" s="16">
        <f t="shared" si="13"/>
        <v>5.8125600000000004</v>
      </c>
      <c r="V40" s="16">
        <f t="shared" si="14"/>
        <v>5.9531400000000003</v>
      </c>
      <c r="W40" s="16"/>
      <c r="X40" s="16">
        <v>0</v>
      </c>
      <c r="Y40" s="16">
        <v>0</v>
      </c>
      <c r="Z40" s="16">
        <v>0</v>
      </c>
      <c r="AA40" s="16">
        <v>0</v>
      </c>
      <c r="AB40" s="16">
        <v>0</v>
      </c>
    </row>
    <row r="41" spans="1:28" s="8" customFormat="1" ht="22.15" customHeight="1">
      <c r="A41" s="28"/>
      <c r="B41" s="27" t="s">
        <v>87</v>
      </c>
      <c r="C41" s="26"/>
      <c r="D41" s="25">
        <v>0.4</v>
      </c>
      <c r="E41" s="25">
        <v>0.6</v>
      </c>
      <c r="F41" s="24">
        <v>4</v>
      </c>
      <c r="G41" s="23">
        <v>24</v>
      </c>
      <c r="H41" s="22" t="s">
        <v>62</v>
      </c>
      <c r="I41" s="17">
        <f>(((D41+E41+D41+E41)*F41/0.29)*G41)*4*I8</f>
        <v>587.91724137931033</v>
      </c>
      <c r="J41" s="17"/>
      <c r="K41" s="17"/>
      <c r="L41" s="20"/>
      <c r="M41" s="19"/>
      <c r="N41" s="19"/>
      <c r="O41" s="21">
        <f>(G41*14*F41)*O8</f>
        <v>5178.4320000000007</v>
      </c>
      <c r="P41" s="16">
        <f t="shared" si="9"/>
        <v>5766.349241379311</v>
      </c>
      <c r="Q41" s="16">
        <f t="shared" si="10"/>
        <v>172.99047724137932</v>
      </c>
      <c r="R41" s="16"/>
      <c r="S41" s="16">
        <f>(D41*E41*F41)*G41</f>
        <v>23.04</v>
      </c>
      <c r="T41" s="16">
        <f>(D41+E41+E41+D41)*G41</f>
        <v>48</v>
      </c>
      <c r="U41" s="16">
        <f t="shared" si="13"/>
        <v>15.500159999999999</v>
      </c>
      <c r="V41" s="16">
        <f t="shared" si="14"/>
        <v>15.87504</v>
      </c>
      <c r="W41" s="16"/>
      <c r="X41" s="16">
        <v>0</v>
      </c>
      <c r="Y41" s="16">
        <v>0</v>
      </c>
      <c r="Z41" s="16">
        <v>0</v>
      </c>
      <c r="AA41" s="16">
        <v>0</v>
      </c>
      <c r="AB41" s="16">
        <v>0</v>
      </c>
    </row>
    <row r="42" spans="1:28" s="8" customFormat="1" ht="22.15" customHeight="1">
      <c r="A42" s="28"/>
      <c r="B42" s="27" t="s">
        <v>86</v>
      </c>
      <c r="C42" s="26"/>
      <c r="D42" s="25">
        <v>0.4</v>
      </c>
      <c r="E42" s="25">
        <v>0.6</v>
      </c>
      <c r="F42" s="24">
        <v>4</v>
      </c>
      <c r="G42" s="23">
        <v>12</v>
      </c>
      <c r="H42" s="22" t="s">
        <v>62</v>
      </c>
      <c r="I42" s="17">
        <f>(((D42+E42+D42+E42)*F42/0.29)*G42)*4*I8</f>
        <v>293.95862068965516</v>
      </c>
      <c r="J42" s="17"/>
      <c r="K42" s="17"/>
      <c r="L42" s="20"/>
      <c r="M42" s="19"/>
      <c r="N42" s="19"/>
      <c r="O42" s="21">
        <f>(G42*12*F42)*O8</f>
        <v>2219.328</v>
      </c>
      <c r="P42" s="16">
        <f t="shared" si="9"/>
        <v>2513.2866206896551</v>
      </c>
      <c r="Q42" s="16">
        <f t="shared" si="10"/>
        <v>75.398598620689654</v>
      </c>
      <c r="R42" s="16"/>
      <c r="S42" s="16">
        <f>(D42*E42*F42)*G42</f>
        <v>11.52</v>
      </c>
      <c r="T42" s="16">
        <f>(D42+E42+E42+D42)*G42</f>
        <v>24</v>
      </c>
      <c r="U42" s="16">
        <f t="shared" si="13"/>
        <v>7.7500799999999996</v>
      </c>
      <c r="V42" s="16">
        <f t="shared" si="14"/>
        <v>7.9375200000000001</v>
      </c>
      <c r="W42" s="16"/>
      <c r="X42" s="16">
        <v>0</v>
      </c>
      <c r="Y42" s="16">
        <v>0</v>
      </c>
      <c r="Z42" s="16">
        <v>0</v>
      </c>
      <c r="AA42" s="16">
        <v>0</v>
      </c>
      <c r="AB42" s="16">
        <v>0</v>
      </c>
    </row>
    <row r="43" spans="1:28" s="8" customFormat="1" ht="22.15" customHeight="1">
      <c r="A43" s="28"/>
      <c r="B43" s="27" t="s">
        <v>85</v>
      </c>
      <c r="C43" s="26"/>
      <c r="D43" s="25">
        <v>0.4</v>
      </c>
      <c r="E43" s="25">
        <v>0.6</v>
      </c>
      <c r="F43" s="24">
        <v>4</v>
      </c>
      <c r="G43" s="23">
        <v>34</v>
      </c>
      <c r="H43" s="22" t="s">
        <v>62</v>
      </c>
      <c r="I43" s="17">
        <f>(((D43+E43+D43+E43)*F43/0.29)*G43)*4*I8</f>
        <v>832.88275862068974</v>
      </c>
      <c r="J43" s="17"/>
      <c r="K43" s="17"/>
      <c r="L43" s="20"/>
      <c r="M43" s="19"/>
      <c r="N43" s="19"/>
      <c r="O43" s="21">
        <f>(G43*14*F43)*O8</f>
        <v>7336.1120000000001</v>
      </c>
      <c r="P43" s="16">
        <f t="shared" si="9"/>
        <v>8168.9947586206899</v>
      </c>
      <c r="Q43" s="16">
        <f t="shared" si="10"/>
        <v>245.06984275862069</v>
      </c>
      <c r="R43" s="16"/>
      <c r="S43" s="16">
        <f>(D43*E43*F43)*G43</f>
        <v>32.64</v>
      </c>
      <c r="T43" s="16">
        <f>(D43+E43+E43+D43)*G43</f>
        <v>68</v>
      </c>
      <c r="U43" s="16">
        <f t="shared" si="13"/>
        <v>21.958559999999999</v>
      </c>
      <c r="V43" s="16">
        <f t="shared" si="14"/>
        <v>22.489640000000001</v>
      </c>
      <c r="W43" s="16"/>
      <c r="X43" s="16">
        <v>0</v>
      </c>
      <c r="Y43" s="16">
        <v>0</v>
      </c>
      <c r="Z43" s="16">
        <v>0</v>
      </c>
      <c r="AA43" s="16">
        <v>0</v>
      </c>
      <c r="AB43" s="16">
        <v>0</v>
      </c>
    </row>
    <row r="44" spans="1:28" s="8" customFormat="1" ht="22.15" customHeight="1">
      <c r="A44" s="28"/>
      <c r="B44" s="27" t="s">
        <v>84</v>
      </c>
      <c r="C44" s="26"/>
      <c r="D44" s="25">
        <v>0.4</v>
      </c>
      <c r="E44" s="25">
        <v>0.6</v>
      </c>
      <c r="F44" s="24">
        <v>4</v>
      </c>
      <c r="G44" s="23">
        <v>3</v>
      </c>
      <c r="H44" s="22" t="s">
        <v>62</v>
      </c>
      <c r="I44" s="17">
        <f>(((D44+E44+D44+E44)*F44/0.29)*G44)*4*I8</f>
        <v>73.489655172413791</v>
      </c>
      <c r="J44" s="17"/>
      <c r="K44" s="17"/>
      <c r="L44" s="20"/>
      <c r="M44" s="19"/>
      <c r="N44" s="19"/>
      <c r="O44" s="21">
        <f>(G44*14*F44)*O8</f>
        <v>647.30400000000009</v>
      </c>
      <c r="P44" s="16">
        <f t="shared" si="9"/>
        <v>720.79365517241388</v>
      </c>
      <c r="Q44" s="16">
        <f t="shared" si="10"/>
        <v>21.623809655172415</v>
      </c>
      <c r="R44" s="16"/>
      <c r="S44" s="16">
        <f>(D44*E44*F44)*G44</f>
        <v>2.88</v>
      </c>
      <c r="T44" s="16">
        <f>(D44+E44+E44+D44)*G44</f>
        <v>6</v>
      </c>
      <c r="U44" s="16">
        <f t="shared" si="13"/>
        <v>1.9375199999999999</v>
      </c>
      <c r="V44" s="16">
        <f t="shared" si="14"/>
        <v>1.98438</v>
      </c>
      <c r="W44" s="16"/>
      <c r="X44" s="16">
        <v>0</v>
      </c>
      <c r="Y44" s="16">
        <v>0</v>
      </c>
      <c r="Z44" s="16">
        <v>0</v>
      </c>
      <c r="AA44" s="16">
        <v>0</v>
      </c>
      <c r="AB44" s="16">
        <v>0</v>
      </c>
    </row>
    <row r="45" spans="1:28" s="8" customFormat="1" ht="22.15" customHeight="1">
      <c r="A45" s="28"/>
      <c r="B45" s="27" t="s">
        <v>262</v>
      </c>
      <c r="C45" s="26"/>
      <c r="D45" s="25"/>
      <c r="E45" s="25"/>
      <c r="F45" s="24"/>
      <c r="G45" s="23"/>
      <c r="H45" s="22"/>
      <c r="I45" s="20"/>
      <c r="J45" s="17"/>
      <c r="K45" s="17"/>
      <c r="L45" s="20"/>
      <c r="M45" s="19"/>
      <c r="N45" s="19"/>
      <c r="O45" s="21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s="8" customFormat="1" ht="22.15" customHeight="1">
      <c r="A46" s="28"/>
      <c r="B46" s="27" t="s">
        <v>82</v>
      </c>
      <c r="C46" s="26"/>
      <c r="D46" s="25">
        <v>0.2</v>
      </c>
      <c r="E46" s="25">
        <v>0.4</v>
      </c>
      <c r="F46" s="24"/>
      <c r="G46" s="23">
        <v>7.12</v>
      </c>
      <c r="H46" s="22" t="s">
        <v>62</v>
      </c>
      <c r="I46" s="17">
        <f>((D46+E46+D46+E46)*G46/0.15)*I8</f>
        <v>12.645120000000004</v>
      </c>
      <c r="J46" s="17"/>
      <c r="K46" s="17"/>
      <c r="L46" s="20">
        <f>(G46*4)*L8</f>
        <v>25.290240000000001</v>
      </c>
      <c r="M46" s="19"/>
      <c r="N46" s="19"/>
      <c r="O46" s="21">
        <f>(G46*2)/0.75*O8</f>
        <v>73.155626666666677</v>
      </c>
      <c r="P46" s="16">
        <f t="shared" ref="P46:P64" si="15">SUM(I46:O46)</f>
        <v>111.09098666666668</v>
      </c>
      <c r="Q46" s="16">
        <f t="shared" ref="Q46:Q64" si="16">(P46*0.03)</f>
        <v>3.3327296000000004</v>
      </c>
      <c r="R46" s="16"/>
      <c r="S46" s="16">
        <f t="shared" ref="S46:S59" si="17">D46*E46*G46</f>
        <v>0.56960000000000011</v>
      </c>
      <c r="T46" s="16">
        <f t="shared" ref="T46:T59" si="18">(D46+E46+E46)*G46</f>
        <v>7.12</v>
      </c>
      <c r="U46" s="16">
        <f t="shared" ref="U46:U64" si="19">(T46*0.03)*10.764</f>
        <v>2.2991903999999996</v>
      </c>
      <c r="V46" s="16">
        <f t="shared" ref="V46:V64" si="20">(T46+U46)*0.25</f>
        <v>2.3547975999999999</v>
      </c>
      <c r="W46" s="16">
        <f t="shared" ref="W46:W64" si="21">+D46*G46*0.1</f>
        <v>0.14240000000000003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</row>
    <row r="47" spans="1:28" s="8" customFormat="1" ht="22.15" customHeight="1">
      <c r="A47" s="28"/>
      <c r="B47" s="27" t="s">
        <v>81</v>
      </c>
      <c r="C47" s="26"/>
      <c r="D47" s="25">
        <v>0.3</v>
      </c>
      <c r="E47" s="25">
        <v>0.4</v>
      </c>
      <c r="F47" s="24"/>
      <c r="G47" s="23">
        <v>69.88</v>
      </c>
      <c r="H47" s="22" t="s">
        <v>62</v>
      </c>
      <c r="I47" s="20"/>
      <c r="J47" s="17">
        <f>((D47+E47+D47+E47)*G47/0.15)*J8</f>
        <v>325.45445333333333</v>
      </c>
      <c r="K47" s="17"/>
      <c r="L47" s="20">
        <f>(G47*4)*L8</f>
        <v>248.21375999999998</v>
      </c>
      <c r="M47" s="19"/>
      <c r="N47" s="19"/>
      <c r="O47" s="21">
        <f>(G47/0.75)*2+(2*(G47/4))*O8</f>
        <v>320.97048666666666</v>
      </c>
      <c r="P47" s="16">
        <f t="shared" si="15"/>
        <v>894.63869999999997</v>
      </c>
      <c r="Q47" s="16">
        <f t="shared" si="16"/>
        <v>26.839160999999997</v>
      </c>
      <c r="R47" s="16"/>
      <c r="S47" s="16">
        <f t="shared" si="17"/>
        <v>8.3855999999999984</v>
      </c>
      <c r="T47" s="16">
        <f t="shared" si="18"/>
        <v>76.867999999999995</v>
      </c>
      <c r="U47" s="16">
        <f t="shared" si="19"/>
        <v>24.822214559999995</v>
      </c>
      <c r="V47" s="16">
        <f t="shared" si="20"/>
        <v>25.422553639999997</v>
      </c>
      <c r="W47" s="16">
        <f t="shared" si="21"/>
        <v>2.0964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</row>
    <row r="48" spans="1:28" s="8" customFormat="1" ht="22.15" customHeight="1">
      <c r="A48" s="28"/>
      <c r="B48" s="27" t="s">
        <v>80</v>
      </c>
      <c r="C48" s="26"/>
      <c r="D48" s="25">
        <v>0.3</v>
      </c>
      <c r="E48" s="25">
        <v>0.6</v>
      </c>
      <c r="F48" s="24"/>
      <c r="G48" s="23">
        <v>185.9</v>
      </c>
      <c r="H48" s="22" t="s">
        <v>62</v>
      </c>
      <c r="I48" s="20"/>
      <c r="J48" s="17">
        <f>((D48+E48+D48+E48)*G48/0.2)*J8</f>
        <v>834.87689999999998</v>
      </c>
      <c r="K48" s="17"/>
      <c r="L48" s="20"/>
      <c r="M48" s="19"/>
      <c r="N48" s="19"/>
      <c r="O48" s="21">
        <f>(G48/0.75)*3+(3*(G48/4))+(3*G48)*O8</f>
        <v>3031.8431000000005</v>
      </c>
      <c r="P48" s="16">
        <f t="shared" si="15"/>
        <v>3866.7200000000003</v>
      </c>
      <c r="Q48" s="16">
        <f t="shared" si="16"/>
        <v>116.0016</v>
      </c>
      <c r="R48" s="16"/>
      <c r="S48" s="16">
        <f t="shared" si="17"/>
        <v>33.462000000000003</v>
      </c>
      <c r="T48" s="16">
        <f t="shared" si="18"/>
        <v>278.85000000000002</v>
      </c>
      <c r="U48" s="16">
        <f t="shared" si="19"/>
        <v>90.046242000000007</v>
      </c>
      <c r="V48" s="16">
        <f t="shared" si="20"/>
        <v>92.224060500000007</v>
      </c>
      <c r="W48" s="16">
        <f t="shared" si="21"/>
        <v>5.5770000000000008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</row>
    <row r="49" spans="1:28" s="8" customFormat="1" ht="22.15" customHeight="1">
      <c r="A49" s="28"/>
      <c r="B49" s="27" t="s">
        <v>79</v>
      </c>
      <c r="C49" s="26"/>
      <c r="D49" s="25">
        <v>0.2</v>
      </c>
      <c r="E49" s="25">
        <v>0.6</v>
      </c>
      <c r="F49" s="24"/>
      <c r="G49" s="23">
        <v>110.72</v>
      </c>
      <c r="H49" s="22" t="s">
        <v>62</v>
      </c>
      <c r="I49" s="20"/>
      <c r="J49" s="17">
        <f>((D49+E49+D49+E49)*G49/0.2)*J8</f>
        <v>441.99423999999999</v>
      </c>
      <c r="K49" s="17"/>
      <c r="L49" s="20"/>
      <c r="M49" s="19"/>
      <c r="N49" s="19"/>
      <c r="O49" s="21">
        <f>((G49/0.75)*1+1*(G49/4)+(4*G49)+3*(G49/4))*O8</f>
        <v>2701.8263466666667</v>
      </c>
      <c r="P49" s="16">
        <f t="shared" si="15"/>
        <v>3143.8205866666667</v>
      </c>
      <c r="Q49" s="16">
        <f t="shared" si="16"/>
        <v>94.314617599999991</v>
      </c>
      <c r="R49" s="16"/>
      <c r="S49" s="16">
        <f t="shared" si="17"/>
        <v>13.286399999999999</v>
      </c>
      <c r="T49" s="16">
        <f t="shared" si="18"/>
        <v>155.00799999999998</v>
      </c>
      <c r="U49" s="16">
        <f t="shared" si="19"/>
        <v>50.055183359999987</v>
      </c>
      <c r="V49" s="16">
        <f t="shared" si="20"/>
        <v>51.265795839999996</v>
      </c>
      <c r="W49" s="16">
        <f t="shared" si="21"/>
        <v>2.2144000000000004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</row>
    <row r="50" spans="1:28" s="8" customFormat="1" ht="22.15" customHeight="1">
      <c r="A50" s="28"/>
      <c r="B50" s="27" t="s">
        <v>78</v>
      </c>
      <c r="C50" s="26"/>
      <c r="D50" s="25">
        <v>0.3</v>
      </c>
      <c r="E50" s="25">
        <v>0.6</v>
      </c>
      <c r="F50" s="24"/>
      <c r="G50" s="23">
        <v>23</v>
      </c>
      <c r="H50" s="22" t="s">
        <v>62</v>
      </c>
      <c r="I50" s="20"/>
      <c r="J50" s="17">
        <f>((D50+E50+D50+E50)*G50/0.125)*2*J8</f>
        <v>330.5376</v>
      </c>
      <c r="K50" s="17"/>
      <c r="L50" s="20"/>
      <c r="M50" s="19"/>
      <c r="N50" s="19"/>
      <c r="O50" s="21">
        <f>((G50/0.75)*2+2*(G50/4)+(6*G50)+3*(G50/4)+3*(G50/0.75))*O8</f>
        <v>1233.2810833333335</v>
      </c>
      <c r="P50" s="16">
        <f t="shared" si="15"/>
        <v>1563.8186833333334</v>
      </c>
      <c r="Q50" s="16">
        <f t="shared" si="16"/>
        <v>46.9145605</v>
      </c>
      <c r="R50" s="16"/>
      <c r="S50" s="16">
        <f t="shared" si="17"/>
        <v>4.1399999999999997</v>
      </c>
      <c r="T50" s="16">
        <f t="shared" si="18"/>
        <v>34.5</v>
      </c>
      <c r="U50" s="16">
        <f t="shared" si="19"/>
        <v>11.140739999999999</v>
      </c>
      <c r="V50" s="16">
        <f t="shared" si="20"/>
        <v>11.410185</v>
      </c>
      <c r="W50" s="16">
        <f t="shared" si="21"/>
        <v>0.69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</row>
    <row r="51" spans="1:28" s="8" customFormat="1" ht="22.15" customHeight="1">
      <c r="A51" s="28"/>
      <c r="B51" s="27" t="s">
        <v>77</v>
      </c>
      <c r="C51" s="26"/>
      <c r="D51" s="25">
        <v>0.3</v>
      </c>
      <c r="E51" s="25">
        <v>0.6</v>
      </c>
      <c r="F51" s="24"/>
      <c r="G51" s="23">
        <v>19.38</v>
      </c>
      <c r="H51" s="22" t="s">
        <v>62</v>
      </c>
      <c r="I51" s="20"/>
      <c r="J51" s="17">
        <f>((D51+E51+D51+E51)*G51/0.2)*J8</f>
        <v>87.035579999999982</v>
      </c>
      <c r="K51" s="17"/>
      <c r="L51" s="20"/>
      <c r="M51" s="19"/>
      <c r="N51" s="19"/>
      <c r="O51" s="21">
        <f>(((4/G51)*1)*(G51*4)+(3*(G51/4)))*O8</f>
        <v>117.65135500000001</v>
      </c>
      <c r="P51" s="16">
        <f t="shared" si="15"/>
        <v>204.68693500000001</v>
      </c>
      <c r="Q51" s="16">
        <f t="shared" si="16"/>
        <v>6.14060805</v>
      </c>
      <c r="R51" s="16"/>
      <c r="S51" s="16">
        <f t="shared" si="17"/>
        <v>3.4883999999999995</v>
      </c>
      <c r="T51" s="16">
        <f t="shared" si="18"/>
        <v>29.07</v>
      </c>
      <c r="U51" s="16">
        <f t="shared" si="19"/>
        <v>9.3872843999999986</v>
      </c>
      <c r="V51" s="16">
        <f t="shared" si="20"/>
        <v>9.6143210999999997</v>
      </c>
      <c r="W51" s="16">
        <f t="shared" si="21"/>
        <v>0.58139999999999992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</row>
    <row r="52" spans="1:28" s="8" customFormat="1" ht="22.15" customHeight="1">
      <c r="A52" s="28"/>
      <c r="B52" s="27" t="s">
        <v>76</v>
      </c>
      <c r="C52" s="26"/>
      <c r="D52" s="25">
        <v>0.2</v>
      </c>
      <c r="E52" s="25">
        <v>0.6</v>
      </c>
      <c r="F52" s="24"/>
      <c r="G52" s="23">
        <v>22.44</v>
      </c>
      <c r="H52" s="22" t="s">
        <v>62</v>
      </c>
      <c r="I52" s="20"/>
      <c r="J52" s="17">
        <f>((D52+E52+D52+E52)*G52/0.2)*J8</f>
        <v>89.580480000000009</v>
      </c>
      <c r="K52" s="17"/>
      <c r="L52" s="20"/>
      <c r="M52" s="19"/>
      <c r="N52" s="19"/>
      <c r="O52" s="21">
        <f>((1*(G52/4))*(G52*4)+(3*(G52/4)))*O8</f>
        <v>2005.0380108000006</v>
      </c>
      <c r="P52" s="16">
        <f t="shared" si="15"/>
        <v>2094.6184908000005</v>
      </c>
      <c r="Q52" s="16">
        <f t="shared" si="16"/>
        <v>62.838554724000012</v>
      </c>
      <c r="R52" s="16"/>
      <c r="S52" s="16">
        <f t="shared" si="17"/>
        <v>2.6928000000000001</v>
      </c>
      <c r="T52" s="16">
        <f t="shared" si="18"/>
        <v>31.416</v>
      </c>
      <c r="U52" s="16">
        <f t="shared" si="19"/>
        <v>10.14485472</v>
      </c>
      <c r="V52" s="16">
        <f t="shared" si="20"/>
        <v>10.39021368</v>
      </c>
      <c r="W52" s="16">
        <f t="shared" si="21"/>
        <v>0.44880000000000009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</row>
    <row r="53" spans="1:28" s="8" customFormat="1" ht="22.15" customHeight="1">
      <c r="A53" s="28"/>
      <c r="B53" s="27" t="s">
        <v>75</v>
      </c>
      <c r="C53" s="26"/>
      <c r="D53" s="25">
        <v>0.2</v>
      </c>
      <c r="E53" s="25">
        <v>0.6</v>
      </c>
      <c r="F53" s="24"/>
      <c r="G53" s="23">
        <v>16.39</v>
      </c>
      <c r="H53" s="22" t="s">
        <v>62</v>
      </c>
      <c r="I53" s="20"/>
      <c r="J53" s="17">
        <f>((D53+E53+D53+E53)*G53/0.2)*2*J8</f>
        <v>130.85776000000001</v>
      </c>
      <c r="K53" s="17"/>
      <c r="L53" s="20"/>
      <c r="M53" s="19"/>
      <c r="N53" s="19"/>
      <c r="O53" s="21">
        <f>(6*G53)*O8</f>
        <v>378.90402000000006</v>
      </c>
      <c r="P53" s="16">
        <f t="shared" si="15"/>
        <v>509.76178000000004</v>
      </c>
      <c r="Q53" s="16">
        <f t="shared" si="16"/>
        <v>15.2928534</v>
      </c>
      <c r="R53" s="16"/>
      <c r="S53" s="16">
        <f t="shared" si="17"/>
        <v>1.9668000000000001</v>
      </c>
      <c r="T53" s="16">
        <f t="shared" si="18"/>
        <v>22.945999999999998</v>
      </c>
      <c r="U53" s="16">
        <f t="shared" si="19"/>
        <v>7.4097223199999984</v>
      </c>
      <c r="V53" s="16">
        <f t="shared" si="20"/>
        <v>7.5889305799999995</v>
      </c>
      <c r="W53" s="16">
        <f t="shared" si="21"/>
        <v>0.32780000000000009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</row>
    <row r="54" spans="1:28" s="8" customFormat="1" ht="22.15" customHeight="1">
      <c r="A54" s="28"/>
      <c r="B54" s="27" t="s">
        <v>74</v>
      </c>
      <c r="C54" s="26"/>
      <c r="D54" s="25">
        <v>0.4</v>
      </c>
      <c r="E54" s="25">
        <v>0.6</v>
      </c>
      <c r="F54" s="24"/>
      <c r="G54" s="23">
        <v>58.76</v>
      </c>
      <c r="H54" s="22" t="s">
        <v>62</v>
      </c>
      <c r="I54" s="20"/>
      <c r="J54" s="17">
        <f>((D54+E54+D54+E54)*G54/0.15)*2*J8</f>
        <v>781.89973333333342</v>
      </c>
      <c r="K54" s="17"/>
      <c r="L54" s="20"/>
      <c r="M54" s="19"/>
      <c r="N54" s="19"/>
      <c r="O54" s="21">
        <f>(4*G54)+(6*G54/4)+(3*G54/0.75)*O8</f>
        <v>1228.7891199999999</v>
      </c>
      <c r="P54" s="16">
        <f t="shared" si="15"/>
        <v>2010.6888533333333</v>
      </c>
      <c r="Q54" s="16">
        <f t="shared" si="16"/>
        <v>60.320665599999998</v>
      </c>
      <c r="R54" s="16"/>
      <c r="S54" s="16">
        <f t="shared" si="17"/>
        <v>14.102399999999999</v>
      </c>
      <c r="T54" s="16">
        <f t="shared" si="18"/>
        <v>94.016000000000005</v>
      </c>
      <c r="U54" s="16">
        <f t="shared" si="19"/>
        <v>30.359646719999997</v>
      </c>
      <c r="V54" s="16">
        <f t="shared" si="20"/>
        <v>31.093911680000001</v>
      </c>
      <c r="W54" s="16">
        <f t="shared" si="21"/>
        <v>2.3504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</row>
    <row r="55" spans="1:28" s="8" customFormat="1" ht="22.15" customHeight="1">
      <c r="A55" s="28"/>
      <c r="B55" s="27" t="s">
        <v>73</v>
      </c>
      <c r="C55" s="26"/>
      <c r="D55" s="25">
        <v>0.4</v>
      </c>
      <c r="E55" s="25">
        <v>0.6</v>
      </c>
      <c r="F55" s="24"/>
      <c r="G55" s="23">
        <v>47.14</v>
      </c>
      <c r="H55" s="22" t="s">
        <v>62</v>
      </c>
      <c r="I55" s="20"/>
      <c r="J55" s="17">
        <f>((D55+E55+D55+E55)*G55/0.15)*2*J8</f>
        <v>627.27626666666674</v>
      </c>
      <c r="K55" s="17"/>
      <c r="L55" s="20"/>
      <c r="M55" s="19"/>
      <c r="N55" s="19"/>
      <c r="O55" s="21">
        <f>(4*G55)+(6*G55/4)*O8</f>
        <v>461.00563000000005</v>
      </c>
      <c r="P55" s="16">
        <f t="shared" si="15"/>
        <v>1088.2818966666669</v>
      </c>
      <c r="Q55" s="16">
        <f t="shared" si="16"/>
        <v>32.648456900000006</v>
      </c>
      <c r="R55" s="16"/>
      <c r="S55" s="16">
        <f t="shared" si="17"/>
        <v>11.313599999999999</v>
      </c>
      <c r="T55" s="16">
        <f t="shared" si="18"/>
        <v>75.424000000000007</v>
      </c>
      <c r="U55" s="16">
        <f t="shared" si="19"/>
        <v>24.355918080000002</v>
      </c>
      <c r="V55" s="16">
        <f t="shared" si="20"/>
        <v>24.944979520000004</v>
      </c>
      <c r="W55" s="16">
        <f t="shared" si="21"/>
        <v>1.8856000000000002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</row>
    <row r="56" spans="1:28" s="8" customFormat="1" ht="22.15" customHeight="1">
      <c r="A56" s="28"/>
      <c r="B56" s="27" t="s">
        <v>72</v>
      </c>
      <c r="C56" s="26"/>
      <c r="D56" s="25">
        <v>0.4</v>
      </c>
      <c r="E56" s="25">
        <v>0.6</v>
      </c>
      <c r="F56" s="24"/>
      <c r="G56" s="23">
        <v>32.4</v>
      </c>
      <c r="H56" s="22" t="s">
        <v>62</v>
      </c>
      <c r="I56" s="20"/>
      <c r="J56" s="17">
        <f>((D56+E56+D56+E56)*G56/0.15)*2*J8</f>
        <v>431.13600000000002</v>
      </c>
      <c r="K56" s="17"/>
      <c r="L56" s="20"/>
      <c r="M56" s="19"/>
      <c r="N56" s="19"/>
      <c r="O56" s="21">
        <f>(20*G56)*O8</f>
        <v>2496.7440000000001</v>
      </c>
      <c r="P56" s="16">
        <f t="shared" si="15"/>
        <v>2927.88</v>
      </c>
      <c r="Q56" s="16">
        <f t="shared" si="16"/>
        <v>87.836399999999998</v>
      </c>
      <c r="R56" s="16"/>
      <c r="S56" s="16">
        <f t="shared" si="17"/>
        <v>7.7759999999999998</v>
      </c>
      <c r="T56" s="16">
        <f t="shared" si="18"/>
        <v>51.84</v>
      </c>
      <c r="U56" s="16">
        <f t="shared" si="19"/>
        <v>16.7401728</v>
      </c>
      <c r="V56" s="16">
        <f t="shared" si="20"/>
        <v>17.1450432</v>
      </c>
      <c r="W56" s="16">
        <f t="shared" si="21"/>
        <v>1.2960000000000003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</row>
    <row r="57" spans="1:28" s="8" customFormat="1" ht="22.15" customHeight="1">
      <c r="A57" s="28"/>
      <c r="B57" s="27" t="s">
        <v>71</v>
      </c>
      <c r="C57" s="26"/>
      <c r="D57" s="25">
        <v>0.2</v>
      </c>
      <c r="E57" s="25">
        <v>0.6</v>
      </c>
      <c r="F57" s="24"/>
      <c r="G57" s="23">
        <v>66</v>
      </c>
      <c r="H57" s="22" t="s">
        <v>62</v>
      </c>
      <c r="I57" s="20"/>
      <c r="J57" s="17">
        <f>((D57+E57+D57+E57)*G57/0.25)*2*J8</f>
        <v>421.55520000000001</v>
      </c>
      <c r="K57" s="17"/>
      <c r="L57" s="20"/>
      <c r="M57" s="19"/>
      <c r="N57" s="19"/>
      <c r="O57" s="21">
        <f>(4*G57)+(G57/4)+(G57/0.75)*O8</f>
        <v>619.56400000000008</v>
      </c>
      <c r="P57" s="16">
        <f t="shared" si="15"/>
        <v>1041.1192000000001</v>
      </c>
      <c r="Q57" s="16">
        <f t="shared" si="16"/>
        <v>31.233576000000003</v>
      </c>
      <c r="R57" s="16"/>
      <c r="S57" s="16">
        <f t="shared" si="17"/>
        <v>7.92</v>
      </c>
      <c r="T57" s="16">
        <f t="shared" si="18"/>
        <v>92.399999999999991</v>
      </c>
      <c r="U57" s="16">
        <f t="shared" si="19"/>
        <v>29.837807999999995</v>
      </c>
      <c r="V57" s="16">
        <f t="shared" si="20"/>
        <v>30.559451999999997</v>
      </c>
      <c r="W57" s="16">
        <f t="shared" si="21"/>
        <v>1.3200000000000003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</row>
    <row r="58" spans="1:28" s="8" customFormat="1" ht="22.15" customHeight="1">
      <c r="A58" s="28"/>
      <c r="B58" s="27" t="s">
        <v>70</v>
      </c>
      <c r="C58" s="26"/>
      <c r="D58" s="25">
        <v>0.2</v>
      </c>
      <c r="E58" s="25">
        <v>0.6</v>
      </c>
      <c r="F58" s="24"/>
      <c r="G58" s="23">
        <v>12.28</v>
      </c>
      <c r="H58" s="22" t="s">
        <v>62</v>
      </c>
      <c r="I58" s="20"/>
      <c r="J58" s="17">
        <f>((D58+E58+D58+E58)*G58/0.25)*J8</f>
        <v>39.217407999999999</v>
      </c>
      <c r="K58" s="17"/>
      <c r="L58" s="20"/>
      <c r="M58" s="19"/>
      <c r="N58" s="19"/>
      <c r="O58" s="21">
        <f>(4*G58)+(2*G58/4)*O8</f>
        <v>72.777419999999992</v>
      </c>
      <c r="P58" s="16">
        <f t="shared" si="15"/>
        <v>111.99482799999998</v>
      </c>
      <c r="Q58" s="16">
        <f t="shared" si="16"/>
        <v>3.3598448399999996</v>
      </c>
      <c r="R58" s="16"/>
      <c r="S58" s="16">
        <f t="shared" si="17"/>
        <v>1.4735999999999998</v>
      </c>
      <c r="T58" s="16">
        <f t="shared" si="18"/>
        <v>17.191999999999997</v>
      </c>
      <c r="U58" s="16">
        <f t="shared" si="19"/>
        <v>5.5516406399999987</v>
      </c>
      <c r="V58" s="16">
        <f t="shared" si="20"/>
        <v>5.6859101599999988</v>
      </c>
      <c r="W58" s="16">
        <f t="shared" si="21"/>
        <v>0.24560000000000001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</row>
    <row r="59" spans="1:28" s="8" customFormat="1" ht="22.15" customHeight="1">
      <c r="A59" s="28"/>
      <c r="B59" s="27" t="s">
        <v>69</v>
      </c>
      <c r="C59" s="26"/>
      <c r="D59" s="25">
        <v>0.2</v>
      </c>
      <c r="E59" s="25">
        <v>0.6</v>
      </c>
      <c r="F59" s="24"/>
      <c r="G59" s="23">
        <v>40.31</v>
      </c>
      <c r="H59" s="22" t="s">
        <v>62</v>
      </c>
      <c r="I59" s="20"/>
      <c r="J59" s="17">
        <f>((D59+E59+D59+E59)*G59/0.25)*2*J8</f>
        <v>257.46803200000005</v>
      </c>
      <c r="K59" s="17"/>
      <c r="L59" s="20"/>
      <c r="M59" s="19"/>
      <c r="N59" s="19"/>
      <c r="O59" s="21">
        <f>(4*G59)+(2*G59/4)+(2*G59/0.75)*O8</f>
        <v>595.56681333333336</v>
      </c>
      <c r="P59" s="16">
        <f t="shared" si="15"/>
        <v>853.03484533333335</v>
      </c>
      <c r="Q59" s="16">
        <f t="shared" si="16"/>
        <v>25.591045359999999</v>
      </c>
      <c r="R59" s="16"/>
      <c r="S59" s="16">
        <f t="shared" si="17"/>
        <v>4.8372000000000002</v>
      </c>
      <c r="T59" s="16">
        <f t="shared" si="18"/>
        <v>56.433999999999997</v>
      </c>
      <c r="U59" s="16">
        <f t="shared" si="19"/>
        <v>18.223667279999997</v>
      </c>
      <c r="V59" s="16">
        <f t="shared" si="20"/>
        <v>18.66441682</v>
      </c>
      <c r="W59" s="16">
        <f t="shared" si="21"/>
        <v>0.80620000000000014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</row>
    <row r="60" spans="1:28" s="8" customFormat="1" ht="22.15" customHeight="1">
      <c r="A60" s="28"/>
      <c r="B60" s="27" t="s">
        <v>66</v>
      </c>
      <c r="C60" s="26"/>
      <c r="D60" s="25">
        <v>0.4</v>
      </c>
      <c r="E60" s="25">
        <v>0.6</v>
      </c>
      <c r="F60" s="24">
        <v>4</v>
      </c>
      <c r="G60" s="23">
        <v>9</v>
      </c>
      <c r="H60" s="22" t="s">
        <v>62</v>
      </c>
      <c r="I60" s="17">
        <f>(((D60+E60+D60+E60)*F60/0.29)*G60)*2*I8</f>
        <v>110.2344827586207</v>
      </c>
      <c r="J60" s="17"/>
      <c r="K60" s="17"/>
      <c r="L60" s="20"/>
      <c r="M60" s="19"/>
      <c r="N60" s="19"/>
      <c r="O60" s="21">
        <f>(G60*8*F60)*O8</f>
        <v>1109.664</v>
      </c>
      <c r="P60" s="16">
        <f t="shared" si="15"/>
        <v>1219.8984827586207</v>
      </c>
      <c r="Q60" s="16">
        <f t="shared" si="16"/>
        <v>36.596954482758619</v>
      </c>
      <c r="R60" s="16"/>
      <c r="S60" s="16">
        <f>(D60*E60*F60)*G60</f>
        <v>8.64</v>
      </c>
      <c r="T60" s="16">
        <f>(D60+E60+E60+D60)*G60</f>
        <v>18</v>
      </c>
      <c r="U60" s="16">
        <f t="shared" si="19"/>
        <v>5.8125600000000004</v>
      </c>
      <c r="V60" s="16">
        <f t="shared" si="20"/>
        <v>5.9531400000000003</v>
      </c>
      <c r="W60" s="16">
        <f t="shared" si="21"/>
        <v>0.36000000000000004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</row>
    <row r="61" spans="1:28" s="8" customFormat="1" ht="22.15" customHeight="1">
      <c r="A61" s="28"/>
      <c r="B61" s="27" t="s">
        <v>65</v>
      </c>
      <c r="C61" s="26"/>
      <c r="D61" s="25">
        <v>0.4</v>
      </c>
      <c r="E61" s="25">
        <v>0.6</v>
      </c>
      <c r="F61" s="24">
        <v>4</v>
      </c>
      <c r="G61" s="23">
        <v>24</v>
      </c>
      <c r="H61" s="22" t="s">
        <v>62</v>
      </c>
      <c r="I61" s="17">
        <f>(((D61+E61+D61+E61)*F61/0.29)*G61)*2*I8</f>
        <v>293.95862068965516</v>
      </c>
      <c r="J61" s="17"/>
      <c r="K61" s="17"/>
      <c r="L61" s="20"/>
      <c r="M61" s="19"/>
      <c r="N61" s="19"/>
      <c r="O61" s="21">
        <f>(G61*8*F61)*O8</f>
        <v>2959.1040000000003</v>
      </c>
      <c r="P61" s="16">
        <f t="shared" si="15"/>
        <v>3253.0626206896554</v>
      </c>
      <c r="Q61" s="16">
        <f t="shared" si="16"/>
        <v>97.591878620689656</v>
      </c>
      <c r="R61" s="16"/>
      <c r="S61" s="16">
        <f>(D61*E61*F61)*G61</f>
        <v>23.04</v>
      </c>
      <c r="T61" s="16">
        <f>(D61+E61+E61+D61)*G61</f>
        <v>48</v>
      </c>
      <c r="U61" s="16">
        <f t="shared" si="19"/>
        <v>15.500159999999999</v>
      </c>
      <c r="V61" s="16">
        <f t="shared" si="20"/>
        <v>15.87504</v>
      </c>
      <c r="W61" s="16">
        <f t="shared" si="21"/>
        <v>0.96000000000000019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</row>
    <row r="62" spans="1:28" s="8" customFormat="1" ht="22.15" customHeight="1">
      <c r="A62" s="28"/>
      <c r="B62" s="27" t="s">
        <v>64</v>
      </c>
      <c r="C62" s="26"/>
      <c r="D62" s="25">
        <v>0.4</v>
      </c>
      <c r="E62" s="25">
        <v>0.6</v>
      </c>
      <c r="F62" s="24">
        <v>4</v>
      </c>
      <c r="G62" s="23">
        <v>34</v>
      </c>
      <c r="H62" s="22" t="s">
        <v>62</v>
      </c>
      <c r="I62" s="17">
        <f>(((D62+E62+D62+E62)*F62/0.29)*G62)*2*I8</f>
        <v>416.44137931034487</v>
      </c>
      <c r="J62" s="17"/>
      <c r="K62" s="17"/>
      <c r="L62" s="20"/>
      <c r="M62" s="19"/>
      <c r="N62" s="19"/>
      <c r="O62" s="21">
        <f>(G62*8*F62)*O8</f>
        <v>4192.0640000000003</v>
      </c>
      <c r="P62" s="16">
        <f t="shared" si="15"/>
        <v>4608.5053793103452</v>
      </c>
      <c r="Q62" s="16">
        <f t="shared" si="16"/>
        <v>138.25516137931035</v>
      </c>
      <c r="R62" s="16"/>
      <c r="S62" s="16">
        <f>(D62*E62*F62)*G62</f>
        <v>32.64</v>
      </c>
      <c r="T62" s="16">
        <f>(D62+E62+E62+D62)*G62</f>
        <v>68</v>
      </c>
      <c r="U62" s="16">
        <f t="shared" si="19"/>
        <v>21.958559999999999</v>
      </c>
      <c r="V62" s="16">
        <f t="shared" si="20"/>
        <v>22.489640000000001</v>
      </c>
      <c r="W62" s="16">
        <f t="shared" si="21"/>
        <v>1.3600000000000003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</row>
    <row r="63" spans="1:28" s="8" customFormat="1" ht="22.15" customHeight="1">
      <c r="A63" s="28"/>
      <c r="B63" s="27" t="s">
        <v>63</v>
      </c>
      <c r="C63" s="26"/>
      <c r="D63" s="25">
        <v>0.4</v>
      </c>
      <c r="E63" s="25">
        <v>0.6</v>
      </c>
      <c r="F63" s="24">
        <v>4</v>
      </c>
      <c r="G63" s="23">
        <v>3</v>
      </c>
      <c r="H63" s="22" t="s">
        <v>62</v>
      </c>
      <c r="I63" s="17">
        <f>(((D63+E63+D63+E63)*F63/0.29)*G63)*2*I8</f>
        <v>36.744827586206895</v>
      </c>
      <c r="J63" s="17"/>
      <c r="K63" s="17"/>
      <c r="L63" s="20"/>
      <c r="M63" s="19"/>
      <c r="N63" s="19"/>
      <c r="O63" s="21">
        <f>(G63*8*F63)*O8</f>
        <v>369.88800000000003</v>
      </c>
      <c r="P63" s="16">
        <f t="shared" si="15"/>
        <v>406.63282758620693</v>
      </c>
      <c r="Q63" s="16">
        <f t="shared" si="16"/>
        <v>12.198984827586207</v>
      </c>
      <c r="R63" s="16"/>
      <c r="S63" s="16">
        <f>(D63*E63*F63)*G63</f>
        <v>2.88</v>
      </c>
      <c r="T63" s="16">
        <f>(D63+E63+E63+D63)*G63</f>
        <v>6</v>
      </c>
      <c r="U63" s="16">
        <f t="shared" si="19"/>
        <v>1.9375199999999999</v>
      </c>
      <c r="V63" s="16">
        <f t="shared" si="20"/>
        <v>1.98438</v>
      </c>
      <c r="W63" s="16">
        <f t="shared" si="21"/>
        <v>0.12000000000000002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</row>
    <row r="64" spans="1:28" s="8" customFormat="1" ht="22.15" customHeight="1">
      <c r="A64" s="28"/>
      <c r="B64" s="27" t="s">
        <v>265</v>
      </c>
      <c r="C64" s="26"/>
      <c r="D64" s="25"/>
      <c r="E64" s="25"/>
      <c r="F64" s="24">
        <v>0.05</v>
      </c>
      <c r="G64" s="23">
        <f>25.5*85.3</f>
        <v>2175.15</v>
      </c>
      <c r="H64" s="22" t="s">
        <v>61</v>
      </c>
      <c r="I64" s="20" t="s">
        <v>83</v>
      </c>
      <c r="J64" s="19"/>
      <c r="K64" s="17"/>
      <c r="L64" s="20"/>
      <c r="M64" s="19"/>
      <c r="N64" s="19"/>
      <c r="O64" s="21"/>
      <c r="P64" s="16">
        <f t="shared" si="15"/>
        <v>0</v>
      </c>
      <c r="Q64" s="16">
        <f t="shared" si="16"/>
        <v>0</v>
      </c>
      <c r="R64" s="16"/>
      <c r="S64" s="16">
        <f>+F64*G64</f>
        <v>108.75750000000001</v>
      </c>
      <c r="T64" s="16">
        <f>G64</f>
        <v>2175.15</v>
      </c>
      <c r="U64" s="16">
        <f t="shared" si="19"/>
        <v>702.39943800000003</v>
      </c>
      <c r="V64" s="16">
        <f t="shared" si="20"/>
        <v>719.3873595</v>
      </c>
      <c r="W64" s="16">
        <f t="shared" si="21"/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</row>
    <row r="65" spans="1:28" s="8" customFormat="1" ht="22.15" customHeight="1">
      <c r="A65" s="28"/>
      <c r="B65" s="27" t="s">
        <v>60</v>
      </c>
      <c r="C65" s="26"/>
      <c r="D65" s="25"/>
      <c r="E65" s="25"/>
      <c r="F65" s="24"/>
      <c r="G65" s="23"/>
      <c r="H65" s="22"/>
      <c r="I65" s="20"/>
      <c r="J65" s="19"/>
      <c r="K65" s="17"/>
      <c r="L65" s="20"/>
      <c r="M65" s="19"/>
      <c r="N65" s="19"/>
      <c r="O65" s="18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s="8" customFormat="1" ht="22.15" customHeight="1">
      <c r="A66" s="28"/>
      <c r="B66" s="27" t="s">
        <v>26</v>
      </c>
      <c r="C66" s="26"/>
      <c r="D66" s="25"/>
      <c r="E66" s="25"/>
      <c r="F66" s="24"/>
      <c r="G66" s="23"/>
      <c r="H66" s="22"/>
      <c r="I66" s="20"/>
      <c r="J66" s="19"/>
      <c r="K66" s="17"/>
      <c r="L66" s="20"/>
      <c r="M66" s="19"/>
      <c r="N66" s="19"/>
      <c r="O66" s="18"/>
      <c r="P66" s="16">
        <f t="shared" ref="P66:P74" si="22">SUM(I66:O66)</f>
        <v>0</v>
      </c>
      <c r="Q66" s="16">
        <f t="shared" ref="Q66:Q74" si="23">(P66*0.03)</f>
        <v>0</v>
      </c>
      <c r="R66" s="16">
        <f t="shared" ref="R66:R72" si="24">D66*G66*0.05</f>
        <v>0</v>
      </c>
      <c r="S66" s="16">
        <f t="shared" ref="S66:S73" si="25">D66*E66*G66</f>
        <v>0</v>
      </c>
      <c r="T66" s="16">
        <f t="shared" ref="T66:T74" si="26">(D66+E66+E66)*G66</f>
        <v>0</v>
      </c>
      <c r="U66" s="16">
        <f t="shared" ref="U66:U73" si="27">T66*30%</f>
        <v>0</v>
      </c>
      <c r="V66" s="16">
        <f t="shared" ref="V66:V74" si="28">(T66+U66)*0.25</f>
        <v>0</v>
      </c>
      <c r="W66" s="16">
        <f t="shared" ref="W66:W73" si="29">+D66*G66*0.1</f>
        <v>0</v>
      </c>
      <c r="X66" s="16"/>
      <c r="Y66" s="16"/>
      <c r="Z66" s="16"/>
      <c r="AA66" s="16"/>
      <c r="AB66" s="16"/>
    </row>
    <row r="67" spans="1:28" s="8" customFormat="1" ht="22.15" customHeight="1">
      <c r="A67" s="28"/>
      <c r="B67" s="27" t="s">
        <v>59</v>
      </c>
      <c r="C67" s="26"/>
      <c r="D67" s="25"/>
      <c r="E67" s="25"/>
      <c r="F67" s="24"/>
      <c r="G67" s="23">
        <v>33087.910000000003</v>
      </c>
      <c r="H67" s="22" t="s">
        <v>54</v>
      </c>
      <c r="I67" s="20"/>
      <c r="J67" s="19"/>
      <c r="K67" s="17"/>
      <c r="L67" s="20"/>
      <c r="M67" s="19"/>
      <c r="N67" s="19"/>
      <c r="O67" s="18"/>
      <c r="P67" s="16">
        <f t="shared" si="22"/>
        <v>0</v>
      </c>
      <c r="Q67" s="16">
        <f t="shared" si="23"/>
        <v>0</v>
      </c>
      <c r="R67" s="16">
        <f t="shared" si="24"/>
        <v>0</v>
      </c>
      <c r="S67" s="16">
        <f t="shared" si="25"/>
        <v>0</v>
      </c>
      <c r="T67" s="16">
        <f t="shared" si="26"/>
        <v>0</v>
      </c>
      <c r="U67" s="16">
        <f t="shared" si="27"/>
        <v>0</v>
      </c>
      <c r="V67" s="16">
        <f t="shared" si="28"/>
        <v>0</v>
      </c>
      <c r="W67" s="16">
        <f t="shared" si="29"/>
        <v>0</v>
      </c>
      <c r="X67" s="16"/>
      <c r="Y67" s="16"/>
      <c r="Z67" s="16"/>
      <c r="AA67" s="16"/>
      <c r="AB67" s="16"/>
    </row>
    <row r="68" spans="1:28" s="8" customFormat="1" ht="22.15" customHeight="1">
      <c r="A68" s="28"/>
      <c r="B68" s="27" t="s">
        <v>58</v>
      </c>
      <c r="C68" s="26"/>
      <c r="D68" s="25"/>
      <c r="E68" s="25"/>
      <c r="F68" s="24"/>
      <c r="G68" s="23">
        <v>3043.26</v>
      </c>
      <c r="H68" s="22" t="s">
        <v>54</v>
      </c>
      <c r="I68" s="20"/>
      <c r="J68" s="19"/>
      <c r="K68" s="17"/>
      <c r="L68" s="20"/>
      <c r="M68" s="19"/>
      <c r="N68" s="19"/>
      <c r="O68" s="18"/>
      <c r="P68" s="16">
        <f t="shared" si="22"/>
        <v>0</v>
      </c>
      <c r="Q68" s="16">
        <f t="shared" si="23"/>
        <v>0</v>
      </c>
      <c r="R68" s="16">
        <f t="shared" si="24"/>
        <v>0</v>
      </c>
      <c r="S68" s="16">
        <f t="shared" si="25"/>
        <v>0</v>
      </c>
      <c r="T68" s="16">
        <f t="shared" si="26"/>
        <v>0</v>
      </c>
      <c r="U68" s="16">
        <f t="shared" si="27"/>
        <v>0</v>
      </c>
      <c r="V68" s="16">
        <f t="shared" si="28"/>
        <v>0</v>
      </c>
      <c r="W68" s="16">
        <f t="shared" si="29"/>
        <v>0</v>
      </c>
      <c r="X68" s="16"/>
      <c r="Y68" s="16"/>
      <c r="Z68" s="16"/>
      <c r="AA68" s="16"/>
      <c r="AB68" s="16"/>
    </row>
    <row r="69" spans="1:28" s="8" customFormat="1" ht="22.15" customHeight="1">
      <c r="A69" s="28"/>
      <c r="B69" s="27" t="s">
        <v>57</v>
      </c>
      <c r="C69" s="26"/>
      <c r="D69" s="25"/>
      <c r="E69" s="25"/>
      <c r="F69" s="24"/>
      <c r="G69" s="23">
        <v>15142.1</v>
      </c>
      <c r="H69" s="22" t="s">
        <v>54</v>
      </c>
      <c r="I69" s="20"/>
      <c r="J69" s="19"/>
      <c r="K69" s="17"/>
      <c r="L69" s="20"/>
      <c r="M69" s="19"/>
      <c r="N69" s="19"/>
      <c r="O69" s="18"/>
      <c r="P69" s="16">
        <f t="shared" si="22"/>
        <v>0</v>
      </c>
      <c r="Q69" s="16">
        <f t="shared" si="23"/>
        <v>0</v>
      </c>
      <c r="R69" s="16">
        <f t="shared" si="24"/>
        <v>0</v>
      </c>
      <c r="S69" s="16">
        <f t="shared" si="25"/>
        <v>0</v>
      </c>
      <c r="T69" s="16">
        <f t="shared" si="26"/>
        <v>0</v>
      </c>
      <c r="U69" s="16">
        <f t="shared" si="27"/>
        <v>0</v>
      </c>
      <c r="V69" s="16">
        <f t="shared" si="28"/>
        <v>0</v>
      </c>
      <c r="W69" s="16">
        <f t="shared" si="29"/>
        <v>0</v>
      </c>
      <c r="X69" s="16"/>
      <c r="Y69" s="16"/>
      <c r="Z69" s="16"/>
      <c r="AA69" s="16"/>
      <c r="AB69" s="16"/>
    </row>
    <row r="70" spans="1:28" s="8" customFormat="1" ht="22.15" customHeight="1">
      <c r="A70" s="28"/>
      <c r="B70" s="27" t="s">
        <v>27</v>
      </c>
      <c r="C70" s="26"/>
      <c r="D70" s="25"/>
      <c r="E70" s="25"/>
      <c r="F70" s="24"/>
      <c r="G70" s="23"/>
      <c r="H70" s="22"/>
      <c r="I70" s="20"/>
      <c r="J70" s="19"/>
      <c r="K70" s="17"/>
      <c r="L70" s="20"/>
      <c r="M70" s="19"/>
      <c r="N70" s="19"/>
      <c r="O70" s="18"/>
      <c r="P70" s="16">
        <f t="shared" si="22"/>
        <v>0</v>
      </c>
      <c r="Q70" s="16">
        <f t="shared" si="23"/>
        <v>0</v>
      </c>
      <c r="R70" s="16">
        <f t="shared" si="24"/>
        <v>0</v>
      </c>
      <c r="S70" s="16">
        <f t="shared" si="25"/>
        <v>0</v>
      </c>
      <c r="T70" s="16">
        <f t="shared" si="26"/>
        <v>0</v>
      </c>
      <c r="U70" s="16">
        <f t="shared" si="27"/>
        <v>0</v>
      </c>
      <c r="V70" s="16">
        <f t="shared" si="28"/>
        <v>0</v>
      </c>
      <c r="W70" s="16">
        <f t="shared" si="29"/>
        <v>0</v>
      </c>
      <c r="X70" s="16"/>
      <c r="Y70" s="16"/>
      <c r="Z70" s="16"/>
      <c r="AA70" s="16"/>
      <c r="AB70" s="16"/>
    </row>
    <row r="71" spans="1:28" s="8" customFormat="1" ht="22.15" customHeight="1">
      <c r="A71" s="28"/>
      <c r="B71" s="31" t="s">
        <v>56</v>
      </c>
      <c r="C71" s="30"/>
      <c r="D71" s="29"/>
      <c r="E71" s="29"/>
      <c r="F71" s="24"/>
      <c r="G71" s="23">
        <v>5273.73</v>
      </c>
      <c r="H71" s="22" t="s">
        <v>54</v>
      </c>
      <c r="I71" s="20"/>
      <c r="J71" s="19"/>
      <c r="K71" s="17"/>
      <c r="L71" s="20"/>
      <c r="M71" s="19"/>
      <c r="N71" s="19"/>
      <c r="O71" s="18"/>
      <c r="P71" s="16">
        <f t="shared" si="22"/>
        <v>0</v>
      </c>
      <c r="Q71" s="16">
        <f t="shared" si="23"/>
        <v>0</v>
      </c>
      <c r="R71" s="16">
        <f t="shared" si="24"/>
        <v>0</v>
      </c>
      <c r="S71" s="16">
        <f t="shared" si="25"/>
        <v>0</v>
      </c>
      <c r="T71" s="16">
        <f t="shared" si="26"/>
        <v>0</v>
      </c>
      <c r="U71" s="16">
        <f t="shared" si="27"/>
        <v>0</v>
      </c>
      <c r="V71" s="16">
        <f t="shared" si="28"/>
        <v>0</v>
      </c>
      <c r="W71" s="16">
        <f t="shared" si="29"/>
        <v>0</v>
      </c>
      <c r="X71" s="16"/>
      <c r="Y71" s="16"/>
      <c r="Z71" s="16"/>
      <c r="AA71" s="16"/>
      <c r="AB71" s="16"/>
    </row>
    <row r="72" spans="1:28" s="8" customFormat="1" ht="22.15" customHeight="1">
      <c r="A72" s="28"/>
      <c r="B72" s="31" t="s">
        <v>55</v>
      </c>
      <c r="C72" s="30"/>
      <c r="D72" s="29"/>
      <c r="E72" s="29"/>
      <c r="F72" s="24"/>
      <c r="G72" s="23">
        <v>1897.45</v>
      </c>
      <c r="H72" s="22" t="s">
        <v>54</v>
      </c>
      <c r="I72" s="20"/>
      <c r="J72" s="19"/>
      <c r="K72" s="17"/>
      <c r="L72" s="20"/>
      <c r="M72" s="19"/>
      <c r="N72" s="19"/>
      <c r="O72" s="18"/>
      <c r="P72" s="16">
        <f t="shared" si="22"/>
        <v>0</v>
      </c>
      <c r="Q72" s="16">
        <f t="shared" si="23"/>
        <v>0</v>
      </c>
      <c r="R72" s="16">
        <f t="shared" si="24"/>
        <v>0</v>
      </c>
      <c r="S72" s="16">
        <f t="shared" si="25"/>
        <v>0</v>
      </c>
      <c r="T72" s="16">
        <f t="shared" si="26"/>
        <v>0</v>
      </c>
      <c r="U72" s="16">
        <f t="shared" si="27"/>
        <v>0</v>
      </c>
      <c r="V72" s="16">
        <f t="shared" si="28"/>
        <v>0</v>
      </c>
      <c r="W72" s="16">
        <f t="shared" si="29"/>
        <v>0</v>
      </c>
      <c r="X72" s="16"/>
      <c r="Y72" s="16"/>
      <c r="Z72" s="16"/>
      <c r="AA72" s="16"/>
      <c r="AB72" s="16"/>
    </row>
    <row r="73" spans="1:28" s="8" customFormat="1" ht="22.15" customHeight="1">
      <c r="A73" s="28"/>
      <c r="B73" s="1042" t="s">
        <v>53</v>
      </c>
      <c r="C73" s="1043"/>
      <c r="D73" s="1043"/>
      <c r="E73" s="1043"/>
      <c r="F73" s="1044"/>
      <c r="G73" s="23"/>
      <c r="H73" s="22"/>
      <c r="I73" s="20"/>
      <c r="J73" s="19"/>
      <c r="K73" s="17"/>
      <c r="L73" s="20"/>
      <c r="M73" s="19"/>
      <c r="N73" s="19"/>
      <c r="O73" s="18"/>
      <c r="P73" s="16">
        <f t="shared" si="22"/>
        <v>0</v>
      </c>
      <c r="Q73" s="16">
        <f t="shared" si="23"/>
        <v>0</v>
      </c>
      <c r="R73" s="16"/>
      <c r="S73" s="16">
        <f t="shared" si="25"/>
        <v>0</v>
      </c>
      <c r="T73" s="16">
        <f t="shared" si="26"/>
        <v>0</v>
      </c>
      <c r="U73" s="16">
        <f t="shared" si="27"/>
        <v>0</v>
      </c>
      <c r="V73" s="16">
        <f t="shared" si="28"/>
        <v>0</v>
      </c>
      <c r="W73" s="16">
        <f t="shared" si="29"/>
        <v>0</v>
      </c>
      <c r="X73" s="16"/>
      <c r="Y73" s="16"/>
      <c r="Z73" s="16"/>
      <c r="AA73" s="16"/>
      <c r="AB73" s="16"/>
    </row>
    <row r="74" spans="1:28" s="8" customFormat="1" ht="22.15" customHeight="1">
      <c r="A74" s="28"/>
      <c r="B74" s="27" t="s">
        <v>266</v>
      </c>
      <c r="C74" s="26"/>
      <c r="D74" s="25">
        <v>6</v>
      </c>
      <c r="E74" s="25">
        <v>78.05</v>
      </c>
      <c r="F74" s="24">
        <v>0.3</v>
      </c>
      <c r="G74" s="23">
        <v>1</v>
      </c>
      <c r="H74" s="22" t="s">
        <v>52</v>
      </c>
      <c r="I74" s="20">
        <f>(8.2*7)+(2.35*8.2/0.25)*I8</f>
        <v>74.511759999999995</v>
      </c>
      <c r="J74" s="19">
        <f>(11*8.2/0.25)*J8</f>
        <v>180.03919999999997</v>
      </c>
      <c r="K74" s="17"/>
      <c r="L74" s="20">
        <f>(4.55*8.2/0.25)*L8</f>
        <v>132.52511999999999</v>
      </c>
      <c r="M74" s="19"/>
      <c r="N74" s="19"/>
      <c r="O74" s="18"/>
      <c r="P74" s="16">
        <f t="shared" si="22"/>
        <v>387.07607999999993</v>
      </c>
      <c r="Q74" s="16">
        <f t="shared" si="23"/>
        <v>11.612282399999998</v>
      </c>
      <c r="R74" s="16"/>
      <c r="S74" s="16">
        <f>(D74*E74*F74)*G74</f>
        <v>140.48999999999998</v>
      </c>
      <c r="T74" s="16">
        <f t="shared" si="26"/>
        <v>162.1</v>
      </c>
      <c r="U74" s="16">
        <f t="shared" ref="U74" si="30">(T74*0.03)*10.764</f>
        <v>52.345331999999992</v>
      </c>
      <c r="V74" s="16">
        <f t="shared" si="28"/>
        <v>53.611332999999995</v>
      </c>
      <c r="W74" s="16"/>
      <c r="X74" s="16"/>
      <c r="Y74" s="16"/>
      <c r="Z74" s="16"/>
      <c r="AA74" s="16"/>
      <c r="AB74" s="16"/>
    </row>
    <row r="75" spans="1:28" s="8" customFormat="1" ht="22.15" customHeight="1">
      <c r="A75" s="28"/>
      <c r="B75" s="27"/>
      <c r="C75" s="26"/>
      <c r="D75" s="25"/>
      <c r="E75" s="25"/>
      <c r="F75" s="24"/>
      <c r="G75" s="23"/>
      <c r="H75" s="22"/>
      <c r="I75" s="20"/>
      <c r="J75" s="19"/>
      <c r="K75" s="17"/>
      <c r="L75" s="20"/>
      <c r="M75" s="19"/>
      <c r="N75" s="19"/>
      <c r="O75" s="18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s="8" customFormat="1" ht="22.15" customHeight="1">
      <c r="A76" s="28"/>
      <c r="B76" s="27"/>
      <c r="C76" s="26"/>
      <c r="D76" s="25"/>
      <c r="E76" s="25"/>
      <c r="F76" s="24"/>
      <c r="G76" s="23"/>
      <c r="H76" s="22"/>
      <c r="I76" s="20"/>
      <c r="J76" s="19"/>
      <c r="K76" s="17"/>
      <c r="L76" s="20"/>
      <c r="M76" s="19"/>
      <c r="N76" s="19"/>
      <c r="O76" s="18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s="8" customFormat="1" ht="22.15" customHeight="1">
      <c r="A77" s="28"/>
      <c r="B77" s="27"/>
      <c r="C77" s="26"/>
      <c r="D77" s="25"/>
      <c r="E77" s="25"/>
      <c r="F77" s="24"/>
      <c r="G77" s="23"/>
      <c r="H77" s="22"/>
      <c r="I77" s="20"/>
      <c r="J77" s="19"/>
      <c r="K77" s="17"/>
      <c r="L77" s="20"/>
      <c r="M77" s="19"/>
      <c r="N77" s="19"/>
      <c r="O77" s="18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s="8" customFormat="1" ht="22.15" customHeight="1">
      <c r="A78" s="15"/>
      <c r="B78" s="14" t="s">
        <v>51</v>
      </c>
      <c r="C78" s="14"/>
      <c r="D78" s="13"/>
      <c r="E78" s="13"/>
      <c r="F78" s="13"/>
      <c r="G78" s="12"/>
      <c r="H78" s="12"/>
      <c r="I78" s="10">
        <f>SUM(I11:I77)</f>
        <v>3579.1092701477837</v>
      </c>
      <c r="J78" s="11">
        <f>SUM(J11:J77)</f>
        <v>10516.874100000001</v>
      </c>
      <c r="K78" s="11"/>
      <c r="L78" s="11">
        <f t="shared" ref="L78:AB78" si="31">SUM(L11:L77)</f>
        <v>2582.7572399999999</v>
      </c>
      <c r="M78" s="11">
        <f t="shared" si="31"/>
        <v>111.24111000000001</v>
      </c>
      <c r="N78" s="11">
        <f t="shared" si="31"/>
        <v>0</v>
      </c>
      <c r="O78" s="11">
        <f t="shared" si="31"/>
        <v>58937.417264966665</v>
      </c>
      <c r="P78" s="10">
        <f t="shared" si="31"/>
        <v>75727.398985114458</v>
      </c>
      <c r="Q78" s="10">
        <f t="shared" si="31"/>
        <v>2271.821969553434</v>
      </c>
      <c r="R78" s="10">
        <f t="shared" si="31"/>
        <v>18.382000000000001</v>
      </c>
      <c r="S78" s="10">
        <f t="shared" si="31"/>
        <v>954.12209999999993</v>
      </c>
      <c r="T78" s="10">
        <f t="shared" si="31"/>
        <v>5706.603000000001</v>
      </c>
      <c r="U78" s="10">
        <f t="shared" si="31"/>
        <v>1842.7762407600001</v>
      </c>
      <c r="V78" s="10">
        <f t="shared" si="31"/>
        <v>1855.6114617900002</v>
      </c>
      <c r="W78" s="10">
        <f t="shared" si="31"/>
        <v>41.164000000000001</v>
      </c>
      <c r="X78" s="10">
        <f t="shared" si="31"/>
        <v>253.001</v>
      </c>
      <c r="Y78" s="10">
        <f t="shared" si="31"/>
        <v>0</v>
      </c>
      <c r="Z78" s="10">
        <f t="shared" si="31"/>
        <v>97</v>
      </c>
      <c r="AA78" s="10">
        <f t="shared" si="31"/>
        <v>0</v>
      </c>
      <c r="AB78" s="9">
        <f t="shared" si="31"/>
        <v>0</v>
      </c>
    </row>
    <row r="79" spans="1:28">
      <c r="N79" s="6"/>
      <c r="O79" s="6"/>
    </row>
    <row r="81" spans="1:28" ht="30.75">
      <c r="A81" s="56"/>
      <c r="B81" s="55"/>
      <c r="C81" s="55"/>
      <c r="D81" s="55"/>
      <c r="E81" s="55"/>
      <c r="F81" s="55"/>
      <c r="G81" s="55"/>
      <c r="H81" s="55"/>
      <c r="I81" s="54"/>
      <c r="J81" s="53"/>
      <c r="K81" s="53"/>
      <c r="L81" s="52"/>
      <c r="M81" s="50"/>
      <c r="N81" s="51"/>
      <c r="O81" s="51"/>
      <c r="P81" s="50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>
      <c r="A82" s="129" t="s">
        <v>167</v>
      </c>
      <c r="B82" s="130" t="s">
        <v>166</v>
      </c>
      <c r="C82" s="131"/>
      <c r="D82" s="132"/>
      <c r="E82" s="132"/>
      <c r="F82" s="133"/>
      <c r="G82" s="134" t="s">
        <v>165</v>
      </c>
      <c r="H82" s="134"/>
      <c r="I82" s="135" t="s">
        <v>164</v>
      </c>
      <c r="J82" s="136"/>
      <c r="K82" s="287"/>
      <c r="L82" s="1057" t="s">
        <v>163</v>
      </c>
      <c r="M82" s="1057"/>
      <c r="N82" s="1057"/>
      <c r="O82" s="1058"/>
      <c r="P82" s="137" t="s">
        <v>162</v>
      </c>
      <c r="Q82" s="138" t="s">
        <v>161</v>
      </c>
      <c r="R82" s="1059" t="s">
        <v>160</v>
      </c>
      <c r="S82" s="1060"/>
      <c r="T82" s="1061" t="s">
        <v>159</v>
      </c>
      <c r="U82" s="1062"/>
      <c r="V82" s="138" t="s">
        <v>158</v>
      </c>
      <c r="W82" s="137" t="s">
        <v>157</v>
      </c>
      <c r="X82" s="139" t="s">
        <v>156</v>
      </c>
      <c r="Y82" s="139"/>
      <c r="Z82" s="140" t="s">
        <v>155</v>
      </c>
      <c r="AA82" s="137" t="s">
        <v>154</v>
      </c>
      <c r="AB82" s="140" t="s">
        <v>153</v>
      </c>
    </row>
    <row r="83" spans="1:28">
      <c r="A83" s="141"/>
      <c r="B83" s="142"/>
      <c r="C83" s="143"/>
      <c r="D83" s="143"/>
      <c r="E83" s="143"/>
      <c r="F83" s="144"/>
      <c r="G83" s="141" t="s">
        <v>152</v>
      </c>
      <c r="H83" s="141" t="s">
        <v>151</v>
      </c>
      <c r="I83" s="145"/>
      <c r="J83" s="146"/>
      <c r="K83" s="288"/>
      <c r="L83" s="145"/>
      <c r="M83" s="147"/>
      <c r="N83" s="147"/>
      <c r="O83" s="148"/>
      <c r="P83" s="149" t="s">
        <v>150</v>
      </c>
      <c r="Q83" s="150" t="s">
        <v>149</v>
      </c>
      <c r="R83" s="151" t="s">
        <v>148</v>
      </c>
      <c r="S83" s="151" t="s">
        <v>147</v>
      </c>
      <c r="T83" s="1063" t="s">
        <v>146</v>
      </c>
      <c r="U83" s="1064"/>
      <c r="V83" s="152"/>
      <c r="W83" s="149"/>
      <c r="X83" s="149" t="s">
        <v>145</v>
      </c>
      <c r="Y83" s="149" t="s">
        <v>144</v>
      </c>
      <c r="Z83" s="153" t="s">
        <v>143</v>
      </c>
      <c r="AA83" s="154" t="s">
        <v>142</v>
      </c>
      <c r="AB83" s="155"/>
    </row>
    <row r="84" spans="1:28">
      <c r="A84" s="141"/>
      <c r="B84" s="1065" t="s">
        <v>255</v>
      </c>
      <c r="C84" s="1066"/>
      <c r="D84" s="143"/>
      <c r="E84" s="143"/>
      <c r="F84" s="144"/>
      <c r="G84" s="141"/>
      <c r="H84" s="141"/>
      <c r="I84" s="156" t="s">
        <v>141</v>
      </c>
      <c r="J84" s="157" t="s">
        <v>140</v>
      </c>
      <c r="K84" s="159" t="s">
        <v>391</v>
      </c>
      <c r="L84" s="156" t="s">
        <v>139</v>
      </c>
      <c r="M84" s="158" t="s">
        <v>138</v>
      </c>
      <c r="N84" s="157" t="s">
        <v>137</v>
      </c>
      <c r="O84" s="159" t="s">
        <v>136</v>
      </c>
      <c r="P84" s="149"/>
      <c r="Q84" s="150"/>
      <c r="R84" s="160" t="s">
        <v>135</v>
      </c>
      <c r="S84" s="161" t="s">
        <v>134</v>
      </c>
      <c r="T84" s="162"/>
      <c r="U84" s="163"/>
      <c r="V84" s="152"/>
      <c r="W84" s="149"/>
      <c r="X84" s="149"/>
      <c r="Y84" s="149"/>
      <c r="Z84" s="154" t="s">
        <v>133</v>
      </c>
      <c r="AA84" s="155"/>
      <c r="AB84" s="155"/>
    </row>
    <row r="85" spans="1:28">
      <c r="A85" s="141"/>
      <c r="B85" s="142"/>
      <c r="C85" s="143"/>
      <c r="D85" s="143"/>
      <c r="E85" s="143"/>
      <c r="F85" s="144"/>
      <c r="G85" s="141"/>
      <c r="H85" s="141"/>
      <c r="I85" s="156" t="s">
        <v>132</v>
      </c>
      <c r="J85" s="157" t="s">
        <v>131</v>
      </c>
      <c r="K85" s="159" t="s">
        <v>392</v>
      </c>
      <c r="L85" s="156" t="s">
        <v>130</v>
      </c>
      <c r="M85" s="158" t="s">
        <v>129</v>
      </c>
      <c r="N85" s="157" t="s">
        <v>128</v>
      </c>
      <c r="O85" s="159" t="s">
        <v>127</v>
      </c>
      <c r="P85" s="149"/>
      <c r="Q85" s="149"/>
      <c r="R85" s="151"/>
      <c r="S85" s="151" t="s">
        <v>126</v>
      </c>
      <c r="T85" s="162"/>
      <c r="U85" s="163"/>
      <c r="V85" s="149"/>
      <c r="W85" s="149"/>
      <c r="X85" s="149"/>
      <c r="Y85" s="149"/>
      <c r="Z85" s="153"/>
      <c r="AA85" s="153"/>
      <c r="AB85" s="155"/>
    </row>
    <row r="86" spans="1:28">
      <c r="A86" s="141"/>
      <c r="B86" s="142"/>
      <c r="C86" s="143"/>
      <c r="D86" s="143" t="s">
        <v>125</v>
      </c>
      <c r="E86" s="143" t="s">
        <v>124</v>
      </c>
      <c r="F86" s="144" t="s">
        <v>123</v>
      </c>
      <c r="G86" s="141"/>
      <c r="H86" s="141"/>
      <c r="I86" s="164">
        <v>0.222</v>
      </c>
      <c r="J86" s="165">
        <v>0.499</v>
      </c>
      <c r="K86" s="167">
        <v>2.226</v>
      </c>
      <c r="L86" s="164">
        <v>0.88800000000000001</v>
      </c>
      <c r="M86" s="166">
        <v>1.5780000000000001</v>
      </c>
      <c r="N86" s="165">
        <v>2.4660000000000002</v>
      </c>
      <c r="O86" s="167">
        <v>3.8530000000000002</v>
      </c>
      <c r="P86" s="149"/>
      <c r="Q86" s="149"/>
      <c r="R86" s="151"/>
      <c r="S86" s="151"/>
      <c r="T86" s="168"/>
      <c r="U86" s="163"/>
      <c r="V86" s="149"/>
      <c r="W86" s="149"/>
      <c r="X86" s="149"/>
      <c r="Y86" s="149"/>
      <c r="Z86" s="155"/>
      <c r="AA86" s="155"/>
      <c r="AB86" s="155"/>
    </row>
    <row r="87" spans="1:28">
      <c r="A87" s="169"/>
      <c r="B87" s="170"/>
      <c r="C87" s="171"/>
      <c r="D87" s="171" t="s">
        <v>122</v>
      </c>
      <c r="E87" s="171" t="s">
        <v>122</v>
      </c>
      <c r="F87" s="172" t="s">
        <v>122</v>
      </c>
      <c r="G87" s="169"/>
      <c r="H87" s="169"/>
      <c r="I87" s="173" t="s">
        <v>120</v>
      </c>
      <c r="J87" s="174" t="s">
        <v>120</v>
      </c>
      <c r="K87" s="176" t="s">
        <v>120</v>
      </c>
      <c r="L87" s="173" t="s">
        <v>120</v>
      </c>
      <c r="M87" s="175" t="s">
        <v>120</v>
      </c>
      <c r="N87" s="174" t="s">
        <v>120</v>
      </c>
      <c r="O87" s="176" t="s">
        <v>120</v>
      </c>
      <c r="P87" s="177" t="s">
        <v>120</v>
      </c>
      <c r="Q87" s="177" t="s">
        <v>118</v>
      </c>
      <c r="R87" s="178" t="s">
        <v>119</v>
      </c>
      <c r="S87" s="178" t="s">
        <v>119</v>
      </c>
      <c r="T87" s="177" t="s">
        <v>117</v>
      </c>
      <c r="U87" s="177" t="s">
        <v>121</v>
      </c>
      <c r="V87" s="177" t="s">
        <v>120</v>
      </c>
      <c r="W87" s="178" t="s">
        <v>119</v>
      </c>
      <c r="X87" s="178" t="s">
        <v>119</v>
      </c>
      <c r="Y87" s="178" t="s">
        <v>119</v>
      </c>
      <c r="Z87" s="177" t="s">
        <v>118</v>
      </c>
      <c r="AA87" s="177" t="s">
        <v>117</v>
      </c>
      <c r="AB87" s="177" t="s">
        <v>117</v>
      </c>
    </row>
    <row r="88" spans="1:28">
      <c r="A88" s="47"/>
      <c r="B88" s="1045" t="s">
        <v>332</v>
      </c>
      <c r="C88" s="1046"/>
      <c r="D88" s="1046"/>
      <c r="E88" s="1046"/>
      <c r="F88" s="46"/>
      <c r="G88" s="45"/>
      <c r="H88" s="45"/>
      <c r="I88" s="43"/>
      <c r="J88" s="291"/>
      <c r="K88" s="292"/>
      <c r="L88" s="41"/>
      <c r="M88" s="41"/>
      <c r="N88" s="41"/>
      <c r="O88" s="42"/>
      <c r="P88" s="39"/>
      <c r="Q88" s="39"/>
      <c r="R88" s="40"/>
      <c r="S88" s="40"/>
      <c r="T88" s="39"/>
      <c r="U88" s="39"/>
      <c r="V88" s="39"/>
      <c r="W88" s="40"/>
      <c r="X88" s="40"/>
      <c r="Y88" s="40"/>
      <c r="Z88" s="39"/>
      <c r="AA88" s="39"/>
      <c r="AB88" s="39"/>
    </row>
    <row r="89" spans="1:28">
      <c r="A89" s="33"/>
      <c r="B89" s="36" t="s">
        <v>116</v>
      </c>
      <c r="C89" s="35"/>
      <c r="D89" s="25">
        <v>1.25</v>
      </c>
      <c r="E89" s="25">
        <v>1.25</v>
      </c>
      <c r="F89" s="24">
        <v>0.4</v>
      </c>
      <c r="G89" s="22">
        <v>104</v>
      </c>
      <c r="H89" s="22" t="s">
        <v>104</v>
      </c>
      <c r="I89" s="17"/>
      <c r="J89" s="32"/>
      <c r="K89" s="21"/>
      <c r="L89" s="17">
        <f>((F89+D89+F89)*8+(F89+E89+F89)*8)*G89*L86+((D89*2+E89*2)*2*G89)*L86</f>
        <v>3952.6655999999998</v>
      </c>
      <c r="M89" s="17"/>
      <c r="N89" s="34"/>
      <c r="O89" s="18"/>
      <c r="P89" s="16">
        <f t="shared" ref="P89:P98" si="32">SUM(I89:O89)</f>
        <v>3952.6655999999998</v>
      </c>
      <c r="Q89" s="16">
        <f>(P89*0.03)</f>
        <v>118.57996799999999</v>
      </c>
      <c r="R89" s="16">
        <f t="shared" ref="R89:R98" si="33">D89*E89*0.05*G89</f>
        <v>8.125</v>
      </c>
      <c r="S89" s="16">
        <f t="shared" ref="S89:S98" si="34">D89*E89*F89*G89</f>
        <v>65</v>
      </c>
      <c r="T89" s="16">
        <f t="shared" ref="T89:T98" si="35">((D89*F89)*2+(E89*F89)*2)*G89</f>
        <v>208</v>
      </c>
      <c r="U89" s="16">
        <f>T89*30%</f>
        <v>62.4</v>
      </c>
      <c r="V89" s="16">
        <f>(T89+U89)*0.25</f>
        <v>67.599999999999994</v>
      </c>
      <c r="W89" s="16">
        <f t="shared" ref="W89:W98" si="36">(D89*E89*0.05)*G89</f>
        <v>8.125</v>
      </c>
      <c r="X89" s="16">
        <f t="shared" ref="X89:X98" si="37">((D89*E89)*2)*G89</f>
        <v>325</v>
      </c>
      <c r="Y89" s="16">
        <v>0</v>
      </c>
      <c r="Z89" s="16">
        <f t="shared" ref="Z89:Z98" si="38">G89*1</f>
        <v>104</v>
      </c>
      <c r="AA89" s="16">
        <v>0</v>
      </c>
      <c r="AB89" s="16">
        <v>0</v>
      </c>
    </row>
    <row r="90" spans="1:28">
      <c r="A90" s="33"/>
      <c r="B90" s="36" t="s">
        <v>334</v>
      </c>
      <c r="C90" s="35"/>
      <c r="D90" s="25">
        <v>1</v>
      </c>
      <c r="E90" s="25">
        <v>3</v>
      </c>
      <c r="F90" s="24">
        <v>0.6</v>
      </c>
      <c r="G90" s="22">
        <v>2</v>
      </c>
      <c r="H90" s="22" t="s">
        <v>104</v>
      </c>
      <c r="I90" s="17"/>
      <c r="J90" s="32"/>
      <c r="K90" s="21"/>
      <c r="L90" s="17">
        <f>((D90*2+E90*2)*2*G90)*L86</f>
        <v>28.416</v>
      </c>
      <c r="M90" s="17"/>
      <c r="N90" s="34">
        <f>((D90+E90+F90)*5+(D90+E90+F90)*11)*N86+((F90*2+G90*2)*N86)</f>
        <v>194.32080000000002</v>
      </c>
      <c r="O90" s="18"/>
      <c r="P90" s="16">
        <f t="shared" si="32"/>
        <v>222.73680000000002</v>
      </c>
      <c r="Q90" s="16">
        <f t="shared" ref="Q90:Q98" si="39">(P90*0.03)</f>
        <v>6.6821039999999998</v>
      </c>
      <c r="R90" s="16">
        <f t="shared" si="33"/>
        <v>0.30000000000000004</v>
      </c>
      <c r="S90" s="16">
        <f t="shared" si="34"/>
        <v>3.5999999999999996</v>
      </c>
      <c r="T90" s="16">
        <f t="shared" si="35"/>
        <v>9.6</v>
      </c>
      <c r="U90" s="16">
        <f t="shared" ref="U90:U98" si="40">T90*30%</f>
        <v>2.88</v>
      </c>
      <c r="V90" s="16">
        <f>(T90+U90)*0.25</f>
        <v>3.12</v>
      </c>
      <c r="W90" s="16">
        <f t="shared" si="36"/>
        <v>0.30000000000000004</v>
      </c>
      <c r="X90" s="16">
        <f t="shared" si="37"/>
        <v>12</v>
      </c>
      <c r="Y90" s="16"/>
      <c r="Z90" s="16">
        <f t="shared" si="38"/>
        <v>2</v>
      </c>
      <c r="AA90" s="16">
        <v>0</v>
      </c>
      <c r="AB90" s="16">
        <v>0</v>
      </c>
    </row>
    <row r="91" spans="1:28">
      <c r="A91" s="33"/>
      <c r="B91" s="36" t="s">
        <v>335</v>
      </c>
      <c r="C91" s="35"/>
      <c r="D91" s="25">
        <v>1.7</v>
      </c>
      <c r="E91" s="25">
        <v>1.7</v>
      </c>
      <c r="F91" s="24">
        <v>0.45</v>
      </c>
      <c r="G91" s="22">
        <v>12</v>
      </c>
      <c r="H91" s="22" t="s">
        <v>104</v>
      </c>
      <c r="I91" s="17"/>
      <c r="J91" s="32"/>
      <c r="K91" s="21"/>
      <c r="L91" s="17">
        <f>((D91*2+E91*2)*2*G91)*L86</f>
        <v>144.92159999999998</v>
      </c>
      <c r="M91" s="37">
        <f>((F91+E91+F91)*8+(F91+D91+F91)*8)*G91*$M$8</f>
        <v>787.73760000000016</v>
      </c>
      <c r="N91" s="19"/>
      <c r="O91" s="18"/>
      <c r="P91" s="16">
        <f t="shared" si="32"/>
        <v>932.65920000000017</v>
      </c>
      <c r="Q91" s="16">
        <f t="shared" si="39"/>
        <v>27.979776000000005</v>
      </c>
      <c r="R91" s="16">
        <f t="shared" si="33"/>
        <v>1.734</v>
      </c>
      <c r="S91" s="16">
        <f t="shared" si="34"/>
        <v>15.606</v>
      </c>
      <c r="T91" s="16">
        <f t="shared" si="35"/>
        <v>36.72</v>
      </c>
      <c r="U91" s="16">
        <f t="shared" si="40"/>
        <v>11.016</v>
      </c>
      <c r="V91" s="16">
        <f t="shared" ref="V91:V98" si="41">(T91+U91)*0.25</f>
        <v>11.933999999999999</v>
      </c>
      <c r="W91" s="16">
        <f t="shared" si="36"/>
        <v>1.734</v>
      </c>
      <c r="X91" s="16">
        <f t="shared" si="37"/>
        <v>69.359999999999985</v>
      </c>
      <c r="Y91" s="16"/>
      <c r="Z91" s="16">
        <f t="shared" si="38"/>
        <v>12</v>
      </c>
      <c r="AA91" s="16">
        <v>0</v>
      </c>
      <c r="AB91" s="16">
        <v>0</v>
      </c>
    </row>
    <row r="92" spans="1:28">
      <c r="A92" s="33"/>
      <c r="B92" s="36" t="s">
        <v>115</v>
      </c>
      <c r="C92" s="35"/>
      <c r="D92" s="25">
        <v>1.9</v>
      </c>
      <c r="E92" s="25">
        <v>1.9</v>
      </c>
      <c r="F92" s="24">
        <v>0.5</v>
      </c>
      <c r="G92" s="22">
        <v>22</v>
      </c>
      <c r="H92" s="22" t="s">
        <v>104</v>
      </c>
      <c r="I92" s="17"/>
      <c r="J92" s="32"/>
      <c r="K92" s="21"/>
      <c r="L92" s="17">
        <f>((D92*2+E92*2)*2*G92)*L86</f>
        <v>296.94720000000001</v>
      </c>
      <c r="M92" s="37">
        <f>((F92+E92+F92)*10+(F92+D92+F92)*10)*G92*M86</f>
        <v>2013.528</v>
      </c>
      <c r="N92" s="19"/>
      <c r="O92" s="18"/>
      <c r="P92" s="16">
        <f t="shared" si="32"/>
        <v>2310.4751999999999</v>
      </c>
      <c r="Q92" s="16">
        <f t="shared" si="39"/>
        <v>69.314255999999986</v>
      </c>
      <c r="R92" s="16">
        <f t="shared" si="33"/>
        <v>3.9710000000000001</v>
      </c>
      <c r="S92" s="16">
        <f t="shared" si="34"/>
        <v>39.71</v>
      </c>
      <c r="T92" s="16">
        <f t="shared" si="35"/>
        <v>83.6</v>
      </c>
      <c r="U92" s="16">
        <f t="shared" si="40"/>
        <v>25.08</v>
      </c>
      <c r="V92" s="16">
        <f t="shared" si="41"/>
        <v>27.169999999999998</v>
      </c>
      <c r="W92" s="16">
        <f t="shared" si="36"/>
        <v>3.9710000000000001</v>
      </c>
      <c r="X92" s="16">
        <f t="shared" si="37"/>
        <v>158.84</v>
      </c>
      <c r="Y92" s="16"/>
      <c r="Z92" s="16">
        <f t="shared" si="38"/>
        <v>22</v>
      </c>
      <c r="AA92" s="16">
        <v>0</v>
      </c>
      <c r="AB92" s="16">
        <v>0</v>
      </c>
    </row>
    <row r="93" spans="1:28">
      <c r="A93" s="33"/>
      <c r="B93" s="36" t="s">
        <v>114</v>
      </c>
      <c r="C93" s="35"/>
      <c r="D93" s="25">
        <v>2.5</v>
      </c>
      <c r="E93" s="25">
        <v>2.5</v>
      </c>
      <c r="F93" s="24">
        <v>0.6</v>
      </c>
      <c r="G93" s="22">
        <v>40</v>
      </c>
      <c r="H93" s="22" t="s">
        <v>104</v>
      </c>
      <c r="I93" s="17"/>
      <c r="J93" s="32"/>
      <c r="K93" s="21"/>
      <c r="L93" s="17">
        <f>((D93*2+E93*2)*2*G93)*L86</f>
        <v>710.4</v>
      </c>
      <c r="M93" s="17"/>
      <c r="N93" s="17">
        <f>((D93+E93+F93)*13+(D93+E93+F93)*13)*G93*N86</f>
        <v>14361.984</v>
      </c>
      <c r="O93" s="18"/>
      <c r="P93" s="16">
        <f t="shared" si="32"/>
        <v>15072.384</v>
      </c>
      <c r="Q93" s="16">
        <f t="shared" si="39"/>
        <v>452.17151999999999</v>
      </c>
      <c r="R93" s="16">
        <f t="shared" si="33"/>
        <v>12.5</v>
      </c>
      <c r="S93" s="16">
        <f t="shared" si="34"/>
        <v>150</v>
      </c>
      <c r="T93" s="16">
        <f t="shared" si="35"/>
        <v>240</v>
      </c>
      <c r="U93" s="16">
        <f t="shared" si="40"/>
        <v>72</v>
      </c>
      <c r="V93" s="16">
        <f t="shared" si="41"/>
        <v>78</v>
      </c>
      <c r="W93" s="16">
        <f t="shared" si="36"/>
        <v>12.5</v>
      </c>
      <c r="X93" s="16">
        <f t="shared" si="37"/>
        <v>500</v>
      </c>
      <c r="Y93" s="16"/>
      <c r="Z93" s="16">
        <f t="shared" si="38"/>
        <v>40</v>
      </c>
      <c r="AA93" s="16">
        <v>0</v>
      </c>
      <c r="AB93" s="16">
        <v>0</v>
      </c>
    </row>
    <row r="94" spans="1:28">
      <c r="A94" s="33"/>
      <c r="B94" s="36" t="s">
        <v>336</v>
      </c>
      <c r="C94" s="35"/>
      <c r="D94" s="25">
        <v>2</v>
      </c>
      <c r="E94" s="25">
        <v>3</v>
      </c>
      <c r="F94" s="24">
        <v>0.6</v>
      </c>
      <c r="G94" s="22">
        <v>2</v>
      </c>
      <c r="H94" s="22" t="s">
        <v>104</v>
      </c>
      <c r="I94" s="17"/>
      <c r="J94" s="32"/>
      <c r="K94" s="21"/>
      <c r="L94" s="17">
        <f>((D94*2+E94*2)*2*G94)*L86</f>
        <v>35.520000000000003</v>
      </c>
      <c r="M94" s="17"/>
      <c r="N94" s="17">
        <f>(D94+E94+F94)*13*G94*N86</f>
        <v>359.0496</v>
      </c>
      <c r="O94" s="17">
        <f>(D94+E94+F94)*13*G94*O86</f>
        <v>560.99680000000001</v>
      </c>
      <c r="P94" s="16">
        <f t="shared" si="32"/>
        <v>955.56639999999993</v>
      </c>
      <c r="Q94" s="16">
        <f t="shared" si="39"/>
        <v>28.666991999999997</v>
      </c>
      <c r="R94" s="16">
        <f t="shared" si="33"/>
        <v>0.60000000000000009</v>
      </c>
      <c r="S94" s="16">
        <f t="shared" si="34"/>
        <v>7.1999999999999993</v>
      </c>
      <c r="T94" s="16">
        <f t="shared" si="35"/>
        <v>12</v>
      </c>
      <c r="U94" s="16">
        <f t="shared" si="40"/>
        <v>3.5999999999999996</v>
      </c>
      <c r="V94" s="16">
        <f t="shared" si="41"/>
        <v>3.9</v>
      </c>
      <c r="W94" s="16">
        <f t="shared" si="36"/>
        <v>0.60000000000000009</v>
      </c>
      <c r="X94" s="16">
        <f t="shared" si="37"/>
        <v>24</v>
      </c>
      <c r="Y94" s="16"/>
      <c r="Z94" s="16">
        <f t="shared" si="38"/>
        <v>2</v>
      </c>
      <c r="AA94" s="16">
        <v>0</v>
      </c>
      <c r="AB94" s="16">
        <v>0</v>
      </c>
    </row>
    <row r="95" spans="1:28">
      <c r="A95" s="33"/>
      <c r="B95" s="36" t="s">
        <v>113</v>
      </c>
      <c r="C95" s="35"/>
      <c r="D95" s="25">
        <v>2.8</v>
      </c>
      <c r="E95" s="25">
        <v>2.8</v>
      </c>
      <c r="F95" s="24">
        <v>0.8</v>
      </c>
      <c r="G95" s="22">
        <v>56</v>
      </c>
      <c r="H95" s="22" t="s">
        <v>104</v>
      </c>
      <c r="I95" s="17"/>
      <c r="J95" s="32"/>
      <c r="K95" s="21"/>
      <c r="L95" s="17">
        <f>((D95*2+E95*2)*2*G95)*L86</f>
        <v>1113.9071999999999</v>
      </c>
      <c r="M95" s="17"/>
      <c r="N95" s="17">
        <f>((D95+E95+F95)*14+(D95+E95+F95)*14)*G95*N86</f>
        <v>24746.803199999998</v>
      </c>
      <c r="O95" s="18"/>
      <c r="P95" s="16">
        <f t="shared" si="32"/>
        <v>25860.7104</v>
      </c>
      <c r="Q95" s="16">
        <f t="shared" si="39"/>
        <v>775.82131199999992</v>
      </c>
      <c r="R95" s="16">
        <f t="shared" si="33"/>
        <v>21.951999999999998</v>
      </c>
      <c r="S95" s="16">
        <f t="shared" si="34"/>
        <v>351.23199999999997</v>
      </c>
      <c r="T95" s="16">
        <f t="shared" si="35"/>
        <v>501.75999999999993</v>
      </c>
      <c r="U95" s="16">
        <f t="shared" si="40"/>
        <v>150.52799999999996</v>
      </c>
      <c r="V95" s="16">
        <f t="shared" si="41"/>
        <v>163.07199999999997</v>
      </c>
      <c r="W95" s="16">
        <f t="shared" si="36"/>
        <v>21.951999999999998</v>
      </c>
      <c r="X95" s="16">
        <f t="shared" si="37"/>
        <v>878.07999999999993</v>
      </c>
      <c r="Y95" s="16"/>
      <c r="Z95" s="16">
        <f t="shared" si="38"/>
        <v>56</v>
      </c>
      <c r="AA95" s="16">
        <v>0</v>
      </c>
      <c r="AB95" s="16">
        <v>0</v>
      </c>
    </row>
    <row r="96" spans="1:28">
      <c r="A96" s="33"/>
      <c r="B96" s="36" t="s">
        <v>112</v>
      </c>
      <c r="C96" s="35"/>
      <c r="D96" s="25">
        <v>3.8</v>
      </c>
      <c r="E96" s="25">
        <v>2.5</v>
      </c>
      <c r="F96" s="24">
        <v>0.7</v>
      </c>
      <c r="G96" s="22">
        <v>2</v>
      </c>
      <c r="H96" s="22" t="s">
        <v>104</v>
      </c>
      <c r="I96" s="17"/>
      <c r="J96" s="32"/>
      <c r="K96" s="21"/>
      <c r="L96" s="17">
        <f>((D96*2+E96*2)*2*G96)*L86</f>
        <v>44.755200000000002</v>
      </c>
      <c r="M96" s="17"/>
      <c r="N96" s="17">
        <f>((D96+E96+F96)*14+(D96+E96+F96)*16)*G96*N86</f>
        <v>1035.72</v>
      </c>
      <c r="O96" s="18"/>
      <c r="P96" s="16">
        <f t="shared" si="32"/>
        <v>1080.4752000000001</v>
      </c>
      <c r="Q96" s="16">
        <f t="shared" si="39"/>
        <v>32.414256000000002</v>
      </c>
      <c r="R96" s="16">
        <f t="shared" si="33"/>
        <v>0.95000000000000007</v>
      </c>
      <c r="S96" s="16">
        <f t="shared" si="34"/>
        <v>13.299999999999999</v>
      </c>
      <c r="T96" s="16">
        <f t="shared" si="35"/>
        <v>17.64</v>
      </c>
      <c r="U96" s="16">
        <f t="shared" si="40"/>
        <v>5.2919999999999998</v>
      </c>
      <c r="V96" s="16">
        <f t="shared" si="41"/>
        <v>5.7330000000000005</v>
      </c>
      <c r="W96" s="16">
        <f t="shared" si="36"/>
        <v>0.95000000000000007</v>
      </c>
      <c r="X96" s="16">
        <f t="shared" si="37"/>
        <v>38</v>
      </c>
      <c r="Y96" s="16"/>
      <c r="Z96" s="16">
        <f t="shared" si="38"/>
        <v>2</v>
      </c>
      <c r="AA96" s="16">
        <v>0</v>
      </c>
      <c r="AB96" s="16">
        <v>0</v>
      </c>
    </row>
    <row r="97" spans="1:28">
      <c r="A97" s="33"/>
      <c r="B97" s="36" t="s">
        <v>337</v>
      </c>
      <c r="C97" s="35"/>
      <c r="D97" s="25">
        <v>3.2</v>
      </c>
      <c r="E97" s="25">
        <v>3.8</v>
      </c>
      <c r="F97" s="24">
        <v>0.7</v>
      </c>
      <c r="G97" s="22">
        <v>1</v>
      </c>
      <c r="H97" s="22" t="s">
        <v>104</v>
      </c>
      <c r="I97" s="17"/>
      <c r="J97" s="32"/>
      <c r="K97" s="21"/>
      <c r="L97" s="17">
        <f>((D97*2+E97*2)*2*G97)*L86</f>
        <v>24.864000000000001</v>
      </c>
      <c r="M97" s="17"/>
      <c r="N97" s="19"/>
      <c r="O97" s="17">
        <f>((D97+E97+F97)*25+(D97+E97+F97)*35)*G97*O86</f>
        <v>1780.086</v>
      </c>
      <c r="P97" s="16">
        <f t="shared" si="32"/>
        <v>1804.95</v>
      </c>
      <c r="Q97" s="16">
        <f t="shared" si="39"/>
        <v>54.148499999999999</v>
      </c>
      <c r="R97" s="16">
        <f t="shared" si="33"/>
        <v>0.6080000000000001</v>
      </c>
      <c r="S97" s="16">
        <f t="shared" si="34"/>
        <v>8.5119999999999987</v>
      </c>
      <c r="T97" s="16">
        <f t="shared" si="35"/>
        <v>9.7999999999999989</v>
      </c>
      <c r="U97" s="16">
        <f t="shared" si="40"/>
        <v>2.9399999999999995</v>
      </c>
      <c r="V97" s="16">
        <f t="shared" si="41"/>
        <v>3.1849999999999996</v>
      </c>
      <c r="W97" s="16">
        <f t="shared" si="36"/>
        <v>0.6080000000000001</v>
      </c>
      <c r="X97" s="16">
        <f t="shared" si="37"/>
        <v>24.32</v>
      </c>
      <c r="Y97" s="16"/>
      <c r="Z97" s="16">
        <f t="shared" si="38"/>
        <v>1</v>
      </c>
      <c r="AA97" s="16">
        <v>0</v>
      </c>
      <c r="AB97" s="16">
        <v>0</v>
      </c>
    </row>
    <row r="98" spans="1:28">
      <c r="A98" s="33"/>
      <c r="B98" s="36" t="s">
        <v>338</v>
      </c>
      <c r="C98" s="35"/>
      <c r="D98" s="25">
        <v>3.3</v>
      </c>
      <c r="E98" s="25">
        <v>4.75</v>
      </c>
      <c r="F98" s="24">
        <v>0.7</v>
      </c>
      <c r="G98" s="22">
        <v>1</v>
      </c>
      <c r="H98" s="22" t="s">
        <v>104</v>
      </c>
      <c r="I98" s="17"/>
      <c r="J98" s="32"/>
      <c r="K98" s="21"/>
      <c r="L98" s="17">
        <f>((D98*2+E98*2)*2*G98)*L86</f>
        <v>28.593600000000002</v>
      </c>
      <c r="M98" s="17"/>
      <c r="N98" s="19"/>
      <c r="O98" s="17">
        <f>((D98+E98+F98)*40+(D98+E98+F98)*40)*G98*O86</f>
        <v>2697.1000000000004</v>
      </c>
      <c r="P98" s="16">
        <f t="shared" si="32"/>
        <v>2725.6936000000005</v>
      </c>
      <c r="Q98" s="16">
        <f t="shared" si="39"/>
        <v>81.770808000000017</v>
      </c>
      <c r="R98" s="16">
        <f t="shared" si="33"/>
        <v>0.78374999999999995</v>
      </c>
      <c r="S98" s="16">
        <f t="shared" si="34"/>
        <v>10.972499999999998</v>
      </c>
      <c r="T98" s="16">
        <f t="shared" si="35"/>
        <v>11.27</v>
      </c>
      <c r="U98" s="16">
        <f t="shared" si="40"/>
        <v>3.3809999999999998</v>
      </c>
      <c r="V98" s="16">
        <f t="shared" si="41"/>
        <v>3.66275</v>
      </c>
      <c r="W98" s="16">
        <f t="shared" si="36"/>
        <v>0.78374999999999995</v>
      </c>
      <c r="X98" s="16">
        <f t="shared" si="37"/>
        <v>31.349999999999998</v>
      </c>
      <c r="Y98" s="16"/>
      <c r="Z98" s="16">
        <f t="shared" si="38"/>
        <v>1</v>
      </c>
      <c r="AA98" s="16">
        <v>0</v>
      </c>
      <c r="AB98" s="16">
        <v>0</v>
      </c>
    </row>
    <row r="99" spans="1:28">
      <c r="A99" s="33"/>
      <c r="B99" s="36" t="s">
        <v>264</v>
      </c>
      <c r="C99" s="35"/>
      <c r="D99" s="25"/>
      <c r="E99" s="25"/>
      <c r="F99" s="24"/>
      <c r="G99" s="22"/>
      <c r="H99" s="22"/>
      <c r="I99" s="17"/>
      <c r="J99" s="32"/>
      <c r="K99" s="21"/>
      <c r="L99" s="17"/>
      <c r="M99" s="17"/>
      <c r="N99" s="19"/>
      <c r="O99" s="128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>
      <c r="A100" s="33"/>
      <c r="B100" s="27" t="s">
        <v>339</v>
      </c>
      <c r="C100" s="26"/>
      <c r="D100" s="25">
        <v>0.4</v>
      </c>
      <c r="E100" s="25">
        <v>0.8</v>
      </c>
      <c r="F100" s="24"/>
      <c r="G100" s="23">
        <v>482.45</v>
      </c>
      <c r="H100" s="22" t="s">
        <v>62</v>
      </c>
      <c r="I100" s="19"/>
      <c r="J100" s="32">
        <f>((D100+E100+D100+E100)*G100/0.1)*2*J86</f>
        <v>11555.642400000001</v>
      </c>
      <c r="K100" s="21"/>
      <c r="L100" s="17">
        <f>(G100*2)*L86</f>
        <v>856.83119999999997</v>
      </c>
      <c r="M100" s="19"/>
      <c r="N100" s="19"/>
      <c r="O100" s="19">
        <f>(G100*12+1)*O86</f>
        <v>22310.411199999999</v>
      </c>
      <c r="P100" s="16">
        <f t="shared" ref="P100:P116" si="42">SUM(I100:O100)</f>
        <v>34722.8848</v>
      </c>
      <c r="Q100" s="16">
        <f t="shared" ref="Q100:Q112" si="43">(P100*0.03)</f>
        <v>1041.6865439999999</v>
      </c>
      <c r="R100" s="16"/>
      <c r="S100" s="16">
        <f t="shared" ref="S100:S116" si="44">D100*E100*G100</f>
        <v>154.38400000000001</v>
      </c>
      <c r="T100" s="16">
        <f t="shared" ref="T100:T106" si="45">(D100+E100+E100)*G100</f>
        <v>964.9</v>
      </c>
      <c r="U100" s="16">
        <f t="shared" ref="U100:U112" si="46">T100*30%</f>
        <v>289.46999999999997</v>
      </c>
      <c r="V100" s="16">
        <f t="shared" ref="V100:V112" si="47">(T100+U100)*0.25</f>
        <v>313.59249999999997</v>
      </c>
      <c r="W100" s="16"/>
      <c r="X100" s="16">
        <v>0</v>
      </c>
      <c r="Y100" s="16">
        <v>0</v>
      </c>
      <c r="Z100" s="16">
        <v>0</v>
      </c>
      <c r="AA100" s="16">
        <v>0</v>
      </c>
      <c r="AB100" s="16">
        <v>0</v>
      </c>
    </row>
    <row r="101" spans="1:28">
      <c r="A101" s="33"/>
      <c r="B101" s="27" t="s">
        <v>340</v>
      </c>
      <c r="C101" s="26"/>
      <c r="D101" s="25">
        <v>0.2</v>
      </c>
      <c r="E101" s="25">
        <v>0.5</v>
      </c>
      <c r="F101" s="24"/>
      <c r="G101" s="23">
        <v>9.5</v>
      </c>
      <c r="H101" s="22" t="s">
        <v>62</v>
      </c>
      <c r="I101" s="19"/>
      <c r="J101" s="32">
        <f>((D101+E101+D101+E101)*G101/0.2)*J86</f>
        <v>33.183499999999995</v>
      </c>
      <c r="K101" s="21"/>
      <c r="L101" s="17"/>
      <c r="M101" s="19"/>
      <c r="N101" s="19">
        <f>(G101*4)*N86</f>
        <v>93.708000000000013</v>
      </c>
      <c r="O101" s="18"/>
      <c r="P101" s="16">
        <f t="shared" si="42"/>
        <v>126.89150000000001</v>
      </c>
      <c r="Q101" s="16">
        <f t="shared" si="43"/>
        <v>3.8067450000000003</v>
      </c>
      <c r="R101" s="16"/>
      <c r="S101" s="16">
        <f t="shared" si="44"/>
        <v>0.95000000000000007</v>
      </c>
      <c r="T101" s="16">
        <f t="shared" si="45"/>
        <v>11.4</v>
      </c>
      <c r="U101" s="16">
        <f t="shared" si="46"/>
        <v>3.42</v>
      </c>
      <c r="V101" s="16">
        <f t="shared" si="47"/>
        <v>3.7050000000000001</v>
      </c>
      <c r="W101" s="16"/>
      <c r="X101" s="16">
        <v>0</v>
      </c>
      <c r="Y101" s="16">
        <v>0</v>
      </c>
      <c r="Z101" s="16">
        <v>0</v>
      </c>
      <c r="AA101" s="16">
        <v>0</v>
      </c>
      <c r="AB101" s="16">
        <v>0</v>
      </c>
    </row>
    <row r="102" spans="1:28">
      <c r="A102" s="33"/>
      <c r="B102" s="27" t="s">
        <v>341</v>
      </c>
      <c r="C102" s="26"/>
      <c r="D102" s="25">
        <v>0.3</v>
      </c>
      <c r="E102" s="25">
        <v>0.6</v>
      </c>
      <c r="F102" s="24"/>
      <c r="G102" s="23">
        <v>18</v>
      </c>
      <c r="H102" s="22" t="s">
        <v>62</v>
      </c>
      <c r="I102" s="19"/>
      <c r="J102" s="32">
        <f>((D102+E102+D102+E102)*G102/0.1)*J86</f>
        <v>161.67599999999996</v>
      </c>
      <c r="K102" s="21"/>
      <c r="L102" s="17"/>
      <c r="M102" s="19"/>
      <c r="N102" s="19"/>
      <c r="O102" s="19">
        <f>(G102*8)*O86</f>
        <v>554.83199999999999</v>
      </c>
      <c r="P102" s="16">
        <f t="shared" si="42"/>
        <v>716.50799999999992</v>
      </c>
      <c r="Q102" s="16">
        <f t="shared" si="43"/>
        <v>21.495239999999995</v>
      </c>
      <c r="R102" s="16"/>
      <c r="S102" s="16">
        <f t="shared" si="44"/>
        <v>3.2399999999999998</v>
      </c>
      <c r="T102" s="16">
        <f t="shared" si="45"/>
        <v>27</v>
      </c>
      <c r="U102" s="16">
        <f t="shared" si="46"/>
        <v>8.1</v>
      </c>
      <c r="V102" s="16">
        <f t="shared" si="47"/>
        <v>8.7750000000000004</v>
      </c>
      <c r="W102" s="16"/>
      <c r="X102" s="16">
        <v>0</v>
      </c>
      <c r="Y102" s="16">
        <v>0</v>
      </c>
      <c r="Z102" s="16">
        <v>0</v>
      </c>
      <c r="AA102" s="16">
        <v>0</v>
      </c>
      <c r="AB102" s="16">
        <v>0</v>
      </c>
    </row>
    <row r="103" spans="1:28">
      <c r="A103" s="33"/>
      <c r="B103" s="27" t="s">
        <v>342</v>
      </c>
      <c r="C103" s="26"/>
      <c r="D103" s="25">
        <v>0.2</v>
      </c>
      <c r="E103" s="25">
        <v>0.5</v>
      </c>
      <c r="F103" s="24"/>
      <c r="G103" s="23">
        <v>46.75</v>
      </c>
      <c r="H103" s="22" t="s">
        <v>62</v>
      </c>
      <c r="I103" s="19"/>
      <c r="J103" s="32">
        <f>((D103+E103+D103+E103)*G103/0.2)*J86</f>
        <v>163.29775000000001</v>
      </c>
      <c r="K103" s="21"/>
      <c r="L103" s="17"/>
      <c r="M103" s="19"/>
      <c r="N103" s="19">
        <f>(G103*6)*N86</f>
        <v>691.71300000000008</v>
      </c>
      <c r="O103" s="18"/>
      <c r="P103" s="16">
        <f t="shared" si="42"/>
        <v>855.01075000000014</v>
      </c>
      <c r="Q103" s="16">
        <f t="shared" si="43"/>
        <v>25.650322500000005</v>
      </c>
      <c r="R103" s="16"/>
      <c r="S103" s="16">
        <f t="shared" si="44"/>
        <v>4.6749999999999998</v>
      </c>
      <c r="T103" s="16">
        <f t="shared" si="45"/>
        <v>56.1</v>
      </c>
      <c r="U103" s="16">
        <f t="shared" si="46"/>
        <v>16.829999999999998</v>
      </c>
      <c r="V103" s="16">
        <f t="shared" si="47"/>
        <v>18.232500000000002</v>
      </c>
      <c r="W103" s="16"/>
      <c r="X103" s="16">
        <v>0</v>
      </c>
      <c r="Y103" s="16">
        <v>0</v>
      </c>
      <c r="Z103" s="16">
        <v>0</v>
      </c>
      <c r="AA103" s="16">
        <v>0</v>
      </c>
      <c r="AB103" s="16">
        <v>0</v>
      </c>
    </row>
    <row r="104" spans="1:28">
      <c r="A104" s="33"/>
      <c r="B104" s="27" t="s">
        <v>343</v>
      </c>
      <c r="C104" s="26"/>
      <c r="D104" s="25">
        <v>0.3</v>
      </c>
      <c r="E104" s="25">
        <v>0.6</v>
      </c>
      <c r="F104" s="24"/>
      <c r="G104" s="23">
        <v>133</v>
      </c>
      <c r="H104" s="22" t="s">
        <v>62</v>
      </c>
      <c r="I104" s="19"/>
      <c r="J104" s="32">
        <f>((D104+E104+D104+E104)*G104/0.2)*J86</f>
        <v>597.30299999999988</v>
      </c>
      <c r="K104" s="21"/>
      <c r="L104" s="17"/>
      <c r="M104" s="19"/>
      <c r="N104" s="19"/>
      <c r="O104" s="18">
        <f>(G104*6)*O86</f>
        <v>3074.694</v>
      </c>
      <c r="P104" s="16">
        <f t="shared" si="42"/>
        <v>3671.9969999999998</v>
      </c>
      <c r="Q104" s="16">
        <f t="shared" si="43"/>
        <v>110.15991</v>
      </c>
      <c r="R104" s="16"/>
      <c r="S104" s="16">
        <f t="shared" si="44"/>
        <v>23.939999999999998</v>
      </c>
      <c r="T104" s="16">
        <f t="shared" si="45"/>
        <v>199.5</v>
      </c>
      <c r="U104" s="16">
        <f t="shared" si="46"/>
        <v>59.849999999999994</v>
      </c>
      <c r="V104" s="16">
        <f t="shared" si="47"/>
        <v>64.837500000000006</v>
      </c>
      <c r="W104" s="16"/>
      <c r="X104" s="16">
        <v>0</v>
      </c>
      <c r="Y104" s="16">
        <v>0</v>
      </c>
      <c r="Z104" s="16">
        <v>0</v>
      </c>
      <c r="AA104" s="16">
        <v>0</v>
      </c>
      <c r="AB104" s="16">
        <v>0</v>
      </c>
    </row>
    <row r="105" spans="1:28">
      <c r="A105" s="33"/>
      <c r="B105" s="27" t="s">
        <v>344</v>
      </c>
      <c r="C105" s="26"/>
      <c r="D105" s="25">
        <v>0.2</v>
      </c>
      <c r="E105" s="25">
        <v>0.4</v>
      </c>
      <c r="F105" s="24"/>
      <c r="G105" s="23">
        <v>19</v>
      </c>
      <c r="H105" s="22" t="s">
        <v>62</v>
      </c>
      <c r="I105" s="19"/>
      <c r="J105" s="32">
        <f>((D105+E105+D105+E105)*G105/0.2)*J86</f>
        <v>56.88600000000001</v>
      </c>
      <c r="K105" s="21"/>
      <c r="L105" s="17"/>
      <c r="M105" s="19">
        <f>(G105*4)*M86</f>
        <v>119.92800000000001</v>
      </c>
      <c r="N105" s="19"/>
      <c r="O105" s="18"/>
      <c r="P105" s="16">
        <f t="shared" si="42"/>
        <v>176.81400000000002</v>
      </c>
      <c r="Q105" s="16">
        <f t="shared" si="43"/>
        <v>5.3044200000000004</v>
      </c>
      <c r="R105" s="16"/>
      <c r="S105" s="16">
        <f t="shared" si="44"/>
        <v>1.5200000000000002</v>
      </c>
      <c r="T105" s="16">
        <f t="shared" si="45"/>
        <v>19</v>
      </c>
      <c r="U105" s="16">
        <f t="shared" si="46"/>
        <v>5.7</v>
      </c>
      <c r="V105" s="16">
        <f t="shared" si="47"/>
        <v>6.1749999999999998</v>
      </c>
      <c r="W105" s="16"/>
      <c r="X105" s="16">
        <v>0</v>
      </c>
      <c r="Y105" s="16">
        <v>0</v>
      </c>
      <c r="Z105" s="16">
        <v>0</v>
      </c>
      <c r="AA105" s="16">
        <v>0</v>
      </c>
      <c r="AB105" s="16">
        <v>0</v>
      </c>
    </row>
    <row r="106" spans="1:28">
      <c r="A106" s="33"/>
      <c r="B106" s="27" t="s">
        <v>345</v>
      </c>
      <c r="C106" s="26"/>
      <c r="D106" s="25">
        <v>0.45</v>
      </c>
      <c r="E106" s="25">
        <v>0.9</v>
      </c>
      <c r="F106" s="24"/>
      <c r="G106" s="23">
        <v>170.35</v>
      </c>
      <c r="H106" s="22" t="s">
        <v>62</v>
      </c>
      <c r="I106" s="19"/>
      <c r="J106" s="32">
        <f>((D106+E106+D106+E106)*G106/0.2)*2*J86</f>
        <v>2295.1255499999997</v>
      </c>
      <c r="K106" s="21"/>
      <c r="L106" s="17">
        <f>(G106*2)*L86</f>
        <v>302.54160000000002</v>
      </c>
      <c r="M106" s="19"/>
      <c r="N106" s="19"/>
      <c r="O106" s="18">
        <f>(G106*10)*O86</f>
        <v>6563.5855000000001</v>
      </c>
      <c r="P106" s="16">
        <f t="shared" si="42"/>
        <v>9161.2526500000004</v>
      </c>
      <c r="Q106" s="16">
        <f t="shared" si="43"/>
        <v>274.8375795</v>
      </c>
      <c r="R106" s="16"/>
      <c r="S106" s="16">
        <f t="shared" si="44"/>
        <v>68.991749999999996</v>
      </c>
      <c r="T106" s="16">
        <f t="shared" si="45"/>
        <v>383.28749999999997</v>
      </c>
      <c r="U106" s="16">
        <f t="shared" si="46"/>
        <v>114.98624999999998</v>
      </c>
      <c r="V106" s="16">
        <f t="shared" si="47"/>
        <v>124.56843749999999</v>
      </c>
      <c r="W106" s="16"/>
      <c r="X106" s="16">
        <v>0</v>
      </c>
      <c r="Y106" s="16">
        <v>0</v>
      </c>
      <c r="Z106" s="16">
        <v>0</v>
      </c>
      <c r="AA106" s="16">
        <v>0</v>
      </c>
      <c r="AB106" s="16">
        <v>0</v>
      </c>
    </row>
    <row r="107" spans="1:28">
      <c r="A107" s="33"/>
      <c r="B107" s="27" t="s">
        <v>346</v>
      </c>
      <c r="C107" s="26"/>
      <c r="D107" s="25">
        <v>0.3</v>
      </c>
      <c r="E107" s="25">
        <v>0.3</v>
      </c>
      <c r="F107" s="24"/>
      <c r="G107" s="23">
        <v>52</v>
      </c>
      <c r="H107" s="22" t="s">
        <v>62</v>
      </c>
      <c r="I107" s="19"/>
      <c r="J107" s="32">
        <f>((D107+E107+D107+E107)*G107/0.19)*J86</f>
        <v>163.88210526315791</v>
      </c>
      <c r="K107" s="21"/>
      <c r="L107" s="17">
        <f>(G107*8)*L86</f>
        <v>369.40800000000002</v>
      </c>
      <c r="M107" s="19"/>
      <c r="N107" s="19"/>
      <c r="O107" s="18"/>
      <c r="P107" s="16">
        <f t="shared" si="42"/>
        <v>533.2901052631579</v>
      </c>
      <c r="Q107" s="16">
        <f t="shared" si="43"/>
        <v>15.998703157894736</v>
      </c>
      <c r="R107" s="16"/>
      <c r="S107" s="16">
        <f t="shared" si="44"/>
        <v>4.68</v>
      </c>
      <c r="T107" s="16">
        <f t="shared" ref="T107:T118" si="48">(D107+E107+E107+D107)*G107</f>
        <v>62.4</v>
      </c>
      <c r="U107" s="16">
        <f t="shared" si="46"/>
        <v>18.72</v>
      </c>
      <c r="V107" s="16">
        <f t="shared" si="47"/>
        <v>20.28</v>
      </c>
      <c r="W107" s="16"/>
      <c r="X107" s="16">
        <v>0</v>
      </c>
      <c r="Y107" s="16">
        <v>0</v>
      </c>
      <c r="Z107" s="16">
        <v>0</v>
      </c>
      <c r="AA107" s="16">
        <v>0</v>
      </c>
      <c r="AB107" s="16">
        <v>0</v>
      </c>
    </row>
    <row r="108" spans="1:28">
      <c r="A108" s="33"/>
      <c r="B108" s="27" t="s">
        <v>347</v>
      </c>
      <c r="C108" s="26"/>
      <c r="D108" s="25">
        <v>0.45</v>
      </c>
      <c r="E108" s="25">
        <v>0.45</v>
      </c>
      <c r="F108" s="24"/>
      <c r="G108" s="23">
        <v>34</v>
      </c>
      <c r="H108" s="22" t="s">
        <v>62</v>
      </c>
      <c r="I108" s="19"/>
      <c r="J108" s="32">
        <f>((D108+E108+D108+E108)*G108/0.19)*J86</f>
        <v>160.73052631578946</v>
      </c>
      <c r="K108" s="21"/>
      <c r="L108" s="17"/>
      <c r="M108" s="19">
        <f>(G108*6)*M86</f>
        <v>321.91200000000003</v>
      </c>
      <c r="N108" s="19"/>
      <c r="O108" s="18"/>
      <c r="P108" s="16">
        <f t="shared" si="42"/>
        <v>482.6425263157895</v>
      </c>
      <c r="Q108" s="16">
        <f t="shared" si="43"/>
        <v>14.479275789473684</v>
      </c>
      <c r="R108" s="16"/>
      <c r="S108" s="16">
        <f t="shared" si="44"/>
        <v>6.8850000000000007</v>
      </c>
      <c r="T108" s="16">
        <f t="shared" si="48"/>
        <v>61.2</v>
      </c>
      <c r="U108" s="16">
        <f t="shared" si="46"/>
        <v>18.36</v>
      </c>
      <c r="V108" s="16">
        <f t="shared" si="47"/>
        <v>19.89</v>
      </c>
      <c r="W108" s="16"/>
      <c r="X108" s="16">
        <v>0</v>
      </c>
      <c r="Y108" s="16">
        <v>0</v>
      </c>
      <c r="Z108" s="16">
        <v>0</v>
      </c>
      <c r="AA108" s="16">
        <v>0</v>
      </c>
      <c r="AB108" s="16">
        <v>0</v>
      </c>
    </row>
    <row r="109" spans="1:28">
      <c r="A109" s="33"/>
      <c r="B109" s="27" t="s">
        <v>88</v>
      </c>
      <c r="C109" s="26"/>
      <c r="D109" s="25">
        <v>0.6</v>
      </c>
      <c r="E109" s="25">
        <v>0.6</v>
      </c>
      <c r="F109" s="24"/>
      <c r="G109" s="23">
        <v>32.4</v>
      </c>
      <c r="H109" s="22" t="s">
        <v>62</v>
      </c>
      <c r="I109" s="19"/>
      <c r="J109" s="32">
        <f>((D109+E109+D109+E109)*G109/0.2)*J86</f>
        <v>194.01119999999997</v>
      </c>
      <c r="K109" s="21"/>
      <c r="L109" s="17"/>
      <c r="M109" s="19">
        <f>(G109*8)*M86</f>
        <v>409.01760000000002</v>
      </c>
      <c r="N109" s="19"/>
      <c r="O109" s="18"/>
      <c r="P109" s="16">
        <f t="shared" si="42"/>
        <v>603.02880000000005</v>
      </c>
      <c r="Q109" s="16">
        <f t="shared" si="43"/>
        <v>18.090864</v>
      </c>
      <c r="R109" s="16"/>
      <c r="S109" s="16">
        <f t="shared" si="44"/>
        <v>11.664</v>
      </c>
      <c r="T109" s="16">
        <f t="shared" si="48"/>
        <v>77.759999999999991</v>
      </c>
      <c r="U109" s="16">
        <f t="shared" si="46"/>
        <v>23.327999999999996</v>
      </c>
      <c r="V109" s="16">
        <f t="shared" si="47"/>
        <v>25.271999999999998</v>
      </c>
      <c r="W109" s="16"/>
      <c r="X109" s="16">
        <v>0</v>
      </c>
      <c r="Y109" s="16">
        <v>0</v>
      </c>
      <c r="Z109" s="16">
        <v>0</v>
      </c>
      <c r="AA109" s="16">
        <v>0</v>
      </c>
      <c r="AB109" s="16">
        <v>0</v>
      </c>
    </row>
    <row r="110" spans="1:28">
      <c r="A110" s="33"/>
      <c r="B110" s="27" t="s">
        <v>87</v>
      </c>
      <c r="C110" s="26"/>
      <c r="D110" s="25">
        <v>0.5</v>
      </c>
      <c r="E110" s="25">
        <v>0.5</v>
      </c>
      <c r="F110" s="24"/>
      <c r="G110" s="23">
        <v>44</v>
      </c>
      <c r="H110" s="22" t="s">
        <v>62</v>
      </c>
      <c r="I110" s="19"/>
      <c r="J110" s="32">
        <f>((D110+E110+D110+E110)*G110/0.3)*J86</f>
        <v>146.37333333333336</v>
      </c>
      <c r="K110" s="21"/>
      <c r="L110" s="17"/>
      <c r="M110" s="19"/>
      <c r="N110" s="19">
        <f>(G110*10)*N86</f>
        <v>1085.0400000000002</v>
      </c>
      <c r="O110" s="18"/>
      <c r="P110" s="16">
        <f t="shared" si="42"/>
        <v>1231.4133333333336</v>
      </c>
      <c r="Q110" s="16">
        <f t="shared" si="43"/>
        <v>36.942400000000006</v>
      </c>
      <c r="R110" s="16"/>
      <c r="S110" s="16">
        <f t="shared" si="44"/>
        <v>11</v>
      </c>
      <c r="T110" s="16">
        <f t="shared" si="48"/>
        <v>88</v>
      </c>
      <c r="U110" s="16">
        <f t="shared" si="46"/>
        <v>26.4</v>
      </c>
      <c r="V110" s="16">
        <f t="shared" si="47"/>
        <v>28.6</v>
      </c>
      <c r="W110" s="16"/>
      <c r="X110" s="16">
        <v>0</v>
      </c>
      <c r="Y110" s="16">
        <v>0</v>
      </c>
      <c r="Z110" s="16">
        <v>0</v>
      </c>
      <c r="AA110" s="16">
        <v>0</v>
      </c>
      <c r="AB110" s="16">
        <v>0</v>
      </c>
    </row>
    <row r="111" spans="1:28">
      <c r="A111" s="33"/>
      <c r="B111" s="27" t="s">
        <v>85</v>
      </c>
      <c r="C111" s="26"/>
      <c r="D111" s="25">
        <v>0.55000000000000004</v>
      </c>
      <c r="E111" s="25">
        <v>0.55000000000000004</v>
      </c>
      <c r="F111" s="24"/>
      <c r="G111" s="23">
        <v>102.6</v>
      </c>
      <c r="H111" s="22" t="s">
        <v>62</v>
      </c>
      <c r="I111" s="19"/>
      <c r="J111" s="32">
        <f>((D111+E111+D111+E111)*G111/0.3)*J86</f>
        <v>375.44759999999997</v>
      </c>
      <c r="K111" s="21"/>
      <c r="L111" s="17"/>
      <c r="M111" s="19"/>
      <c r="N111" s="19">
        <f>(G111*12)*N86</f>
        <v>3036.1391999999996</v>
      </c>
      <c r="O111" s="18"/>
      <c r="P111" s="16">
        <f t="shared" si="42"/>
        <v>3411.5867999999996</v>
      </c>
      <c r="Q111" s="16">
        <f t="shared" si="43"/>
        <v>102.34760399999999</v>
      </c>
      <c r="R111" s="16"/>
      <c r="S111" s="16">
        <f t="shared" si="44"/>
        <v>31.036500000000004</v>
      </c>
      <c r="T111" s="16">
        <f t="shared" si="48"/>
        <v>225.72</v>
      </c>
      <c r="U111" s="16">
        <f t="shared" si="46"/>
        <v>67.715999999999994</v>
      </c>
      <c r="V111" s="16">
        <f t="shared" si="47"/>
        <v>73.358999999999995</v>
      </c>
      <c r="W111" s="16"/>
      <c r="X111" s="16">
        <v>0</v>
      </c>
      <c r="Y111" s="16">
        <v>0</v>
      </c>
      <c r="Z111" s="16">
        <v>0</v>
      </c>
      <c r="AA111" s="16">
        <v>0</v>
      </c>
      <c r="AB111" s="16">
        <v>0</v>
      </c>
    </row>
    <row r="112" spans="1:28">
      <c r="A112" s="33"/>
      <c r="B112" s="27" t="s">
        <v>348</v>
      </c>
      <c r="C112" s="26"/>
      <c r="D112" s="25">
        <v>0.2</v>
      </c>
      <c r="E112" s="25">
        <v>0.5</v>
      </c>
      <c r="F112" s="24"/>
      <c r="G112" s="23">
        <v>14.4</v>
      </c>
      <c r="H112" s="22" t="s">
        <v>62</v>
      </c>
      <c r="I112" s="19"/>
      <c r="J112" s="32">
        <f>((D112+E112+D112+E112)*G112/0.2)*J86</f>
        <v>50.299199999999999</v>
      </c>
      <c r="K112" s="21"/>
      <c r="L112" s="17"/>
      <c r="M112" s="19">
        <f>(G112*8)*M86</f>
        <v>181.78560000000002</v>
      </c>
      <c r="N112" s="19"/>
      <c r="O112" s="18"/>
      <c r="P112" s="16">
        <f t="shared" si="42"/>
        <v>232.08480000000003</v>
      </c>
      <c r="Q112" s="16">
        <f t="shared" si="43"/>
        <v>6.9625440000000003</v>
      </c>
      <c r="R112" s="16"/>
      <c r="S112" s="16">
        <f t="shared" si="44"/>
        <v>1.4400000000000002</v>
      </c>
      <c r="T112" s="16">
        <f t="shared" si="48"/>
        <v>20.16</v>
      </c>
      <c r="U112" s="16">
        <f t="shared" si="46"/>
        <v>6.048</v>
      </c>
      <c r="V112" s="16">
        <f t="shared" si="47"/>
        <v>6.5519999999999996</v>
      </c>
      <c r="W112" s="16"/>
      <c r="X112" s="16">
        <v>0</v>
      </c>
      <c r="Y112" s="16">
        <v>0</v>
      </c>
      <c r="Z112" s="16">
        <v>0</v>
      </c>
      <c r="AA112" s="16">
        <v>0</v>
      </c>
      <c r="AB112" s="16">
        <v>0</v>
      </c>
    </row>
    <row r="113" spans="1:30">
      <c r="A113" s="28"/>
      <c r="B113" s="27" t="s">
        <v>325</v>
      </c>
      <c r="C113" s="26"/>
      <c r="D113" s="25">
        <v>0.25</v>
      </c>
      <c r="E113" s="25">
        <v>0.5</v>
      </c>
      <c r="F113" s="24"/>
      <c r="G113" s="23">
        <f>3*2</f>
        <v>6</v>
      </c>
      <c r="H113" s="22" t="s">
        <v>62</v>
      </c>
      <c r="I113" s="17"/>
      <c r="J113" s="128"/>
      <c r="K113" s="21"/>
      <c r="L113" s="17"/>
      <c r="M113" s="19"/>
      <c r="N113" s="19"/>
      <c r="O113" s="21">
        <f>(6*G113)*O86</f>
        <v>138.708</v>
      </c>
      <c r="P113" s="16">
        <f t="shared" si="42"/>
        <v>138.708</v>
      </c>
      <c r="Q113" s="16">
        <f t="shared" ref="Q113:Q116" si="49">(P113*0.03)</f>
        <v>4.1612399999999994</v>
      </c>
      <c r="R113" s="16"/>
      <c r="S113" s="16">
        <f t="shared" si="44"/>
        <v>0.75</v>
      </c>
      <c r="T113" s="16">
        <f t="shared" si="48"/>
        <v>9</v>
      </c>
      <c r="U113" s="16">
        <f t="shared" ref="U113:U116" si="50">T113*30%</f>
        <v>2.6999999999999997</v>
      </c>
      <c r="V113" s="16">
        <f t="shared" ref="V113:V116" si="51">(T113+U113)*0.25</f>
        <v>2.9249999999999998</v>
      </c>
      <c r="W113" s="16"/>
      <c r="X113" s="16"/>
      <c r="Y113" s="16"/>
      <c r="Z113" s="16"/>
      <c r="AA113" s="16"/>
      <c r="AB113" s="16"/>
    </row>
    <row r="114" spans="1:30">
      <c r="A114" s="28"/>
      <c r="B114" s="27" t="s">
        <v>326</v>
      </c>
      <c r="C114" s="26"/>
      <c r="D114" s="25">
        <v>0.25</v>
      </c>
      <c r="E114" s="25">
        <v>0.5</v>
      </c>
      <c r="F114" s="24"/>
      <c r="G114" s="23">
        <f>3.8*2</f>
        <v>7.6</v>
      </c>
      <c r="H114" s="22" t="s">
        <v>62</v>
      </c>
      <c r="I114" s="17"/>
      <c r="J114" s="128"/>
      <c r="K114" s="21"/>
      <c r="L114" s="17"/>
      <c r="M114" s="19"/>
      <c r="N114" s="19"/>
      <c r="O114" s="21">
        <f>(6*G114)*O86</f>
        <v>175.6968</v>
      </c>
      <c r="P114" s="16">
        <f t="shared" si="42"/>
        <v>175.6968</v>
      </c>
      <c r="Q114" s="16">
        <f t="shared" si="49"/>
        <v>5.2709039999999998</v>
      </c>
      <c r="R114" s="16"/>
      <c r="S114" s="16">
        <f t="shared" si="44"/>
        <v>0.95</v>
      </c>
      <c r="T114" s="16">
        <f t="shared" si="48"/>
        <v>11.399999999999999</v>
      </c>
      <c r="U114" s="16">
        <f t="shared" si="50"/>
        <v>3.4199999999999995</v>
      </c>
      <c r="V114" s="16">
        <f t="shared" si="51"/>
        <v>3.7049999999999996</v>
      </c>
      <c r="W114" s="16"/>
      <c r="X114" s="16"/>
      <c r="Y114" s="16"/>
      <c r="Z114" s="16"/>
      <c r="AA114" s="16"/>
      <c r="AB114" s="16"/>
    </row>
    <row r="115" spans="1:30">
      <c r="A115" s="28"/>
      <c r="B115" s="27" t="s">
        <v>327</v>
      </c>
      <c r="C115" s="26"/>
      <c r="D115" s="25">
        <v>0.25</v>
      </c>
      <c r="E115" s="25">
        <v>0.5</v>
      </c>
      <c r="F115" s="24"/>
      <c r="G115" s="23">
        <f>2.7*2</f>
        <v>5.4</v>
      </c>
      <c r="H115" s="22" t="s">
        <v>62</v>
      </c>
      <c r="I115" s="17"/>
      <c r="J115" s="128"/>
      <c r="K115" s="21"/>
      <c r="L115" s="17"/>
      <c r="M115" s="19"/>
      <c r="N115" s="19"/>
      <c r="O115" s="21">
        <f>(6*G115)*O86</f>
        <v>124.83720000000002</v>
      </c>
      <c r="P115" s="16">
        <f t="shared" si="42"/>
        <v>124.83720000000002</v>
      </c>
      <c r="Q115" s="16">
        <f t="shared" si="49"/>
        <v>3.7451160000000008</v>
      </c>
      <c r="R115" s="16"/>
      <c r="S115" s="16">
        <f t="shared" si="44"/>
        <v>0.67500000000000004</v>
      </c>
      <c r="T115" s="16">
        <f t="shared" si="48"/>
        <v>8.1000000000000014</v>
      </c>
      <c r="U115" s="16">
        <f t="shared" si="50"/>
        <v>2.4300000000000002</v>
      </c>
      <c r="V115" s="16">
        <f t="shared" si="51"/>
        <v>2.6325000000000003</v>
      </c>
      <c r="W115" s="16"/>
      <c r="X115" s="16"/>
      <c r="Y115" s="16"/>
      <c r="Z115" s="16"/>
      <c r="AA115" s="16"/>
      <c r="AB115" s="16"/>
    </row>
    <row r="116" spans="1:30">
      <c r="A116" s="28"/>
      <c r="B116" s="27" t="s">
        <v>328</v>
      </c>
      <c r="C116" s="26"/>
      <c r="D116" s="25">
        <v>0.25</v>
      </c>
      <c r="E116" s="25">
        <v>0.5</v>
      </c>
      <c r="F116" s="24"/>
      <c r="G116" s="23">
        <f>2.7*2</f>
        <v>5.4</v>
      </c>
      <c r="H116" s="22" t="s">
        <v>62</v>
      </c>
      <c r="I116" s="17"/>
      <c r="J116" s="128"/>
      <c r="K116" s="21"/>
      <c r="L116" s="17"/>
      <c r="M116" s="19"/>
      <c r="N116" s="19"/>
      <c r="O116" s="21">
        <f>(6*G116)*O86</f>
        <v>124.83720000000002</v>
      </c>
      <c r="P116" s="16">
        <f t="shared" si="42"/>
        <v>124.83720000000002</v>
      </c>
      <c r="Q116" s="16">
        <f t="shared" si="49"/>
        <v>3.7451160000000008</v>
      </c>
      <c r="R116" s="16"/>
      <c r="S116" s="16">
        <f t="shared" si="44"/>
        <v>0.67500000000000004</v>
      </c>
      <c r="T116" s="16">
        <f t="shared" si="48"/>
        <v>8.1000000000000014</v>
      </c>
      <c r="U116" s="16">
        <f t="shared" si="50"/>
        <v>2.4300000000000002</v>
      </c>
      <c r="V116" s="16">
        <f t="shared" si="51"/>
        <v>2.6325000000000003</v>
      </c>
      <c r="W116" s="16"/>
      <c r="X116" s="16"/>
      <c r="Y116" s="16"/>
      <c r="Z116" s="16"/>
      <c r="AA116" s="16"/>
      <c r="AB116" s="16"/>
    </row>
    <row r="117" spans="1:30">
      <c r="A117" s="28"/>
      <c r="B117" s="27" t="s">
        <v>330</v>
      </c>
      <c r="C117" s="26"/>
      <c r="D117" s="25">
        <v>0.25</v>
      </c>
      <c r="E117" s="25">
        <v>0.2</v>
      </c>
      <c r="F117" s="24">
        <v>1.7</v>
      </c>
      <c r="G117" s="23">
        <f>(9.9+9.9+10+10)+(46.31*2)+(28.75*2)</f>
        <v>189.92000000000002</v>
      </c>
      <c r="H117" s="22" t="s">
        <v>62</v>
      </c>
      <c r="I117" s="20"/>
      <c r="J117" s="32"/>
      <c r="K117" s="21"/>
      <c r="L117" s="17">
        <f>((G117/0.15)*2)*2*L86</f>
        <v>4497.3056000000006</v>
      </c>
      <c r="M117" s="19"/>
      <c r="N117" s="17">
        <f>((F117*0.3)*G117/0.2)*2+(1.8*G117/0.2)*2*N86</f>
        <v>9398.7609600000014</v>
      </c>
      <c r="O117" s="21"/>
      <c r="P117" s="16">
        <f>SUM(E117:O117)</f>
        <v>14087.886560000003</v>
      </c>
      <c r="Q117" s="16">
        <f t="shared" ref="Q117:Q120" si="52">(P117*0.03)</f>
        <v>422.63659680000006</v>
      </c>
      <c r="R117" s="16"/>
      <c r="S117" s="16">
        <f>(D117*F117)*G117+(E117*1.8)*G117</f>
        <v>149.08720000000002</v>
      </c>
      <c r="T117" s="16">
        <f t="shared" si="48"/>
        <v>170.92800000000003</v>
      </c>
      <c r="U117" s="16">
        <f t="shared" ref="U117" si="53">(T117*0.03)*10.764</f>
        <v>55.196069760000007</v>
      </c>
      <c r="V117" s="16">
        <f t="shared" ref="V117" si="54">(T117+U117)*0.25</f>
        <v>56.531017440000007</v>
      </c>
      <c r="W117" s="16"/>
      <c r="X117" s="16"/>
      <c r="Y117" s="16"/>
      <c r="Z117" s="16"/>
      <c r="AA117" s="16"/>
      <c r="AB117" s="16"/>
    </row>
    <row r="118" spans="1:30">
      <c r="A118" s="28"/>
      <c r="B118" s="27" t="s">
        <v>331</v>
      </c>
      <c r="C118" s="26"/>
      <c r="D118" s="25">
        <v>1</v>
      </c>
      <c r="E118" s="25">
        <v>1</v>
      </c>
      <c r="F118" s="24">
        <v>0.46</v>
      </c>
      <c r="G118" s="23">
        <v>41</v>
      </c>
      <c r="H118" s="22" t="s">
        <v>104</v>
      </c>
      <c r="I118" s="20"/>
      <c r="J118" s="32"/>
      <c r="K118" s="21"/>
      <c r="L118" s="17">
        <f>((F118+D118+F118+D118)*4+(F118+D118+F118+D118)*4)*G118*$L$8+((D118*2+E118*2)*2*G118)*L86</f>
        <v>1141.75488</v>
      </c>
      <c r="M118" s="19"/>
      <c r="N118" s="17"/>
      <c r="O118" s="21"/>
      <c r="P118" s="16">
        <f>SUM(E118:O118)</f>
        <v>1184.21488</v>
      </c>
      <c r="Q118" s="16">
        <f t="shared" ref="Q118" si="55">(P118*0.03)</f>
        <v>35.526446399999998</v>
      </c>
      <c r="R118" s="16">
        <f>D118*E118*0.05*G118</f>
        <v>2.0500000000000003</v>
      </c>
      <c r="S118" s="16">
        <f>(D118*F118)*G118+(E118*1.8)*G118</f>
        <v>92.66</v>
      </c>
      <c r="T118" s="16">
        <f t="shared" si="48"/>
        <v>164</v>
      </c>
      <c r="U118" s="16">
        <f t="shared" ref="U118" si="56">(T118*0.03)*10.764</f>
        <v>52.958879999999994</v>
      </c>
      <c r="V118" s="16">
        <f t="shared" ref="V118" si="57">(T118+U118)*0.25</f>
        <v>54.239719999999998</v>
      </c>
      <c r="W118" s="16">
        <f>(D118*E118*0.05)*G118</f>
        <v>2.0500000000000003</v>
      </c>
      <c r="X118" s="16"/>
      <c r="Y118" s="16"/>
      <c r="Z118" s="16"/>
      <c r="AA118" s="16"/>
      <c r="AB118" s="16"/>
    </row>
    <row r="119" spans="1:30">
      <c r="A119" s="28"/>
      <c r="B119" s="280" t="s">
        <v>308</v>
      </c>
      <c r="C119" s="17" t="s">
        <v>83</v>
      </c>
      <c r="D119" s="25"/>
      <c r="E119" s="25"/>
      <c r="F119" s="24">
        <v>0.05</v>
      </c>
      <c r="G119" s="23">
        <f>'Architecture '!T209</f>
        <v>36</v>
      </c>
      <c r="H119" s="22" t="s">
        <v>61</v>
      </c>
      <c r="I119" s="20"/>
      <c r="J119" s="32"/>
      <c r="K119" s="21"/>
      <c r="L119" s="17"/>
      <c r="M119" s="19"/>
      <c r="N119" s="19"/>
      <c r="O119" s="21"/>
      <c r="P119" s="16">
        <f>SUM(I119:O119)</f>
        <v>0</v>
      </c>
      <c r="Q119" s="16">
        <f t="shared" si="52"/>
        <v>0</v>
      </c>
      <c r="R119" s="16"/>
      <c r="S119" s="16">
        <f>+F119*G119</f>
        <v>1.8</v>
      </c>
      <c r="T119" s="16">
        <f>G119</f>
        <v>36</v>
      </c>
      <c r="U119" s="16">
        <f t="shared" ref="U119:U120" si="58">(T119*0.03)*10.764</f>
        <v>11.625120000000001</v>
      </c>
      <c r="V119" s="16">
        <f t="shared" ref="V119:V120" si="59">(T119+U119)*0.25</f>
        <v>11.906280000000001</v>
      </c>
      <c r="W119" s="16">
        <f>+D119*G119*0.1</f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f>G119</f>
        <v>36</v>
      </c>
    </row>
    <row r="120" spans="1:30">
      <c r="A120" s="279"/>
      <c r="B120" s="280" t="s">
        <v>394</v>
      </c>
      <c r="C120" s="26" t="s">
        <v>393</v>
      </c>
      <c r="D120" s="25"/>
      <c r="E120" s="25"/>
      <c r="F120" s="24">
        <v>0.25</v>
      </c>
      <c r="G120" s="281" t="e">
        <f>'Architecture '!#REF!</f>
        <v>#REF!</v>
      </c>
      <c r="H120" s="22" t="s">
        <v>61</v>
      </c>
      <c r="I120" s="283"/>
      <c r="J120" s="17">
        <f>(40*55.2)*J86</f>
        <v>1101.7919999999999</v>
      </c>
      <c r="K120" s="21">
        <f>((0.6*(5.6/0.5))*36+(0.6*(4.3/0.5)*18))*K86</f>
        <v>745.26479999999992</v>
      </c>
      <c r="L120" s="17"/>
      <c r="M120" s="19">
        <f>(0.6*40/0.5)*9*M86</f>
        <v>681.69600000000003</v>
      </c>
      <c r="N120" s="17"/>
      <c r="O120" s="21">
        <f>(0.6*(6/0.5))*162*O86</f>
        <v>4494.1391999999996</v>
      </c>
      <c r="P120" s="16">
        <f>SUM(I120:O120)</f>
        <v>7022.8919999999998</v>
      </c>
      <c r="Q120" s="16">
        <f t="shared" si="52"/>
        <v>210.68675999999999</v>
      </c>
      <c r="R120" s="284"/>
      <c r="S120" s="16" t="e">
        <f>+F120*G120</f>
        <v>#REF!</v>
      </c>
      <c r="T120" s="16" t="e">
        <f>G120</f>
        <v>#REF!</v>
      </c>
      <c r="U120" s="16" t="e">
        <f t="shared" si="58"/>
        <v>#REF!</v>
      </c>
      <c r="V120" s="16" t="e">
        <f t="shared" si="59"/>
        <v>#REF!</v>
      </c>
      <c r="W120" s="284"/>
      <c r="X120" s="284"/>
      <c r="Y120" s="284"/>
      <c r="Z120" s="284"/>
      <c r="AA120" s="284"/>
      <c r="AB120" s="16" t="e">
        <f>G120</f>
        <v>#REF!</v>
      </c>
    </row>
    <row r="121" spans="1:30">
      <c r="A121" s="28"/>
      <c r="B121" s="27" t="s">
        <v>262</v>
      </c>
      <c r="C121" s="26"/>
      <c r="D121" s="25"/>
      <c r="E121" s="25"/>
      <c r="F121" s="24"/>
      <c r="G121" s="23"/>
      <c r="H121" s="22"/>
      <c r="I121" s="20"/>
      <c r="J121" s="128"/>
      <c r="K121" s="21"/>
      <c r="L121" s="17"/>
      <c r="M121" s="19"/>
      <c r="N121" s="19"/>
      <c r="O121" s="21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D121" s="294"/>
    </row>
    <row r="122" spans="1:30">
      <c r="A122" s="28"/>
      <c r="B122" s="27" t="s">
        <v>82</v>
      </c>
      <c r="C122" s="26"/>
      <c r="D122" s="25">
        <v>0.2</v>
      </c>
      <c r="E122" s="25">
        <v>0.4</v>
      </c>
      <c r="F122" s="24"/>
      <c r="G122" s="23">
        <v>7.12</v>
      </c>
      <c r="H122" s="22" t="s">
        <v>62</v>
      </c>
      <c r="I122" s="17">
        <f>((D122+E122+D122+E122)*G122/0.15)*I86</f>
        <v>12.645120000000004</v>
      </c>
      <c r="J122" s="128"/>
      <c r="K122" s="21"/>
      <c r="L122" s="17">
        <f>(G122*4)*L86</f>
        <v>25.290240000000001</v>
      </c>
      <c r="M122" s="19"/>
      <c r="N122" s="19"/>
      <c r="O122" s="21">
        <f>(G122*2)/0.75*O86</f>
        <v>73.155626666666677</v>
      </c>
      <c r="P122" s="16">
        <f t="shared" ref="P122:P146" si="60">SUM(I122:O122)</f>
        <v>111.09098666666668</v>
      </c>
      <c r="Q122" s="16">
        <f t="shared" ref="Q122:Q157" si="61">(P122*0.03)</f>
        <v>3.3327296000000004</v>
      </c>
      <c r="R122" s="16"/>
      <c r="S122" s="16">
        <f t="shared" ref="S122:S137" si="62">D122*E122*G122</f>
        <v>0.56960000000000011</v>
      </c>
      <c r="T122" s="16">
        <f t="shared" ref="T122:T137" si="63">(D122+E122+E122)*G122</f>
        <v>7.12</v>
      </c>
      <c r="U122" s="16">
        <f t="shared" ref="U122:U152" si="64">(T122*0.03)*10.764</f>
        <v>2.2991903999999996</v>
      </c>
      <c r="V122" s="16">
        <f t="shared" ref="V122:V156" si="65">(T122+U122)*0.25</f>
        <v>2.3547975999999999</v>
      </c>
      <c r="W122" s="16"/>
      <c r="X122" s="16">
        <v>0</v>
      </c>
      <c r="Y122" s="16">
        <v>0</v>
      </c>
      <c r="Z122" s="16">
        <v>0</v>
      </c>
      <c r="AA122" s="16">
        <v>0</v>
      </c>
      <c r="AB122" s="16">
        <v>0</v>
      </c>
    </row>
    <row r="123" spans="1:30">
      <c r="A123" s="28"/>
      <c r="B123" s="27" t="s">
        <v>81</v>
      </c>
      <c r="C123" s="26"/>
      <c r="D123" s="25">
        <v>0.3</v>
      </c>
      <c r="E123" s="25">
        <v>0.4</v>
      </c>
      <c r="F123" s="24"/>
      <c r="G123" s="23">
        <v>69.88</v>
      </c>
      <c r="H123" s="22" t="s">
        <v>62</v>
      </c>
      <c r="I123" s="20"/>
      <c r="J123" s="128">
        <f>((D123+E123+D123+E123)*G123/0.15)*J86</f>
        <v>325.45445333333333</v>
      </c>
      <c r="K123" s="21"/>
      <c r="L123" s="17">
        <f>(G123*4)*L86</f>
        <v>248.21375999999998</v>
      </c>
      <c r="M123" s="19"/>
      <c r="N123" s="19"/>
      <c r="O123" s="21">
        <f>(G123/0.75)*2+(2*(G123/4))*O86</f>
        <v>320.97048666666666</v>
      </c>
      <c r="P123" s="16">
        <f t="shared" si="60"/>
        <v>894.63869999999997</v>
      </c>
      <c r="Q123" s="16">
        <f t="shared" si="61"/>
        <v>26.839160999999997</v>
      </c>
      <c r="R123" s="16"/>
      <c r="S123" s="16">
        <f t="shared" si="62"/>
        <v>8.3855999999999984</v>
      </c>
      <c r="T123" s="16">
        <f t="shared" si="63"/>
        <v>76.867999999999995</v>
      </c>
      <c r="U123" s="16">
        <f t="shared" si="64"/>
        <v>24.822214559999995</v>
      </c>
      <c r="V123" s="16">
        <f t="shared" si="65"/>
        <v>25.422553639999997</v>
      </c>
      <c r="W123" s="16"/>
      <c r="X123" s="16">
        <v>0</v>
      </c>
      <c r="Y123" s="16">
        <v>0</v>
      </c>
      <c r="Z123" s="16">
        <v>0</v>
      </c>
      <c r="AA123" s="16">
        <v>0</v>
      </c>
      <c r="AB123" s="16">
        <v>0</v>
      </c>
    </row>
    <row r="124" spans="1:30">
      <c r="A124" s="28"/>
      <c r="B124" s="27" t="s">
        <v>80</v>
      </c>
      <c r="C124" s="26"/>
      <c r="D124" s="25">
        <v>0.3</v>
      </c>
      <c r="E124" s="25">
        <v>0.6</v>
      </c>
      <c r="F124" s="24"/>
      <c r="G124" s="23">
        <v>185.9</v>
      </c>
      <c r="H124" s="22" t="s">
        <v>62</v>
      </c>
      <c r="I124" s="20"/>
      <c r="J124" s="128">
        <f>((D124+E124+D124+E124)*G124/0.2)*J86</f>
        <v>834.87689999999998</v>
      </c>
      <c r="K124" s="21"/>
      <c r="L124" s="17"/>
      <c r="M124" s="19"/>
      <c r="N124" s="19"/>
      <c r="O124" s="21">
        <f>(G124/0.75)*3+(3*(G124/4))+(3*G124)*O86</f>
        <v>3031.8431000000005</v>
      </c>
      <c r="P124" s="16">
        <f t="shared" si="60"/>
        <v>3866.7200000000003</v>
      </c>
      <c r="Q124" s="16">
        <f t="shared" si="61"/>
        <v>116.0016</v>
      </c>
      <c r="R124" s="16"/>
      <c r="S124" s="16">
        <f t="shared" si="62"/>
        <v>33.462000000000003</v>
      </c>
      <c r="T124" s="16">
        <f t="shared" si="63"/>
        <v>278.85000000000002</v>
      </c>
      <c r="U124" s="16">
        <f t="shared" si="64"/>
        <v>90.046242000000007</v>
      </c>
      <c r="V124" s="16">
        <f t="shared" si="65"/>
        <v>92.224060500000007</v>
      </c>
      <c r="W124" s="16"/>
      <c r="X124" s="16">
        <v>0</v>
      </c>
      <c r="Y124" s="16">
        <v>0</v>
      </c>
      <c r="Z124" s="16">
        <v>0</v>
      </c>
      <c r="AA124" s="16">
        <v>0</v>
      </c>
      <c r="AB124" s="16">
        <v>0</v>
      </c>
    </row>
    <row r="125" spans="1:30">
      <c r="A125" s="28"/>
      <c r="B125" s="27" t="s">
        <v>79</v>
      </c>
      <c r="C125" s="26"/>
      <c r="D125" s="25">
        <v>0.2</v>
      </c>
      <c r="E125" s="25">
        <v>0.6</v>
      </c>
      <c r="F125" s="24"/>
      <c r="G125" s="23">
        <v>110.72</v>
      </c>
      <c r="H125" s="22" t="s">
        <v>62</v>
      </c>
      <c r="I125" s="20"/>
      <c r="J125" s="128">
        <f>((D125+E125+D125+E125)*G125/0.2)*J86</f>
        <v>441.99423999999999</v>
      </c>
      <c r="K125" s="21"/>
      <c r="L125" s="17"/>
      <c r="M125" s="19"/>
      <c r="N125" s="19"/>
      <c r="O125" s="21">
        <f>((G125/0.75)*1+1*(G125/4)+(4*G125)+3*(G125/4))*O86</f>
        <v>2701.8263466666667</v>
      </c>
      <c r="P125" s="16">
        <f t="shared" si="60"/>
        <v>3143.8205866666667</v>
      </c>
      <c r="Q125" s="16">
        <f t="shared" si="61"/>
        <v>94.314617599999991</v>
      </c>
      <c r="R125" s="16"/>
      <c r="S125" s="16">
        <f t="shared" si="62"/>
        <v>13.286399999999999</v>
      </c>
      <c r="T125" s="16">
        <f t="shared" si="63"/>
        <v>155.00799999999998</v>
      </c>
      <c r="U125" s="16">
        <f t="shared" si="64"/>
        <v>50.055183359999987</v>
      </c>
      <c r="V125" s="16">
        <f t="shared" si="65"/>
        <v>51.265795839999996</v>
      </c>
      <c r="W125" s="16"/>
      <c r="X125" s="16">
        <v>0</v>
      </c>
      <c r="Y125" s="16">
        <v>0</v>
      </c>
      <c r="Z125" s="16">
        <v>0</v>
      </c>
      <c r="AA125" s="16">
        <v>0</v>
      </c>
      <c r="AB125" s="16">
        <v>0</v>
      </c>
    </row>
    <row r="126" spans="1:30">
      <c r="A126" s="28"/>
      <c r="B126" s="27" t="s">
        <v>78</v>
      </c>
      <c r="C126" s="26"/>
      <c r="D126" s="25">
        <v>0.3</v>
      </c>
      <c r="E126" s="25">
        <v>0.6</v>
      </c>
      <c r="F126" s="24"/>
      <c r="G126" s="23">
        <v>23</v>
      </c>
      <c r="H126" s="22" t="s">
        <v>62</v>
      </c>
      <c r="I126" s="20"/>
      <c r="J126" s="128">
        <f>((D126+E126+D126+E126)*G126/0.125)*2*J86</f>
        <v>330.5376</v>
      </c>
      <c r="K126" s="21"/>
      <c r="L126" s="17"/>
      <c r="M126" s="19"/>
      <c r="N126" s="19"/>
      <c r="O126" s="21">
        <f>((G126/0.75)*2+2*(G126/4)+(6*G126)+3*(G126/4)+3*(G126/0.75))*O86</f>
        <v>1233.2810833333335</v>
      </c>
      <c r="P126" s="16">
        <f t="shared" si="60"/>
        <v>1563.8186833333334</v>
      </c>
      <c r="Q126" s="16">
        <f t="shared" si="61"/>
        <v>46.9145605</v>
      </c>
      <c r="R126" s="16"/>
      <c r="S126" s="16">
        <f t="shared" si="62"/>
        <v>4.1399999999999997</v>
      </c>
      <c r="T126" s="16">
        <f t="shared" si="63"/>
        <v>34.5</v>
      </c>
      <c r="U126" s="16">
        <f t="shared" si="64"/>
        <v>11.140739999999999</v>
      </c>
      <c r="V126" s="16">
        <f t="shared" si="65"/>
        <v>11.410185</v>
      </c>
      <c r="W126" s="16"/>
      <c r="X126" s="16">
        <v>0</v>
      </c>
      <c r="Y126" s="16">
        <v>0</v>
      </c>
      <c r="Z126" s="16">
        <v>0</v>
      </c>
      <c r="AA126" s="16">
        <v>0</v>
      </c>
      <c r="AB126" s="16">
        <v>0</v>
      </c>
    </row>
    <row r="127" spans="1:30">
      <c r="A127" s="28"/>
      <c r="B127" s="27" t="s">
        <v>77</v>
      </c>
      <c r="C127" s="26"/>
      <c r="D127" s="25">
        <v>0.3</v>
      </c>
      <c r="E127" s="25">
        <v>0.6</v>
      </c>
      <c r="F127" s="24"/>
      <c r="G127" s="23">
        <v>19.38</v>
      </c>
      <c r="H127" s="22" t="s">
        <v>62</v>
      </c>
      <c r="I127" s="20"/>
      <c r="J127" s="128">
        <f>((D127+E127+D127+E127)*G127/0.2)*J86</f>
        <v>87.035579999999982</v>
      </c>
      <c r="K127" s="21"/>
      <c r="L127" s="17"/>
      <c r="M127" s="19"/>
      <c r="N127" s="19"/>
      <c r="O127" s="21">
        <f>(((4/G127)*1)*(G127*4)+(3*(G127/4)))*O86</f>
        <v>117.65135500000001</v>
      </c>
      <c r="P127" s="16">
        <f t="shared" si="60"/>
        <v>204.68693500000001</v>
      </c>
      <c r="Q127" s="16">
        <f t="shared" si="61"/>
        <v>6.14060805</v>
      </c>
      <c r="R127" s="16"/>
      <c r="S127" s="16">
        <f t="shared" si="62"/>
        <v>3.4883999999999995</v>
      </c>
      <c r="T127" s="16">
        <f t="shared" si="63"/>
        <v>29.07</v>
      </c>
      <c r="U127" s="16">
        <f t="shared" si="64"/>
        <v>9.3872843999999986</v>
      </c>
      <c r="V127" s="16">
        <f t="shared" si="65"/>
        <v>9.6143210999999997</v>
      </c>
      <c r="W127" s="16"/>
      <c r="X127" s="16">
        <v>0</v>
      </c>
      <c r="Y127" s="16">
        <v>0</v>
      </c>
      <c r="Z127" s="16">
        <v>0</v>
      </c>
      <c r="AA127" s="16">
        <v>0</v>
      </c>
      <c r="AB127" s="16">
        <v>0</v>
      </c>
    </row>
    <row r="128" spans="1:30">
      <c r="A128" s="28"/>
      <c r="B128" s="27" t="s">
        <v>76</v>
      </c>
      <c r="C128" s="26"/>
      <c r="D128" s="25">
        <v>0.2</v>
      </c>
      <c r="E128" s="25">
        <v>0.6</v>
      </c>
      <c r="F128" s="24"/>
      <c r="G128" s="23">
        <v>22.44</v>
      </c>
      <c r="H128" s="22" t="s">
        <v>62</v>
      </c>
      <c r="I128" s="20"/>
      <c r="J128" s="128">
        <f>((D128+E128+D128+E128)*G128/0.2)*J86</f>
        <v>89.580480000000009</v>
      </c>
      <c r="K128" s="21"/>
      <c r="L128" s="17"/>
      <c r="M128" s="19"/>
      <c r="N128" s="19"/>
      <c r="O128" s="21">
        <f>((1*(G128/4))*(G128*4)+(3*(G128/4)))*O86</f>
        <v>2005.0380108000006</v>
      </c>
      <c r="P128" s="16">
        <f t="shared" si="60"/>
        <v>2094.6184908000005</v>
      </c>
      <c r="Q128" s="16">
        <f t="shared" si="61"/>
        <v>62.838554724000012</v>
      </c>
      <c r="R128" s="16"/>
      <c r="S128" s="16">
        <f t="shared" si="62"/>
        <v>2.6928000000000001</v>
      </c>
      <c r="T128" s="16">
        <f t="shared" si="63"/>
        <v>31.416</v>
      </c>
      <c r="U128" s="16">
        <f t="shared" si="64"/>
        <v>10.14485472</v>
      </c>
      <c r="V128" s="16">
        <f t="shared" si="65"/>
        <v>10.39021368</v>
      </c>
      <c r="W128" s="16"/>
      <c r="X128" s="16">
        <v>0</v>
      </c>
      <c r="Y128" s="16">
        <v>0</v>
      </c>
      <c r="Z128" s="16">
        <v>0</v>
      </c>
      <c r="AA128" s="16">
        <v>0</v>
      </c>
      <c r="AB128" s="16">
        <v>0</v>
      </c>
    </row>
    <row r="129" spans="1:28">
      <c r="A129" s="28"/>
      <c r="B129" s="27" t="s">
        <v>75</v>
      </c>
      <c r="C129" s="26"/>
      <c r="D129" s="25">
        <v>0.2</v>
      </c>
      <c r="E129" s="25">
        <v>0.6</v>
      </c>
      <c r="F129" s="24"/>
      <c r="G129" s="23">
        <v>16.39</v>
      </c>
      <c r="H129" s="22" t="s">
        <v>62</v>
      </c>
      <c r="I129" s="20"/>
      <c r="J129" s="128">
        <f>((D129+E129+D129+E129)*G129/0.2)*2*J86</f>
        <v>130.85776000000001</v>
      </c>
      <c r="K129" s="21"/>
      <c r="L129" s="17"/>
      <c r="M129" s="19"/>
      <c r="N129" s="19"/>
      <c r="O129" s="21">
        <f>(6*G129)*O86</f>
        <v>378.90402000000006</v>
      </c>
      <c r="P129" s="16">
        <f t="shared" si="60"/>
        <v>509.76178000000004</v>
      </c>
      <c r="Q129" s="16">
        <f t="shared" si="61"/>
        <v>15.2928534</v>
      </c>
      <c r="R129" s="16"/>
      <c r="S129" s="16">
        <f t="shared" si="62"/>
        <v>1.9668000000000001</v>
      </c>
      <c r="T129" s="16">
        <f t="shared" si="63"/>
        <v>22.945999999999998</v>
      </c>
      <c r="U129" s="16">
        <f t="shared" si="64"/>
        <v>7.4097223199999984</v>
      </c>
      <c r="V129" s="16">
        <f t="shared" si="65"/>
        <v>7.5889305799999995</v>
      </c>
      <c r="W129" s="16"/>
      <c r="X129" s="16">
        <v>0</v>
      </c>
      <c r="Y129" s="16">
        <v>0</v>
      </c>
      <c r="Z129" s="16">
        <v>0</v>
      </c>
      <c r="AA129" s="16">
        <v>0</v>
      </c>
      <c r="AB129" s="16">
        <v>0</v>
      </c>
    </row>
    <row r="130" spans="1:28">
      <c r="A130" s="28"/>
      <c r="B130" s="27" t="s">
        <v>74</v>
      </c>
      <c r="C130" s="26"/>
      <c r="D130" s="25">
        <v>0.4</v>
      </c>
      <c r="E130" s="25">
        <v>0.6</v>
      </c>
      <c r="F130" s="24"/>
      <c r="G130" s="23">
        <v>58.76</v>
      </c>
      <c r="H130" s="22" t="s">
        <v>62</v>
      </c>
      <c r="I130" s="20"/>
      <c r="J130" s="128">
        <f>((D130+E130+D130+E130)*G130/0.15)*2*J86</f>
        <v>781.89973333333342</v>
      </c>
      <c r="K130" s="21"/>
      <c r="L130" s="17"/>
      <c r="M130" s="19"/>
      <c r="N130" s="19"/>
      <c r="O130" s="21">
        <f>(4*G130)+(6*G130/4)+(3*G130/0.75)*O86</f>
        <v>1228.7891199999999</v>
      </c>
      <c r="P130" s="16">
        <f t="shared" si="60"/>
        <v>2010.6888533333333</v>
      </c>
      <c r="Q130" s="16">
        <f t="shared" si="61"/>
        <v>60.320665599999998</v>
      </c>
      <c r="R130" s="16"/>
      <c r="S130" s="16">
        <f t="shared" si="62"/>
        <v>14.102399999999999</v>
      </c>
      <c r="T130" s="16">
        <f t="shared" si="63"/>
        <v>94.016000000000005</v>
      </c>
      <c r="U130" s="16">
        <f t="shared" si="64"/>
        <v>30.359646719999997</v>
      </c>
      <c r="V130" s="16">
        <f t="shared" si="65"/>
        <v>31.093911680000001</v>
      </c>
      <c r="W130" s="16"/>
      <c r="X130" s="16">
        <v>0</v>
      </c>
      <c r="Y130" s="16">
        <v>0</v>
      </c>
      <c r="Z130" s="16">
        <v>0</v>
      </c>
      <c r="AA130" s="16">
        <v>0</v>
      </c>
      <c r="AB130" s="16">
        <v>0</v>
      </c>
    </row>
    <row r="131" spans="1:28">
      <c r="A131" s="28"/>
      <c r="B131" s="27" t="s">
        <v>73</v>
      </c>
      <c r="C131" s="26"/>
      <c r="D131" s="25">
        <v>0.4</v>
      </c>
      <c r="E131" s="25">
        <v>0.6</v>
      </c>
      <c r="F131" s="24"/>
      <c r="G131" s="23">
        <v>47.14</v>
      </c>
      <c r="H131" s="22" t="s">
        <v>62</v>
      </c>
      <c r="I131" s="20"/>
      <c r="J131" s="128">
        <f>((D131+E131+D131+E131)*G131/0.15)*2*J86</f>
        <v>627.27626666666674</v>
      </c>
      <c r="K131" s="21"/>
      <c r="L131" s="17"/>
      <c r="M131" s="19"/>
      <c r="N131" s="19"/>
      <c r="O131" s="21">
        <f>(4*G131)+(6*G131/4)*O86</f>
        <v>461.00563000000005</v>
      </c>
      <c r="P131" s="16">
        <f t="shared" si="60"/>
        <v>1088.2818966666669</v>
      </c>
      <c r="Q131" s="16">
        <f t="shared" si="61"/>
        <v>32.648456900000006</v>
      </c>
      <c r="R131" s="16"/>
      <c r="S131" s="16">
        <f t="shared" si="62"/>
        <v>11.313599999999999</v>
      </c>
      <c r="T131" s="16">
        <f t="shared" si="63"/>
        <v>75.424000000000007</v>
      </c>
      <c r="U131" s="16">
        <f t="shared" si="64"/>
        <v>24.355918080000002</v>
      </c>
      <c r="V131" s="16">
        <f t="shared" si="65"/>
        <v>24.944979520000004</v>
      </c>
      <c r="W131" s="16"/>
      <c r="X131" s="16">
        <v>0</v>
      </c>
      <c r="Y131" s="16">
        <v>0</v>
      </c>
      <c r="Z131" s="16">
        <v>0</v>
      </c>
      <c r="AA131" s="16">
        <v>0</v>
      </c>
      <c r="AB131" s="16">
        <v>0</v>
      </c>
    </row>
    <row r="132" spans="1:28">
      <c r="A132" s="28"/>
      <c r="B132" s="27" t="s">
        <v>72</v>
      </c>
      <c r="C132" s="26"/>
      <c r="D132" s="25">
        <v>0.4</v>
      </c>
      <c r="E132" s="25">
        <v>0.6</v>
      </c>
      <c r="F132" s="24"/>
      <c r="G132" s="23">
        <v>32.4</v>
      </c>
      <c r="H132" s="22" t="s">
        <v>62</v>
      </c>
      <c r="I132" s="20"/>
      <c r="J132" s="128">
        <f>((D132+E132+D132+E132)*G132/0.15)*2*J86</f>
        <v>431.13600000000002</v>
      </c>
      <c r="K132" s="21"/>
      <c r="L132" s="17"/>
      <c r="M132" s="19"/>
      <c r="N132" s="19"/>
      <c r="O132" s="21">
        <f>(20*G132)*O86</f>
        <v>2496.7440000000001</v>
      </c>
      <c r="P132" s="16">
        <f t="shared" si="60"/>
        <v>2927.88</v>
      </c>
      <c r="Q132" s="16">
        <f t="shared" si="61"/>
        <v>87.836399999999998</v>
      </c>
      <c r="R132" s="16"/>
      <c r="S132" s="16">
        <f t="shared" si="62"/>
        <v>7.7759999999999998</v>
      </c>
      <c r="T132" s="16">
        <f t="shared" si="63"/>
        <v>51.84</v>
      </c>
      <c r="U132" s="16">
        <f t="shared" si="64"/>
        <v>16.7401728</v>
      </c>
      <c r="V132" s="16">
        <f t="shared" si="65"/>
        <v>17.1450432</v>
      </c>
      <c r="W132" s="16"/>
      <c r="X132" s="16">
        <v>0</v>
      </c>
      <c r="Y132" s="16">
        <v>0</v>
      </c>
      <c r="Z132" s="16">
        <v>0</v>
      </c>
      <c r="AA132" s="16">
        <v>0</v>
      </c>
      <c r="AB132" s="16">
        <v>0</v>
      </c>
    </row>
    <row r="133" spans="1:28">
      <c r="A133" s="28"/>
      <c r="B133" s="27" t="s">
        <v>71</v>
      </c>
      <c r="C133" s="26"/>
      <c r="D133" s="25">
        <v>0.2</v>
      </c>
      <c r="E133" s="25">
        <v>0.6</v>
      </c>
      <c r="F133" s="24"/>
      <c r="G133" s="23">
        <v>66</v>
      </c>
      <c r="H133" s="22" t="s">
        <v>62</v>
      </c>
      <c r="I133" s="20"/>
      <c r="J133" s="128">
        <f>((D133+E133+D133+E133)*G133/0.25)*2*J86</f>
        <v>421.55520000000001</v>
      </c>
      <c r="K133" s="21"/>
      <c r="L133" s="17"/>
      <c r="M133" s="19"/>
      <c r="N133" s="19"/>
      <c r="O133" s="21">
        <f>(4*G133)+(G133/4)+(G133/0.75)*O86</f>
        <v>619.56400000000008</v>
      </c>
      <c r="P133" s="16">
        <f t="shared" si="60"/>
        <v>1041.1192000000001</v>
      </c>
      <c r="Q133" s="16">
        <f t="shared" si="61"/>
        <v>31.233576000000003</v>
      </c>
      <c r="R133" s="16"/>
      <c r="S133" s="16">
        <f t="shared" si="62"/>
        <v>7.92</v>
      </c>
      <c r="T133" s="16">
        <f t="shared" si="63"/>
        <v>92.399999999999991</v>
      </c>
      <c r="U133" s="16">
        <f t="shared" si="64"/>
        <v>29.837807999999995</v>
      </c>
      <c r="V133" s="16">
        <f t="shared" si="65"/>
        <v>30.559451999999997</v>
      </c>
      <c r="W133" s="16"/>
      <c r="X133" s="16">
        <v>0</v>
      </c>
      <c r="Y133" s="16">
        <v>0</v>
      </c>
      <c r="Z133" s="16">
        <v>0</v>
      </c>
      <c r="AA133" s="16">
        <v>0</v>
      </c>
      <c r="AB133" s="16">
        <v>0</v>
      </c>
    </row>
    <row r="134" spans="1:28">
      <c r="A134" s="28"/>
      <c r="B134" s="27" t="s">
        <v>70</v>
      </c>
      <c r="C134" s="26"/>
      <c r="D134" s="25">
        <v>0.2</v>
      </c>
      <c r="E134" s="25">
        <v>0.6</v>
      </c>
      <c r="F134" s="24"/>
      <c r="G134" s="23">
        <v>12.28</v>
      </c>
      <c r="H134" s="22" t="s">
        <v>62</v>
      </c>
      <c r="I134" s="20"/>
      <c r="J134" s="128">
        <f>((D134+E134+D134+E134)*G134/0.25)*J86</f>
        <v>39.217407999999999</v>
      </c>
      <c r="K134" s="21"/>
      <c r="L134" s="17"/>
      <c r="M134" s="19"/>
      <c r="N134" s="19"/>
      <c r="O134" s="21">
        <f>(4*G134)+(2*G134/4)*O86</f>
        <v>72.777419999999992</v>
      </c>
      <c r="P134" s="16">
        <f t="shared" si="60"/>
        <v>111.99482799999998</v>
      </c>
      <c r="Q134" s="16">
        <f t="shared" si="61"/>
        <v>3.3598448399999996</v>
      </c>
      <c r="R134" s="16"/>
      <c r="S134" s="16">
        <f t="shared" si="62"/>
        <v>1.4735999999999998</v>
      </c>
      <c r="T134" s="16">
        <f t="shared" si="63"/>
        <v>17.191999999999997</v>
      </c>
      <c r="U134" s="16">
        <f t="shared" si="64"/>
        <v>5.5516406399999987</v>
      </c>
      <c r="V134" s="16">
        <f t="shared" si="65"/>
        <v>5.6859101599999988</v>
      </c>
      <c r="W134" s="16"/>
      <c r="X134" s="16">
        <v>0</v>
      </c>
      <c r="Y134" s="16">
        <v>0</v>
      </c>
      <c r="Z134" s="16">
        <v>0</v>
      </c>
      <c r="AA134" s="16">
        <v>0</v>
      </c>
      <c r="AB134" s="16">
        <v>0</v>
      </c>
    </row>
    <row r="135" spans="1:28">
      <c r="A135" s="28"/>
      <c r="B135" s="27" t="s">
        <v>69</v>
      </c>
      <c r="C135" s="26"/>
      <c r="D135" s="25">
        <v>0.2</v>
      </c>
      <c r="E135" s="25">
        <v>0.6</v>
      </c>
      <c r="F135" s="24"/>
      <c r="G135" s="23">
        <v>40.31</v>
      </c>
      <c r="H135" s="22" t="s">
        <v>62</v>
      </c>
      <c r="I135" s="20"/>
      <c r="J135" s="128">
        <f>((D135+E135+D135+E135)*G135/0.25)*2*J86</f>
        <v>257.46803200000005</v>
      </c>
      <c r="K135" s="21"/>
      <c r="L135" s="17"/>
      <c r="M135" s="19"/>
      <c r="N135" s="19"/>
      <c r="O135" s="21">
        <f>(4*G135)+(2*G135/4)+(2*G135/0.75)*O86</f>
        <v>595.56681333333336</v>
      </c>
      <c r="P135" s="16">
        <f t="shared" si="60"/>
        <v>853.03484533333335</v>
      </c>
      <c r="Q135" s="16">
        <f t="shared" si="61"/>
        <v>25.591045359999999</v>
      </c>
      <c r="R135" s="16"/>
      <c r="S135" s="16">
        <f t="shared" si="62"/>
        <v>4.8372000000000002</v>
      </c>
      <c r="T135" s="16">
        <f t="shared" si="63"/>
        <v>56.433999999999997</v>
      </c>
      <c r="U135" s="16">
        <f t="shared" si="64"/>
        <v>18.223667279999997</v>
      </c>
      <c r="V135" s="16">
        <f t="shared" si="65"/>
        <v>18.66441682</v>
      </c>
      <c r="W135" s="16"/>
      <c r="X135" s="16">
        <v>0</v>
      </c>
      <c r="Y135" s="16">
        <v>0</v>
      </c>
      <c r="Z135" s="16">
        <v>0</v>
      </c>
      <c r="AA135" s="16">
        <v>0</v>
      </c>
      <c r="AB135" s="16">
        <v>0</v>
      </c>
    </row>
    <row r="136" spans="1:28">
      <c r="A136" s="28"/>
      <c r="B136" s="27" t="s">
        <v>68</v>
      </c>
      <c r="C136" s="26"/>
      <c r="D136" s="25">
        <v>0.3</v>
      </c>
      <c r="E136" s="25">
        <v>0.6</v>
      </c>
      <c r="F136" s="24"/>
      <c r="G136" s="23">
        <v>27.52</v>
      </c>
      <c r="H136" s="22" t="s">
        <v>62</v>
      </c>
      <c r="I136" s="20"/>
      <c r="J136" s="128">
        <f>((D136+E136+D136+E136)*G136/0.25)*2*J86</f>
        <v>197.74771199999998</v>
      </c>
      <c r="K136" s="21"/>
      <c r="L136" s="17"/>
      <c r="M136" s="19"/>
      <c r="N136" s="19"/>
      <c r="O136" s="21">
        <f>(4*G136)+(4*G136/4)+(2*G136/0.75)*O86</f>
        <v>420.35882666666669</v>
      </c>
      <c r="P136" s="16">
        <f t="shared" si="60"/>
        <v>618.10653866666667</v>
      </c>
      <c r="Q136" s="16">
        <f t="shared" si="61"/>
        <v>18.543196160000001</v>
      </c>
      <c r="R136" s="16"/>
      <c r="S136" s="16">
        <f t="shared" si="62"/>
        <v>4.9535999999999998</v>
      </c>
      <c r="T136" s="16">
        <f t="shared" si="63"/>
        <v>41.28</v>
      </c>
      <c r="U136" s="16">
        <f t="shared" si="64"/>
        <v>13.330137599999999</v>
      </c>
      <c r="V136" s="16">
        <f t="shared" si="65"/>
        <v>13.6525344</v>
      </c>
      <c r="W136" s="16"/>
      <c r="X136" s="16">
        <v>0</v>
      </c>
      <c r="Y136" s="16">
        <v>0</v>
      </c>
      <c r="Z136" s="16">
        <v>0</v>
      </c>
      <c r="AA136" s="16">
        <v>0</v>
      </c>
      <c r="AB136" s="16">
        <v>0</v>
      </c>
    </row>
    <row r="137" spans="1:28">
      <c r="A137" s="28"/>
      <c r="B137" s="27" t="s">
        <v>67</v>
      </c>
      <c r="C137" s="26"/>
      <c r="D137" s="25">
        <v>0.3</v>
      </c>
      <c r="E137" s="25">
        <v>0.6</v>
      </c>
      <c r="F137" s="24"/>
      <c r="G137" s="23">
        <v>8.26</v>
      </c>
      <c r="H137" s="22" t="s">
        <v>62</v>
      </c>
      <c r="I137" s="20"/>
      <c r="J137" s="128">
        <f>((D137+E137+D137+E137)*G137/0.25)*2*J86</f>
        <v>59.353055999999995</v>
      </c>
      <c r="K137" s="21"/>
      <c r="L137" s="17"/>
      <c r="M137" s="19"/>
      <c r="N137" s="19"/>
      <c r="O137" s="21">
        <f>(4*G137)+(3*G137/4)+(2*G137/0.75)*O86</f>
        <v>124.10374666666667</v>
      </c>
      <c r="P137" s="16">
        <f t="shared" si="60"/>
        <v>183.45680266666665</v>
      </c>
      <c r="Q137" s="16">
        <f t="shared" si="61"/>
        <v>5.5037040799999994</v>
      </c>
      <c r="R137" s="16"/>
      <c r="S137" s="16">
        <f t="shared" si="62"/>
        <v>1.4867999999999999</v>
      </c>
      <c r="T137" s="16">
        <f t="shared" si="63"/>
        <v>12.39</v>
      </c>
      <c r="U137" s="16">
        <f t="shared" si="64"/>
        <v>4.0009788000000004</v>
      </c>
      <c r="V137" s="16">
        <f t="shared" si="65"/>
        <v>4.0977446999999998</v>
      </c>
      <c r="W137" s="16"/>
      <c r="X137" s="16">
        <v>0</v>
      </c>
      <c r="Y137" s="16">
        <v>0</v>
      </c>
      <c r="Z137" s="16">
        <v>0</v>
      </c>
      <c r="AA137" s="16">
        <v>0</v>
      </c>
      <c r="AB137" s="16">
        <v>0</v>
      </c>
    </row>
    <row r="138" spans="1:28">
      <c r="A138" s="28"/>
      <c r="B138" s="27" t="s">
        <v>66</v>
      </c>
      <c r="C138" s="26"/>
      <c r="D138" s="25">
        <v>0.4</v>
      </c>
      <c r="E138" s="25">
        <v>0.6</v>
      </c>
      <c r="F138" s="24">
        <v>4</v>
      </c>
      <c r="G138" s="23">
        <v>9</v>
      </c>
      <c r="H138" s="22" t="s">
        <v>62</v>
      </c>
      <c r="I138" s="17">
        <f>(((D138+E138+D138+E138)*F138/0.29)*G138)*2*I86</f>
        <v>110.2344827586207</v>
      </c>
      <c r="J138" s="128"/>
      <c r="K138" s="21"/>
      <c r="L138" s="17"/>
      <c r="M138" s="19"/>
      <c r="N138" s="19"/>
      <c r="O138" s="21">
        <f>(G138*8*F138)*O86</f>
        <v>1109.664</v>
      </c>
      <c r="P138" s="16">
        <f t="shared" si="60"/>
        <v>1219.8984827586207</v>
      </c>
      <c r="Q138" s="16">
        <f t="shared" si="61"/>
        <v>36.596954482758619</v>
      </c>
      <c r="R138" s="16"/>
      <c r="S138" s="16">
        <f>(D138*E138*F138)*G138</f>
        <v>8.64</v>
      </c>
      <c r="T138" s="16">
        <f t="shared" ref="T138:T145" si="66">(D138+E138+E138+D138)*G138</f>
        <v>18</v>
      </c>
      <c r="U138" s="16">
        <f t="shared" si="64"/>
        <v>5.8125600000000004</v>
      </c>
      <c r="V138" s="16">
        <f t="shared" si="65"/>
        <v>5.9531400000000003</v>
      </c>
      <c r="W138" s="16"/>
      <c r="X138" s="16">
        <v>0</v>
      </c>
      <c r="Y138" s="16">
        <v>0</v>
      </c>
      <c r="Z138" s="16">
        <v>0</v>
      </c>
      <c r="AA138" s="16">
        <v>0</v>
      </c>
      <c r="AB138" s="16">
        <v>0</v>
      </c>
    </row>
    <row r="139" spans="1:28">
      <c r="A139" s="28"/>
      <c r="B139" s="27" t="s">
        <v>65</v>
      </c>
      <c r="C139" s="26"/>
      <c r="D139" s="25">
        <v>0.4</v>
      </c>
      <c r="E139" s="25">
        <v>0.6</v>
      </c>
      <c r="F139" s="24">
        <v>4</v>
      </c>
      <c r="G139" s="23">
        <v>24</v>
      </c>
      <c r="H139" s="22" t="s">
        <v>62</v>
      </c>
      <c r="I139" s="17">
        <f>(((D139+E139+D139+E139)*F139/0.29)*G139)*2*I86</f>
        <v>293.95862068965516</v>
      </c>
      <c r="J139" s="128"/>
      <c r="K139" s="21"/>
      <c r="L139" s="17"/>
      <c r="M139" s="19"/>
      <c r="N139" s="19"/>
      <c r="O139" s="21">
        <f>(G139*8*F139)*O86</f>
        <v>2959.1040000000003</v>
      </c>
      <c r="P139" s="16">
        <f t="shared" si="60"/>
        <v>3253.0626206896554</v>
      </c>
      <c r="Q139" s="16">
        <f t="shared" si="61"/>
        <v>97.591878620689656</v>
      </c>
      <c r="R139" s="16"/>
      <c r="S139" s="16">
        <f>(D139*E139*F139)*G139</f>
        <v>23.04</v>
      </c>
      <c r="T139" s="16">
        <f t="shared" si="66"/>
        <v>48</v>
      </c>
      <c r="U139" s="16">
        <f t="shared" si="64"/>
        <v>15.500159999999999</v>
      </c>
      <c r="V139" s="16">
        <f t="shared" si="65"/>
        <v>15.87504</v>
      </c>
      <c r="W139" s="16"/>
      <c r="X139" s="16">
        <v>0</v>
      </c>
      <c r="Y139" s="16">
        <v>0</v>
      </c>
      <c r="Z139" s="16">
        <v>0</v>
      </c>
      <c r="AA139" s="16">
        <v>0</v>
      </c>
      <c r="AB139" s="16">
        <v>0</v>
      </c>
    </row>
    <row r="140" spans="1:28">
      <c r="A140" s="28"/>
      <c r="B140" s="27" t="s">
        <v>64</v>
      </c>
      <c r="C140" s="26"/>
      <c r="D140" s="25">
        <v>0.4</v>
      </c>
      <c r="E140" s="25">
        <v>0.6</v>
      </c>
      <c r="F140" s="24">
        <v>4</v>
      </c>
      <c r="G140" s="23">
        <v>34</v>
      </c>
      <c r="H140" s="22" t="s">
        <v>62</v>
      </c>
      <c r="I140" s="17">
        <f>(((D140+E140+D140+E140)*F140/0.29)*G140)*2*I86</f>
        <v>416.44137931034487</v>
      </c>
      <c r="J140" s="128"/>
      <c r="K140" s="21"/>
      <c r="L140" s="17"/>
      <c r="M140" s="19"/>
      <c r="N140" s="19"/>
      <c r="O140" s="21">
        <f>(G140*8*F140)*O86</f>
        <v>4192.0640000000003</v>
      </c>
      <c r="P140" s="16">
        <f t="shared" si="60"/>
        <v>4608.5053793103452</v>
      </c>
      <c r="Q140" s="16">
        <f t="shared" si="61"/>
        <v>138.25516137931035</v>
      </c>
      <c r="R140" s="16"/>
      <c r="S140" s="16">
        <f>(D140*E140*F140)*G140</f>
        <v>32.64</v>
      </c>
      <c r="T140" s="16">
        <f t="shared" si="66"/>
        <v>68</v>
      </c>
      <c r="U140" s="16">
        <f t="shared" si="64"/>
        <v>21.958559999999999</v>
      </c>
      <c r="V140" s="16">
        <f t="shared" si="65"/>
        <v>22.489640000000001</v>
      </c>
      <c r="W140" s="16"/>
      <c r="X140" s="16">
        <v>0</v>
      </c>
      <c r="Y140" s="16">
        <v>0</v>
      </c>
      <c r="Z140" s="16">
        <v>0</v>
      </c>
      <c r="AA140" s="16">
        <v>0</v>
      </c>
      <c r="AB140" s="16">
        <v>0</v>
      </c>
    </row>
    <row r="141" spans="1:28">
      <c r="A141" s="28"/>
      <c r="B141" s="27" t="s">
        <v>63</v>
      </c>
      <c r="C141" s="26"/>
      <c r="D141" s="25">
        <v>0.4</v>
      </c>
      <c r="E141" s="25">
        <v>0.6</v>
      </c>
      <c r="F141" s="24">
        <v>4</v>
      </c>
      <c r="G141" s="23">
        <v>3</v>
      </c>
      <c r="H141" s="22" t="s">
        <v>62</v>
      </c>
      <c r="I141" s="17">
        <f>(((D141+E141+D141+E141)*F141/0.29)*G141)*2*I86</f>
        <v>36.744827586206895</v>
      </c>
      <c r="J141" s="128"/>
      <c r="K141" s="21"/>
      <c r="L141" s="17"/>
      <c r="M141" s="19"/>
      <c r="N141" s="19"/>
      <c r="O141" s="21">
        <f>(G141*8*F141)*O86</f>
        <v>369.88800000000003</v>
      </c>
      <c r="P141" s="16">
        <f t="shared" si="60"/>
        <v>406.63282758620693</v>
      </c>
      <c r="Q141" s="16">
        <f t="shared" si="61"/>
        <v>12.198984827586207</v>
      </c>
      <c r="R141" s="16"/>
      <c r="S141" s="16">
        <f>(D141*E141*F141)*G141</f>
        <v>2.88</v>
      </c>
      <c r="T141" s="16">
        <f t="shared" si="66"/>
        <v>6</v>
      </c>
      <c r="U141" s="16">
        <f t="shared" si="64"/>
        <v>1.9375199999999999</v>
      </c>
      <c r="V141" s="16">
        <f t="shared" si="65"/>
        <v>1.98438</v>
      </c>
      <c r="W141" s="16"/>
      <c r="X141" s="16">
        <v>0</v>
      </c>
      <c r="Y141" s="16">
        <v>0</v>
      </c>
      <c r="Z141" s="16">
        <v>0</v>
      </c>
      <c r="AA141" s="16">
        <v>0</v>
      </c>
      <c r="AB141" s="16">
        <v>0</v>
      </c>
    </row>
    <row r="142" spans="1:28">
      <c r="A142" s="28"/>
      <c r="B142" s="27" t="s">
        <v>349</v>
      </c>
      <c r="C142" s="26"/>
      <c r="D142" s="25">
        <v>0.25</v>
      </c>
      <c r="E142" s="25">
        <v>0.5</v>
      </c>
      <c r="F142" s="24"/>
      <c r="G142" s="23">
        <f>3*2</f>
        <v>6</v>
      </c>
      <c r="H142" s="22" t="s">
        <v>62</v>
      </c>
      <c r="I142" s="17"/>
      <c r="J142" s="128"/>
      <c r="K142" s="21"/>
      <c r="L142" s="17"/>
      <c r="M142" s="19"/>
      <c r="N142" s="19"/>
      <c r="O142" s="21">
        <f>(6*G142)*O86</f>
        <v>138.708</v>
      </c>
      <c r="P142" s="16">
        <f t="shared" si="60"/>
        <v>138.708</v>
      </c>
      <c r="Q142" s="16">
        <f t="shared" si="61"/>
        <v>4.1612399999999994</v>
      </c>
      <c r="R142" s="16"/>
      <c r="S142" s="16">
        <f>D142*E142*G142</f>
        <v>0.75</v>
      </c>
      <c r="T142" s="16">
        <f t="shared" si="66"/>
        <v>9</v>
      </c>
      <c r="U142" s="16">
        <f t="shared" ref="U142:U145" si="67">T142*30%</f>
        <v>2.6999999999999997</v>
      </c>
      <c r="V142" s="16">
        <f t="shared" si="65"/>
        <v>2.9249999999999998</v>
      </c>
      <c r="W142" s="16"/>
      <c r="X142" s="16"/>
      <c r="Y142" s="16"/>
      <c r="Z142" s="16"/>
      <c r="AA142" s="16"/>
      <c r="AB142" s="16"/>
    </row>
    <row r="143" spans="1:28">
      <c r="A143" s="28"/>
      <c r="B143" s="27" t="s">
        <v>350</v>
      </c>
      <c r="C143" s="26"/>
      <c r="D143" s="25">
        <v>0.25</v>
      </c>
      <c r="E143" s="25">
        <v>0.5</v>
      </c>
      <c r="F143" s="24"/>
      <c r="G143" s="23">
        <f>3.8*2</f>
        <v>7.6</v>
      </c>
      <c r="H143" s="22" t="s">
        <v>62</v>
      </c>
      <c r="I143" s="17"/>
      <c r="J143" s="128"/>
      <c r="K143" s="21"/>
      <c r="L143" s="17"/>
      <c r="M143" s="19"/>
      <c r="N143" s="19"/>
      <c r="O143" s="21">
        <f>(6*G143)*O86</f>
        <v>175.6968</v>
      </c>
      <c r="P143" s="16">
        <f t="shared" si="60"/>
        <v>175.6968</v>
      </c>
      <c r="Q143" s="16">
        <f t="shared" si="61"/>
        <v>5.2709039999999998</v>
      </c>
      <c r="R143" s="16"/>
      <c r="S143" s="16">
        <f>D143*E143*G143</f>
        <v>0.95</v>
      </c>
      <c r="T143" s="16">
        <f t="shared" si="66"/>
        <v>11.399999999999999</v>
      </c>
      <c r="U143" s="16">
        <f t="shared" si="67"/>
        <v>3.4199999999999995</v>
      </c>
      <c r="V143" s="16">
        <f t="shared" si="65"/>
        <v>3.7049999999999996</v>
      </c>
      <c r="W143" s="16"/>
      <c r="X143" s="16"/>
      <c r="Y143" s="16"/>
      <c r="Z143" s="16"/>
      <c r="AA143" s="16"/>
      <c r="AB143" s="16"/>
    </row>
    <row r="144" spans="1:28">
      <c r="A144" s="28"/>
      <c r="B144" s="27" t="s">
        <v>351</v>
      </c>
      <c r="C144" s="26"/>
      <c r="D144" s="25">
        <v>0.25</v>
      </c>
      <c r="E144" s="25">
        <v>0.5</v>
      </c>
      <c r="F144" s="24"/>
      <c r="G144" s="23">
        <f>2.7*2</f>
        <v>5.4</v>
      </c>
      <c r="H144" s="22" t="s">
        <v>62</v>
      </c>
      <c r="I144" s="17"/>
      <c r="J144" s="128"/>
      <c r="K144" s="21"/>
      <c r="L144" s="17"/>
      <c r="M144" s="19"/>
      <c r="N144" s="19"/>
      <c r="O144" s="21">
        <f>(6*G144)*O86</f>
        <v>124.83720000000002</v>
      </c>
      <c r="P144" s="16">
        <f t="shared" si="60"/>
        <v>124.83720000000002</v>
      </c>
      <c r="Q144" s="16">
        <f t="shared" si="61"/>
        <v>3.7451160000000008</v>
      </c>
      <c r="R144" s="16"/>
      <c r="S144" s="16">
        <f>D144*E144*G144</f>
        <v>0.67500000000000004</v>
      </c>
      <c r="T144" s="16">
        <f t="shared" si="66"/>
        <v>8.1000000000000014</v>
      </c>
      <c r="U144" s="16">
        <f t="shared" si="67"/>
        <v>2.4300000000000002</v>
      </c>
      <c r="V144" s="16">
        <f t="shared" si="65"/>
        <v>2.6325000000000003</v>
      </c>
      <c r="W144" s="16"/>
      <c r="X144" s="16"/>
      <c r="Y144" s="16"/>
      <c r="Z144" s="16"/>
      <c r="AA144" s="16"/>
      <c r="AB144" s="16"/>
    </row>
    <row r="145" spans="1:28">
      <c r="A145" s="28"/>
      <c r="B145" s="27" t="s">
        <v>352</v>
      </c>
      <c r="C145" s="26"/>
      <c r="D145" s="25">
        <v>0.25</v>
      </c>
      <c r="E145" s="25">
        <v>0.5</v>
      </c>
      <c r="F145" s="24"/>
      <c r="G145" s="23">
        <f>2.7*2</f>
        <v>5.4</v>
      </c>
      <c r="H145" s="22" t="s">
        <v>62</v>
      </c>
      <c r="I145" s="17"/>
      <c r="J145" s="128"/>
      <c r="K145" s="21"/>
      <c r="L145" s="17"/>
      <c r="M145" s="19"/>
      <c r="N145" s="19"/>
      <c r="O145" s="21">
        <f>(6*G145)*O86</f>
        <v>124.83720000000002</v>
      </c>
      <c r="P145" s="16">
        <f t="shared" si="60"/>
        <v>124.83720000000002</v>
      </c>
      <c r="Q145" s="16">
        <f t="shared" si="61"/>
        <v>3.7451160000000008</v>
      </c>
      <c r="R145" s="16"/>
      <c r="S145" s="16">
        <f>D145*E145*G145</f>
        <v>0.67500000000000004</v>
      </c>
      <c r="T145" s="16">
        <f t="shared" si="66"/>
        <v>8.1000000000000014</v>
      </c>
      <c r="U145" s="16">
        <f t="shared" si="67"/>
        <v>2.4300000000000002</v>
      </c>
      <c r="V145" s="16">
        <f t="shared" si="65"/>
        <v>2.6325000000000003</v>
      </c>
      <c r="W145" s="16"/>
      <c r="X145" s="16"/>
      <c r="Y145" s="16"/>
      <c r="Z145" s="16"/>
      <c r="AA145" s="16"/>
      <c r="AB145" s="16"/>
    </row>
    <row r="146" spans="1:28">
      <c r="A146" s="28"/>
      <c r="B146" s="27" t="s">
        <v>321</v>
      </c>
      <c r="C146" s="20" t="s">
        <v>83</v>
      </c>
      <c r="D146" s="25"/>
      <c r="E146" s="25"/>
      <c r="F146" s="24">
        <v>0.05</v>
      </c>
      <c r="G146" s="23">
        <f>'Architecture '!T224</f>
        <v>0</v>
      </c>
      <c r="H146" s="22" t="s">
        <v>61</v>
      </c>
      <c r="I146" s="20"/>
      <c r="J146" s="32"/>
      <c r="K146" s="21"/>
      <c r="L146" s="17"/>
      <c r="M146" s="19"/>
      <c r="N146" s="19"/>
      <c r="O146" s="21"/>
      <c r="P146" s="16">
        <f t="shared" si="60"/>
        <v>0</v>
      </c>
      <c r="Q146" s="16">
        <f t="shared" si="61"/>
        <v>0</v>
      </c>
      <c r="R146" s="16"/>
      <c r="S146" s="16">
        <f>+F146*G146</f>
        <v>0</v>
      </c>
      <c r="T146" s="16">
        <f>G146</f>
        <v>0</v>
      </c>
      <c r="U146" s="16">
        <f t="shared" si="64"/>
        <v>0</v>
      </c>
      <c r="V146" s="16">
        <f t="shared" si="65"/>
        <v>0</v>
      </c>
      <c r="W146" s="16">
        <f>+D146*G146*0.1</f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f>G146</f>
        <v>0</v>
      </c>
    </row>
    <row r="147" spans="1:28">
      <c r="A147" s="28"/>
      <c r="B147" s="27" t="s">
        <v>314</v>
      </c>
      <c r="C147" s="26"/>
      <c r="D147" s="25">
        <v>0.3</v>
      </c>
      <c r="E147" s="25">
        <v>0.6</v>
      </c>
      <c r="F147" s="24"/>
      <c r="G147" s="23">
        <v>84.04</v>
      </c>
      <c r="H147" s="22" t="s">
        <v>62</v>
      </c>
      <c r="I147" s="20"/>
      <c r="J147" s="32">
        <f>((D147+E147+D147+E147)*G147/0.25)*J86</f>
        <v>301.93891199999996</v>
      </c>
      <c r="K147" s="21"/>
      <c r="L147" s="17">
        <f>(4*G147)*L86</f>
        <v>298.51008000000002</v>
      </c>
      <c r="M147" s="19"/>
      <c r="N147" s="19"/>
      <c r="O147" s="18">
        <f>(G147/0.75)+(4*(G147/4))*O86</f>
        <v>435.85945333333336</v>
      </c>
      <c r="P147" s="16">
        <f t="shared" ref="P147:P152" si="68">SUM(E147:O147)</f>
        <v>1120.9484453333334</v>
      </c>
      <c r="Q147" s="16">
        <f t="shared" si="61"/>
        <v>33.628453360000002</v>
      </c>
      <c r="R147" s="16"/>
      <c r="S147" s="16">
        <f t="shared" ref="S147:S156" si="69">D147*E147*G147</f>
        <v>15.1272</v>
      </c>
      <c r="T147" s="16">
        <f t="shared" ref="T147:T156" si="70">(D147+E147+E147)*G147</f>
        <v>126.06</v>
      </c>
      <c r="U147" s="16">
        <f t="shared" si="64"/>
        <v>40.707295199999997</v>
      </c>
      <c r="V147" s="16">
        <f t="shared" si="65"/>
        <v>41.691823800000002</v>
      </c>
      <c r="W147" s="16"/>
      <c r="X147" s="16"/>
      <c r="Y147" s="16"/>
      <c r="Z147" s="16"/>
      <c r="AA147" s="16"/>
      <c r="AB147" s="16"/>
    </row>
    <row r="148" spans="1:28">
      <c r="A148" s="28"/>
      <c r="B148" s="27" t="s">
        <v>315</v>
      </c>
      <c r="C148" s="26"/>
      <c r="D148" s="25">
        <v>0.3</v>
      </c>
      <c r="E148" s="25">
        <v>0.6</v>
      </c>
      <c r="F148" s="24"/>
      <c r="G148" s="23">
        <v>41.64</v>
      </c>
      <c r="H148" s="22" t="s">
        <v>62</v>
      </c>
      <c r="I148" s="20"/>
      <c r="J148" s="32">
        <f>((D148+E148+D148+E148)*G148/0.25)*J86</f>
        <v>149.60419199999998</v>
      </c>
      <c r="K148" s="21"/>
      <c r="L148" s="17">
        <f>(4*G148)*L86</f>
        <v>147.90528</v>
      </c>
      <c r="M148" s="19"/>
      <c r="N148" s="19"/>
      <c r="O148" s="18">
        <f>(G148/0.75)+(4*(G148/4))*O86</f>
        <v>215.95892000000003</v>
      </c>
      <c r="P148" s="16">
        <f t="shared" si="68"/>
        <v>555.708392</v>
      </c>
      <c r="Q148" s="16">
        <f t="shared" si="61"/>
        <v>16.671251760000001</v>
      </c>
      <c r="R148" s="16"/>
      <c r="S148" s="16">
        <f t="shared" si="69"/>
        <v>7.4951999999999996</v>
      </c>
      <c r="T148" s="16">
        <f t="shared" si="70"/>
        <v>62.46</v>
      </c>
      <c r="U148" s="16">
        <f t="shared" si="64"/>
        <v>20.169583199999998</v>
      </c>
      <c r="V148" s="16">
        <f t="shared" si="65"/>
        <v>20.6573958</v>
      </c>
      <c r="W148" s="16"/>
      <c r="X148" s="16"/>
      <c r="Y148" s="16"/>
      <c r="Z148" s="16"/>
      <c r="AA148" s="16"/>
      <c r="AB148" s="16"/>
    </row>
    <row r="149" spans="1:28">
      <c r="A149" s="28"/>
      <c r="B149" s="27" t="s">
        <v>316</v>
      </c>
      <c r="C149" s="26"/>
      <c r="D149" s="25">
        <v>0.3</v>
      </c>
      <c r="E149" s="25">
        <v>0.6</v>
      </c>
      <c r="F149" s="24"/>
      <c r="G149" s="23">
        <v>143</v>
      </c>
      <c r="H149" s="22" t="s">
        <v>62</v>
      </c>
      <c r="I149" s="20"/>
      <c r="J149" s="32">
        <f>((D149+E149+D149+E149)*G149/0.25)*J86</f>
        <v>513.7704</v>
      </c>
      <c r="K149" s="21"/>
      <c r="L149" s="17">
        <f>(4*G149)*L86</f>
        <v>507.93599999999998</v>
      </c>
      <c r="M149" s="19"/>
      <c r="N149" s="19"/>
      <c r="O149" s="18">
        <f>(2*G149/0.75)+(4*(G149/4))*O86</f>
        <v>932.3123333333333</v>
      </c>
      <c r="P149" s="16">
        <f t="shared" si="68"/>
        <v>2097.6187333333332</v>
      </c>
      <c r="Q149" s="16">
        <f t="shared" si="61"/>
        <v>62.928561999999992</v>
      </c>
      <c r="R149" s="16"/>
      <c r="S149" s="16">
        <f t="shared" si="69"/>
        <v>25.74</v>
      </c>
      <c r="T149" s="16">
        <f t="shared" si="70"/>
        <v>214.5</v>
      </c>
      <c r="U149" s="16">
        <f t="shared" si="64"/>
        <v>69.266339999999985</v>
      </c>
      <c r="V149" s="16">
        <f t="shared" si="65"/>
        <v>70.941585000000003</v>
      </c>
      <c r="W149" s="16"/>
      <c r="X149" s="16"/>
      <c r="Y149" s="16"/>
      <c r="Z149" s="16"/>
      <c r="AA149" s="16"/>
      <c r="AB149" s="16"/>
    </row>
    <row r="150" spans="1:28">
      <c r="A150" s="28"/>
      <c r="B150" s="27" t="s">
        <v>317</v>
      </c>
      <c r="C150" s="26"/>
      <c r="D150" s="25">
        <v>0.4</v>
      </c>
      <c r="E150" s="25">
        <v>0.7</v>
      </c>
      <c r="F150" s="24"/>
      <c r="G150" s="23">
        <v>24.5</v>
      </c>
      <c r="H150" s="22" t="s">
        <v>62</v>
      </c>
      <c r="I150" s="20"/>
      <c r="J150" s="32">
        <f>((D150+E150+D150+E150)*G150/0.25)*2*J86</f>
        <v>215.16880000000003</v>
      </c>
      <c r="K150" s="21"/>
      <c r="L150" s="17"/>
      <c r="M150" s="19"/>
      <c r="N150" s="19"/>
      <c r="O150" s="18">
        <f>(4*G150)+(8*G150/0.75)+(8*G150/4)*O86</f>
        <v>548.13033333333328</v>
      </c>
      <c r="P150" s="16">
        <f t="shared" si="68"/>
        <v>788.49913333333325</v>
      </c>
      <c r="Q150" s="16">
        <f t="shared" si="61"/>
        <v>23.654973999999996</v>
      </c>
      <c r="R150" s="16"/>
      <c r="S150" s="16">
        <f t="shared" si="69"/>
        <v>6.8599999999999994</v>
      </c>
      <c r="T150" s="16">
        <f t="shared" si="70"/>
        <v>44.1</v>
      </c>
      <c r="U150" s="16">
        <f t="shared" si="64"/>
        <v>14.240771999999998</v>
      </c>
      <c r="V150" s="16">
        <f t="shared" si="65"/>
        <v>14.585193</v>
      </c>
      <c r="W150" s="16"/>
      <c r="X150" s="16"/>
      <c r="Y150" s="16"/>
      <c r="Z150" s="16"/>
      <c r="AA150" s="16"/>
      <c r="AB150" s="16"/>
    </row>
    <row r="151" spans="1:28">
      <c r="A151" s="28"/>
      <c r="B151" s="27" t="s">
        <v>318</v>
      </c>
      <c r="C151" s="26"/>
      <c r="D151" s="25">
        <v>0.3</v>
      </c>
      <c r="E151" s="25">
        <v>0.6</v>
      </c>
      <c r="F151" s="24"/>
      <c r="G151" s="23">
        <v>17.09</v>
      </c>
      <c r="H151" s="22" t="s">
        <v>62</v>
      </c>
      <c r="I151" s="20"/>
      <c r="J151" s="32">
        <f>((D151+E151+D151+E151)*G151/0.25)*J86</f>
        <v>61.400951999999997</v>
      </c>
      <c r="K151" s="21"/>
      <c r="L151" s="17">
        <f>(4*G151)*L86</f>
        <v>60.703679999999999</v>
      </c>
      <c r="M151" s="19"/>
      <c r="N151" s="19"/>
      <c r="O151" s="18">
        <f>(G151/0.75)+(2*(G151/4))*O86</f>
        <v>55.71055166666666</v>
      </c>
      <c r="P151" s="16">
        <f t="shared" si="68"/>
        <v>195.50518366666665</v>
      </c>
      <c r="Q151" s="16">
        <f t="shared" si="61"/>
        <v>5.8651555099999992</v>
      </c>
      <c r="R151" s="16"/>
      <c r="S151" s="16">
        <f t="shared" si="69"/>
        <v>3.0762</v>
      </c>
      <c r="T151" s="16">
        <f t="shared" si="70"/>
        <v>25.634999999999998</v>
      </c>
      <c r="U151" s="16">
        <f t="shared" si="64"/>
        <v>8.2780541999999979</v>
      </c>
      <c r="V151" s="16">
        <f t="shared" si="65"/>
        <v>8.4782635499999994</v>
      </c>
      <c r="W151" s="16"/>
      <c r="X151" s="16"/>
      <c r="Y151" s="16"/>
      <c r="Z151" s="16"/>
      <c r="AA151" s="16"/>
      <c r="AB151" s="16"/>
    </row>
    <row r="152" spans="1:28">
      <c r="A152" s="28"/>
      <c r="B152" s="27" t="s">
        <v>319</v>
      </c>
      <c r="C152" s="26"/>
      <c r="D152" s="25">
        <v>0.3</v>
      </c>
      <c r="E152" s="25">
        <v>0.6</v>
      </c>
      <c r="F152" s="24"/>
      <c r="G152" s="23">
        <v>52.12</v>
      </c>
      <c r="H152" s="22" t="s">
        <v>62</v>
      </c>
      <c r="I152" s="20"/>
      <c r="J152" s="32">
        <f>((D152+E152+D152+E152)*G152/0.2)*J86</f>
        <v>234.07091999999997</v>
      </c>
      <c r="K152" s="21"/>
      <c r="L152" s="17"/>
      <c r="M152" s="19"/>
      <c r="N152" s="19"/>
      <c r="O152" s="18">
        <f>(8*G152)*O86</f>
        <v>1606.5468800000001</v>
      </c>
      <c r="P152" s="16">
        <f t="shared" si="68"/>
        <v>1893.3378</v>
      </c>
      <c r="Q152" s="16">
        <f t="shared" si="61"/>
        <v>56.800134</v>
      </c>
      <c r="R152" s="16"/>
      <c r="S152" s="16">
        <f t="shared" si="69"/>
        <v>9.3815999999999988</v>
      </c>
      <c r="T152" s="16">
        <f t="shared" si="70"/>
        <v>78.179999999999993</v>
      </c>
      <c r="U152" s="16">
        <f t="shared" si="64"/>
        <v>25.245885599999994</v>
      </c>
      <c r="V152" s="16">
        <f t="shared" si="65"/>
        <v>25.856471399999997</v>
      </c>
      <c r="W152" s="16"/>
      <c r="X152" s="16"/>
      <c r="Y152" s="16"/>
      <c r="Z152" s="16"/>
      <c r="AA152" s="16"/>
      <c r="AB152" s="16"/>
    </row>
    <row r="153" spans="1:28">
      <c r="A153" s="28"/>
      <c r="B153" s="27" t="s">
        <v>353</v>
      </c>
      <c r="C153" s="26"/>
      <c r="D153" s="25">
        <v>0.3</v>
      </c>
      <c r="E153" s="25">
        <v>0.3</v>
      </c>
      <c r="F153" s="24"/>
      <c r="G153" s="23">
        <v>21.5</v>
      </c>
      <c r="H153" s="22" t="s">
        <v>62</v>
      </c>
      <c r="I153" s="19"/>
      <c r="J153" s="32">
        <f>((D153+E153+D153+E153)*G153/0.19)*J86</f>
        <v>67.758947368421047</v>
      </c>
      <c r="K153" s="21"/>
      <c r="L153" s="17">
        <f>(G153*8)*L86</f>
        <v>152.73599999999999</v>
      </c>
      <c r="M153" s="19"/>
      <c r="N153" s="19"/>
      <c r="O153" s="18"/>
      <c r="P153" s="16">
        <f>SUM(I153:O153)</f>
        <v>220.49494736842104</v>
      </c>
      <c r="Q153" s="16">
        <f t="shared" si="61"/>
        <v>6.6148484210526313</v>
      </c>
      <c r="R153" s="16"/>
      <c r="S153" s="16">
        <f t="shared" si="69"/>
        <v>1.9349999999999998</v>
      </c>
      <c r="T153" s="16">
        <f t="shared" si="70"/>
        <v>19.349999999999998</v>
      </c>
      <c r="U153" s="16">
        <f t="shared" ref="U153:U156" si="71">T153*30%</f>
        <v>5.8049999999999988</v>
      </c>
      <c r="V153" s="16">
        <f t="shared" si="65"/>
        <v>6.2887499999999994</v>
      </c>
      <c r="W153" s="16"/>
      <c r="X153" s="16"/>
      <c r="Y153" s="16"/>
      <c r="Z153" s="16"/>
      <c r="AA153" s="16"/>
      <c r="AB153" s="16"/>
    </row>
    <row r="154" spans="1:28">
      <c r="A154" s="28"/>
      <c r="B154" s="27" t="s">
        <v>354</v>
      </c>
      <c r="C154" s="26"/>
      <c r="D154" s="25">
        <v>0.45</v>
      </c>
      <c r="E154" s="25">
        <v>0.45</v>
      </c>
      <c r="F154" s="24"/>
      <c r="G154" s="23">
        <v>12.9</v>
      </c>
      <c r="H154" s="22" t="s">
        <v>62</v>
      </c>
      <c r="I154" s="19"/>
      <c r="J154" s="32">
        <f>((D154+E154+D154+E154)*G154/0.25)*J86</f>
        <v>46.347120000000004</v>
      </c>
      <c r="K154" s="21"/>
      <c r="L154" s="17"/>
      <c r="M154" s="19">
        <f>(G154*8)*M86</f>
        <v>162.84960000000001</v>
      </c>
      <c r="N154" s="19"/>
      <c r="O154" s="18"/>
      <c r="P154" s="16">
        <f>SUM(I154:O154)</f>
        <v>209.19672000000003</v>
      </c>
      <c r="Q154" s="16">
        <f t="shared" si="61"/>
        <v>6.275901600000001</v>
      </c>
      <c r="R154" s="16"/>
      <c r="S154" s="16">
        <f t="shared" si="69"/>
        <v>2.6122500000000004</v>
      </c>
      <c r="T154" s="16">
        <f t="shared" si="70"/>
        <v>17.415000000000003</v>
      </c>
      <c r="U154" s="16">
        <f t="shared" si="71"/>
        <v>5.2245000000000008</v>
      </c>
      <c r="V154" s="16">
        <f t="shared" si="65"/>
        <v>5.6598750000000013</v>
      </c>
      <c r="W154" s="16"/>
      <c r="X154" s="16"/>
      <c r="Y154" s="16"/>
      <c r="Z154" s="16"/>
      <c r="AA154" s="16"/>
      <c r="AB154" s="16"/>
    </row>
    <row r="155" spans="1:28">
      <c r="A155" s="28"/>
      <c r="B155" s="27" t="s">
        <v>355</v>
      </c>
      <c r="C155" s="26"/>
      <c r="D155" s="25">
        <v>0.5</v>
      </c>
      <c r="E155" s="25">
        <v>0.5</v>
      </c>
      <c r="F155" s="24"/>
      <c r="G155" s="23">
        <v>172</v>
      </c>
      <c r="H155" s="22" t="s">
        <v>62</v>
      </c>
      <c r="I155" s="19"/>
      <c r="J155" s="32">
        <f>((D155+E155+D155+E155)*G155/0.3)*J86</f>
        <v>572.18666666666672</v>
      </c>
      <c r="K155" s="21"/>
      <c r="L155" s="17"/>
      <c r="M155" s="19"/>
      <c r="N155" s="19">
        <f>(G155*8)*N86</f>
        <v>3393.2160000000003</v>
      </c>
      <c r="O155" s="18"/>
      <c r="P155" s="16">
        <f>SUM(I155:O155)</f>
        <v>3965.4026666666668</v>
      </c>
      <c r="Q155" s="16">
        <f t="shared" si="61"/>
        <v>118.96208</v>
      </c>
      <c r="R155" s="16"/>
      <c r="S155" s="16">
        <f t="shared" si="69"/>
        <v>43</v>
      </c>
      <c r="T155" s="16">
        <f t="shared" si="70"/>
        <v>258</v>
      </c>
      <c r="U155" s="16">
        <f t="shared" si="71"/>
        <v>77.399999999999991</v>
      </c>
      <c r="V155" s="16">
        <f t="shared" si="65"/>
        <v>83.85</v>
      </c>
      <c r="W155" s="16"/>
      <c r="X155" s="16"/>
      <c r="Y155" s="16"/>
      <c r="Z155" s="16"/>
      <c r="AA155" s="16"/>
      <c r="AB155" s="16"/>
    </row>
    <row r="156" spans="1:28">
      <c r="A156" s="28"/>
      <c r="B156" s="27" t="s">
        <v>356</v>
      </c>
      <c r="C156" s="26"/>
      <c r="D156" s="25">
        <v>0.5</v>
      </c>
      <c r="E156" s="25">
        <v>0.5</v>
      </c>
      <c r="F156" s="24"/>
      <c r="G156" s="23">
        <v>142</v>
      </c>
      <c r="H156" s="22" t="s">
        <v>62</v>
      </c>
      <c r="I156" s="19"/>
      <c r="J156" s="32">
        <f>((D156+E156+D156+E156)*G156/0.3)*J86</f>
        <v>472.38666666666671</v>
      </c>
      <c r="K156" s="21"/>
      <c r="L156" s="17"/>
      <c r="M156" s="19"/>
      <c r="N156" s="19">
        <f>(G156*8)*N86</f>
        <v>2801.3760000000002</v>
      </c>
      <c r="O156" s="18"/>
      <c r="P156" s="16">
        <f>SUM(I156:O156)</f>
        <v>3273.762666666667</v>
      </c>
      <c r="Q156" s="16">
        <f t="shared" si="61"/>
        <v>98.212880000000013</v>
      </c>
      <c r="R156" s="16"/>
      <c r="S156" s="16">
        <f t="shared" si="69"/>
        <v>35.5</v>
      </c>
      <c r="T156" s="16">
        <f t="shared" si="70"/>
        <v>213</v>
      </c>
      <c r="U156" s="16">
        <f t="shared" si="71"/>
        <v>63.9</v>
      </c>
      <c r="V156" s="16">
        <f t="shared" si="65"/>
        <v>69.224999999999994</v>
      </c>
      <c r="W156" s="16"/>
      <c r="X156" s="16"/>
      <c r="Y156" s="16"/>
      <c r="Z156" s="16"/>
      <c r="AA156" s="16"/>
      <c r="AB156" s="16"/>
    </row>
    <row r="157" spans="1:28">
      <c r="A157" s="28"/>
      <c r="B157" s="27" t="s">
        <v>320</v>
      </c>
      <c r="C157" s="20" t="s">
        <v>83</v>
      </c>
      <c r="D157" s="25"/>
      <c r="E157" s="25"/>
      <c r="F157" s="24">
        <v>0.05</v>
      </c>
      <c r="G157" s="23" t="e">
        <f>'Architecture '!#REF!</f>
        <v>#REF!</v>
      </c>
      <c r="H157" s="22" t="s">
        <v>61</v>
      </c>
      <c r="I157" s="20"/>
      <c r="J157" s="32"/>
      <c r="K157" s="21"/>
      <c r="L157" s="17"/>
      <c r="M157" s="19"/>
      <c r="N157" s="19"/>
      <c r="O157" s="18"/>
      <c r="P157" s="16" t="e">
        <f>SUM(E157:O157)</f>
        <v>#REF!</v>
      </c>
      <c r="Q157" s="16" t="e">
        <f t="shared" si="61"/>
        <v>#REF!</v>
      </c>
      <c r="R157" s="16"/>
      <c r="S157" s="16" t="e">
        <f>+F157*G157</f>
        <v>#REF!</v>
      </c>
      <c r="T157" s="16" t="e">
        <f>G157</f>
        <v>#REF!</v>
      </c>
      <c r="U157" s="16" t="e">
        <f t="shared" ref="U157" si="72">(T157*0.03)*10.764</f>
        <v>#REF!</v>
      </c>
      <c r="V157" s="16" t="e">
        <f t="shared" ref="V157" si="73">(T157+U157)*0.25</f>
        <v>#REF!</v>
      </c>
      <c r="W157" s="16"/>
      <c r="X157" s="16"/>
      <c r="Y157" s="16"/>
      <c r="Z157" s="16"/>
      <c r="AA157" s="16"/>
      <c r="AB157" s="16" t="e">
        <f>G157</f>
        <v>#REF!</v>
      </c>
    </row>
    <row r="158" spans="1:28">
      <c r="A158" s="28"/>
      <c r="B158" s="27" t="s">
        <v>309</v>
      </c>
      <c r="C158" s="26"/>
      <c r="D158" s="25"/>
      <c r="E158" s="25"/>
      <c r="F158" s="24"/>
      <c r="G158" s="23"/>
      <c r="H158" s="22"/>
      <c r="I158" s="20"/>
      <c r="J158" s="32"/>
      <c r="K158" s="21"/>
      <c r="L158" s="17"/>
      <c r="M158" s="19"/>
      <c r="N158" s="19"/>
      <c r="O158" s="18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>
      <c r="A159" s="28"/>
      <c r="B159" s="27" t="s">
        <v>26</v>
      </c>
      <c r="C159" s="26"/>
      <c r="D159" s="25"/>
      <c r="E159" s="25"/>
      <c r="F159" s="24"/>
      <c r="G159" s="23"/>
      <c r="H159" s="22"/>
      <c r="I159" s="20"/>
      <c r="J159" s="32"/>
      <c r="K159" s="21"/>
      <c r="L159" s="17"/>
      <c r="M159" s="19"/>
      <c r="N159" s="19"/>
      <c r="O159" s="18"/>
      <c r="P159" s="16">
        <f t="shared" ref="P159:P165" si="74">SUM(I159:O159)</f>
        <v>0</v>
      </c>
      <c r="Q159" s="16">
        <f t="shared" ref="Q159:Q175" si="75">(P159*0.03)</f>
        <v>0</v>
      </c>
      <c r="R159" s="16">
        <f t="shared" ref="R159:R165" si="76">D159*G159*0.05</f>
        <v>0</v>
      </c>
      <c r="S159" s="16">
        <f t="shared" ref="S159:S165" si="77">D159*E159*G159</f>
        <v>0</v>
      </c>
      <c r="T159" s="16">
        <f t="shared" ref="T159:T165" si="78">(D159+E159+E159)*G159</f>
        <v>0</v>
      </c>
      <c r="U159" s="16">
        <f t="shared" ref="U159:U174" si="79">T159*30%</f>
        <v>0</v>
      </c>
      <c r="V159" s="16">
        <f t="shared" ref="V159:V175" si="80">(T159+U159)*0.25</f>
        <v>0</v>
      </c>
      <c r="W159" s="16">
        <f t="shared" ref="W159:W165" si="81">+D159*G159*0.1</f>
        <v>0</v>
      </c>
      <c r="X159" s="16"/>
      <c r="Y159" s="16"/>
      <c r="Z159" s="16"/>
      <c r="AA159" s="16"/>
      <c r="AB159" s="16"/>
    </row>
    <row r="160" spans="1:28">
      <c r="A160" s="28"/>
      <c r="B160" s="27" t="s">
        <v>59</v>
      </c>
      <c r="C160" s="26"/>
      <c r="D160" s="25"/>
      <c r="E160" s="25"/>
      <c r="F160" s="24"/>
      <c r="G160" s="23">
        <v>33087.910000000003</v>
      </c>
      <c r="H160" s="22" t="s">
        <v>54</v>
      </c>
      <c r="I160" s="20"/>
      <c r="J160" s="32"/>
      <c r="K160" s="21"/>
      <c r="L160" s="17"/>
      <c r="M160" s="19"/>
      <c r="N160" s="19"/>
      <c r="O160" s="18"/>
      <c r="P160" s="16">
        <f t="shared" si="74"/>
        <v>0</v>
      </c>
      <c r="Q160" s="16">
        <f t="shared" si="75"/>
        <v>0</v>
      </c>
      <c r="R160" s="16">
        <f t="shared" si="76"/>
        <v>0</v>
      </c>
      <c r="S160" s="16">
        <f t="shared" si="77"/>
        <v>0</v>
      </c>
      <c r="T160" s="16">
        <f t="shared" si="78"/>
        <v>0</v>
      </c>
      <c r="U160" s="16">
        <f t="shared" si="79"/>
        <v>0</v>
      </c>
      <c r="V160" s="16">
        <f t="shared" si="80"/>
        <v>0</v>
      </c>
      <c r="W160" s="16">
        <f t="shared" si="81"/>
        <v>0</v>
      </c>
      <c r="X160" s="16"/>
      <c r="Y160" s="16"/>
      <c r="Z160" s="16"/>
      <c r="AA160" s="16"/>
      <c r="AB160" s="16"/>
    </row>
    <row r="161" spans="1:28">
      <c r="A161" s="28"/>
      <c r="B161" s="27" t="s">
        <v>58</v>
      </c>
      <c r="C161" s="26"/>
      <c r="D161" s="25"/>
      <c r="E161" s="25"/>
      <c r="F161" s="24"/>
      <c r="G161" s="23">
        <v>3043.26</v>
      </c>
      <c r="H161" s="22" t="s">
        <v>54</v>
      </c>
      <c r="I161" s="20"/>
      <c r="J161" s="32"/>
      <c r="K161" s="21"/>
      <c r="L161" s="17"/>
      <c r="M161" s="19"/>
      <c r="N161" s="19"/>
      <c r="O161" s="18"/>
      <c r="P161" s="16">
        <f t="shared" si="74"/>
        <v>0</v>
      </c>
      <c r="Q161" s="16">
        <f t="shared" si="75"/>
        <v>0</v>
      </c>
      <c r="R161" s="16">
        <f t="shared" si="76"/>
        <v>0</v>
      </c>
      <c r="S161" s="16">
        <f t="shared" si="77"/>
        <v>0</v>
      </c>
      <c r="T161" s="16">
        <f t="shared" si="78"/>
        <v>0</v>
      </c>
      <c r="U161" s="16">
        <f t="shared" si="79"/>
        <v>0</v>
      </c>
      <c r="V161" s="16">
        <f t="shared" si="80"/>
        <v>0</v>
      </c>
      <c r="W161" s="16">
        <f t="shared" si="81"/>
        <v>0</v>
      </c>
      <c r="X161" s="16"/>
      <c r="Y161" s="16"/>
      <c r="Z161" s="16"/>
      <c r="AA161" s="16"/>
      <c r="AB161" s="16"/>
    </row>
    <row r="162" spans="1:28">
      <c r="A162" s="28"/>
      <c r="B162" s="27" t="s">
        <v>57</v>
      </c>
      <c r="C162" s="26"/>
      <c r="D162" s="25"/>
      <c r="E162" s="25"/>
      <c r="F162" s="24"/>
      <c r="G162" s="23">
        <v>15142.1</v>
      </c>
      <c r="H162" s="22" t="s">
        <v>54</v>
      </c>
      <c r="I162" s="20"/>
      <c r="J162" s="32"/>
      <c r="K162" s="21"/>
      <c r="L162" s="17"/>
      <c r="M162" s="19"/>
      <c r="N162" s="19"/>
      <c r="O162" s="18"/>
      <c r="P162" s="16">
        <f t="shared" si="74"/>
        <v>0</v>
      </c>
      <c r="Q162" s="16">
        <f t="shared" si="75"/>
        <v>0</v>
      </c>
      <c r="R162" s="16">
        <f t="shared" si="76"/>
        <v>0</v>
      </c>
      <c r="S162" s="16">
        <f t="shared" si="77"/>
        <v>0</v>
      </c>
      <c r="T162" s="16">
        <f t="shared" si="78"/>
        <v>0</v>
      </c>
      <c r="U162" s="16">
        <f t="shared" si="79"/>
        <v>0</v>
      </c>
      <c r="V162" s="16">
        <f t="shared" si="80"/>
        <v>0</v>
      </c>
      <c r="W162" s="16">
        <f t="shared" si="81"/>
        <v>0</v>
      </c>
      <c r="X162" s="16"/>
      <c r="Y162" s="16"/>
      <c r="Z162" s="16"/>
      <c r="AA162" s="16"/>
      <c r="AB162" s="16"/>
    </row>
    <row r="163" spans="1:28">
      <c r="A163" s="28"/>
      <c r="B163" s="27" t="s">
        <v>27</v>
      </c>
      <c r="C163" s="26"/>
      <c r="D163" s="25"/>
      <c r="E163" s="25"/>
      <c r="F163" s="24"/>
      <c r="G163" s="23"/>
      <c r="H163" s="22"/>
      <c r="I163" s="20"/>
      <c r="J163" s="32"/>
      <c r="K163" s="21"/>
      <c r="L163" s="17"/>
      <c r="M163" s="19"/>
      <c r="N163" s="19"/>
      <c r="O163" s="18"/>
      <c r="P163" s="16">
        <f t="shared" si="74"/>
        <v>0</v>
      </c>
      <c r="Q163" s="16">
        <f t="shared" si="75"/>
        <v>0</v>
      </c>
      <c r="R163" s="16">
        <f t="shared" si="76"/>
        <v>0</v>
      </c>
      <c r="S163" s="16">
        <f t="shared" si="77"/>
        <v>0</v>
      </c>
      <c r="T163" s="16">
        <f t="shared" si="78"/>
        <v>0</v>
      </c>
      <c r="U163" s="16">
        <f t="shared" si="79"/>
        <v>0</v>
      </c>
      <c r="V163" s="16">
        <f t="shared" si="80"/>
        <v>0</v>
      </c>
      <c r="W163" s="16">
        <f t="shared" si="81"/>
        <v>0</v>
      </c>
      <c r="X163" s="16"/>
      <c r="Y163" s="16"/>
      <c r="Z163" s="16"/>
      <c r="AA163" s="16"/>
      <c r="AB163" s="16"/>
    </row>
    <row r="164" spans="1:28">
      <c r="A164" s="28"/>
      <c r="B164" s="31" t="s">
        <v>56</v>
      </c>
      <c r="C164" s="30"/>
      <c r="D164" s="29"/>
      <c r="E164" s="29"/>
      <c r="F164" s="24"/>
      <c r="G164" s="23">
        <v>5273.73</v>
      </c>
      <c r="H164" s="22" t="s">
        <v>54</v>
      </c>
      <c r="I164" s="20"/>
      <c r="J164" s="32"/>
      <c r="K164" s="21"/>
      <c r="L164" s="17"/>
      <c r="M164" s="19"/>
      <c r="N164" s="19"/>
      <c r="O164" s="18"/>
      <c r="P164" s="16">
        <f t="shared" si="74"/>
        <v>0</v>
      </c>
      <c r="Q164" s="16">
        <f t="shared" si="75"/>
        <v>0</v>
      </c>
      <c r="R164" s="16">
        <f t="shared" si="76"/>
        <v>0</v>
      </c>
      <c r="S164" s="16">
        <f t="shared" si="77"/>
        <v>0</v>
      </c>
      <c r="T164" s="16">
        <f t="shared" si="78"/>
        <v>0</v>
      </c>
      <c r="U164" s="16">
        <f t="shared" si="79"/>
        <v>0</v>
      </c>
      <c r="V164" s="16">
        <f t="shared" si="80"/>
        <v>0</v>
      </c>
      <c r="W164" s="16">
        <f t="shared" si="81"/>
        <v>0</v>
      </c>
      <c r="X164" s="16"/>
      <c r="Y164" s="16"/>
      <c r="Z164" s="16"/>
      <c r="AA164" s="16"/>
      <c r="AB164" s="16"/>
    </row>
    <row r="165" spans="1:28">
      <c r="A165" s="28"/>
      <c r="B165" s="31" t="s">
        <v>55</v>
      </c>
      <c r="C165" s="30"/>
      <c r="D165" s="29"/>
      <c r="E165" s="29"/>
      <c r="F165" s="24"/>
      <c r="G165" s="23">
        <v>1897.45</v>
      </c>
      <c r="H165" s="22" t="s">
        <v>54</v>
      </c>
      <c r="I165" s="20"/>
      <c r="J165" s="32"/>
      <c r="K165" s="21"/>
      <c r="L165" s="17"/>
      <c r="M165" s="19"/>
      <c r="N165" s="19"/>
      <c r="O165" s="18"/>
      <c r="P165" s="16">
        <f t="shared" si="74"/>
        <v>0</v>
      </c>
      <c r="Q165" s="16">
        <f t="shared" si="75"/>
        <v>0</v>
      </c>
      <c r="R165" s="16">
        <f t="shared" si="76"/>
        <v>0</v>
      </c>
      <c r="S165" s="16">
        <f t="shared" si="77"/>
        <v>0</v>
      </c>
      <c r="T165" s="16">
        <f t="shared" si="78"/>
        <v>0</v>
      </c>
      <c r="U165" s="16">
        <f t="shared" si="79"/>
        <v>0</v>
      </c>
      <c r="V165" s="16">
        <f t="shared" si="80"/>
        <v>0</v>
      </c>
      <c r="W165" s="16">
        <f t="shared" si="81"/>
        <v>0</v>
      </c>
      <c r="X165" s="16"/>
      <c r="Y165" s="16"/>
      <c r="Z165" s="16"/>
      <c r="AA165" s="16"/>
      <c r="AB165" s="16"/>
    </row>
    <row r="166" spans="1:28">
      <c r="A166" s="28"/>
      <c r="B166" s="31"/>
      <c r="C166" s="30"/>
      <c r="D166" s="29"/>
      <c r="E166" s="29"/>
      <c r="F166" s="24"/>
      <c r="G166" s="23"/>
      <c r="H166" s="22"/>
      <c r="I166" s="20"/>
      <c r="J166" s="32"/>
      <c r="K166" s="21"/>
      <c r="L166" s="17"/>
      <c r="M166" s="19"/>
      <c r="N166" s="19"/>
      <c r="O166" s="18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>
      <c r="A167" s="28"/>
      <c r="B167" s="31"/>
      <c r="C167" s="30"/>
      <c r="D167" s="29"/>
      <c r="E167" s="29"/>
      <c r="F167" s="24"/>
      <c r="G167" s="23"/>
      <c r="H167" s="22"/>
      <c r="I167" s="20"/>
      <c r="J167" s="32"/>
      <c r="K167" s="21"/>
      <c r="L167" s="17"/>
      <c r="M167" s="19"/>
      <c r="N167" s="19"/>
      <c r="O167" s="18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>
      <c r="A168" s="28"/>
      <c r="B168" s="31"/>
      <c r="C168" s="30"/>
      <c r="D168" s="29"/>
      <c r="E168" s="29"/>
      <c r="F168" s="24"/>
      <c r="G168" s="23"/>
      <c r="H168" s="22"/>
      <c r="I168" s="20"/>
      <c r="J168" s="32"/>
      <c r="K168" s="21"/>
      <c r="L168" s="17"/>
      <c r="M168" s="19"/>
      <c r="N168" s="19"/>
      <c r="O168" s="18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>
      <c r="A169" s="28"/>
      <c r="B169" s="31"/>
      <c r="C169" s="30"/>
      <c r="D169" s="29"/>
      <c r="E169" s="29"/>
      <c r="F169" s="24"/>
      <c r="G169" s="23"/>
      <c r="H169" s="22"/>
      <c r="I169" s="20"/>
      <c r="J169" s="32"/>
      <c r="K169" s="21"/>
      <c r="L169" s="17"/>
      <c r="M169" s="19"/>
      <c r="N169" s="19"/>
      <c r="O169" s="18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>
      <c r="A170" s="28"/>
      <c r="B170" s="31"/>
      <c r="C170" s="30"/>
      <c r="D170" s="29"/>
      <c r="E170" s="29"/>
      <c r="F170" s="24"/>
      <c r="G170" s="23"/>
      <c r="H170" s="22"/>
      <c r="I170" s="20"/>
      <c r="J170" s="32"/>
      <c r="K170" s="21"/>
      <c r="L170" s="17"/>
      <c r="M170" s="19"/>
      <c r="N170" s="19"/>
      <c r="O170" s="18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>
      <c r="A171" s="28"/>
      <c r="B171" s="31"/>
      <c r="C171" s="30"/>
      <c r="D171" s="29"/>
      <c r="E171" s="29"/>
      <c r="F171" s="24"/>
      <c r="G171" s="23"/>
      <c r="H171" s="22"/>
      <c r="I171" s="20"/>
      <c r="J171" s="32"/>
      <c r="K171" s="21"/>
      <c r="L171" s="17"/>
      <c r="M171" s="19"/>
      <c r="N171" s="19"/>
      <c r="O171" s="18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>
      <c r="A172" s="28"/>
      <c r="B172" s="31"/>
      <c r="C172" s="30"/>
      <c r="D172" s="29"/>
      <c r="E172" s="29"/>
      <c r="F172" s="24"/>
      <c r="G172" s="23"/>
      <c r="H172" s="22"/>
      <c r="I172" s="20"/>
      <c r="J172" s="32"/>
      <c r="K172" s="21"/>
      <c r="L172" s="17"/>
      <c r="M172" s="19"/>
      <c r="N172" s="19"/>
      <c r="O172" s="18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>
      <c r="A173" s="28"/>
      <c r="B173" s="31"/>
      <c r="C173" s="30"/>
      <c r="D173" s="29"/>
      <c r="E173" s="29"/>
      <c r="F173" s="24"/>
      <c r="G173" s="23"/>
      <c r="H173" s="22"/>
      <c r="I173" s="20"/>
      <c r="J173" s="32"/>
      <c r="K173" s="21"/>
      <c r="L173" s="17"/>
      <c r="M173" s="19"/>
      <c r="N173" s="19"/>
      <c r="O173" s="18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>
      <c r="A174" s="28"/>
      <c r="B174" s="1042" t="s">
        <v>53</v>
      </c>
      <c r="C174" s="1043"/>
      <c r="D174" s="1043"/>
      <c r="E174" s="1043"/>
      <c r="F174" s="1044"/>
      <c r="G174" s="23"/>
      <c r="H174" s="22"/>
      <c r="I174" s="20"/>
      <c r="J174" s="32"/>
      <c r="K174" s="21"/>
      <c r="L174" s="17"/>
      <c r="M174" s="19"/>
      <c r="N174" s="19"/>
      <c r="O174" s="18"/>
      <c r="P174" s="16">
        <f>SUM(I174:O174)</f>
        <v>0</v>
      </c>
      <c r="Q174" s="16">
        <f t="shared" si="75"/>
        <v>0</v>
      </c>
      <c r="R174" s="16">
        <f>D174*G174*0.05</f>
        <v>0</v>
      </c>
      <c r="S174" s="16">
        <f>D174*E174*G174</f>
        <v>0</v>
      </c>
      <c r="T174" s="16">
        <f>(D174+E174+E174)*G174</f>
        <v>0</v>
      </c>
      <c r="U174" s="16">
        <f t="shared" si="79"/>
        <v>0</v>
      </c>
      <c r="V174" s="16">
        <f t="shared" si="80"/>
        <v>0</v>
      </c>
      <c r="W174" s="16">
        <f>+D174*G174*0.1</f>
        <v>0</v>
      </c>
      <c r="X174" s="16"/>
      <c r="Y174" s="16"/>
      <c r="Z174" s="16"/>
      <c r="AA174" s="16"/>
      <c r="AB174" s="16"/>
    </row>
    <row r="175" spans="1:28">
      <c r="A175" s="28"/>
      <c r="B175" s="27" t="s">
        <v>310</v>
      </c>
      <c r="C175" s="26"/>
      <c r="D175" s="25">
        <v>1.35</v>
      </c>
      <c r="E175" s="25">
        <f>4.75*4</f>
        <v>19</v>
      </c>
      <c r="F175" s="24">
        <v>0.3</v>
      </c>
      <c r="G175" s="23">
        <v>3</v>
      </c>
      <c r="H175" s="22" t="s">
        <v>52</v>
      </c>
      <c r="I175" s="20">
        <f>(D175*E175/0.25)+(E175*D175/0.25)*I86</f>
        <v>125.37720000000002</v>
      </c>
      <c r="J175" s="32">
        <f>(D175*E175/0.25)*J86</f>
        <v>51.197400000000002</v>
      </c>
      <c r="K175" s="21"/>
      <c r="L175" s="17">
        <f>(E175*D175/0.25)*L86</f>
        <v>91.108800000000002</v>
      </c>
      <c r="M175" s="19"/>
      <c r="N175" s="19"/>
      <c r="O175" s="18"/>
      <c r="P175" s="16">
        <f>SUM(I175:O175)</f>
        <v>267.68340000000001</v>
      </c>
      <c r="Q175" s="16">
        <f t="shared" si="75"/>
        <v>8.0305020000000003</v>
      </c>
      <c r="R175" s="16"/>
      <c r="S175" s="16">
        <f>(D175*E175*F175)*G175</f>
        <v>23.085000000000001</v>
      </c>
      <c r="T175" s="16">
        <f>(D175+E175+E175)*G175</f>
        <v>118.05000000000001</v>
      </c>
      <c r="U175" s="16">
        <f t="shared" ref="U175" si="82">(T175*0.03)*10.764</f>
        <v>38.120705999999998</v>
      </c>
      <c r="V175" s="16">
        <f t="shared" si="80"/>
        <v>39.042676499999999</v>
      </c>
      <c r="W175" s="16"/>
      <c r="X175" s="16"/>
      <c r="Y175" s="16"/>
      <c r="Z175" s="16"/>
      <c r="AA175" s="16"/>
      <c r="AB175" s="16"/>
    </row>
    <row r="176" spans="1:28">
      <c r="A176" s="28"/>
      <c r="B176" s="27" t="s">
        <v>311</v>
      </c>
      <c r="C176" s="26"/>
      <c r="D176" s="25">
        <v>1.75</v>
      </c>
      <c r="E176" s="25">
        <f>4.75*4</f>
        <v>19</v>
      </c>
      <c r="F176" s="24">
        <v>0.3</v>
      </c>
      <c r="G176" s="23">
        <v>3</v>
      </c>
      <c r="H176" s="22" t="s">
        <v>52</v>
      </c>
      <c r="I176" s="20">
        <f>(D176*E176/0.25)+(E176*D176/0.25)*I86</f>
        <v>162.52600000000001</v>
      </c>
      <c r="J176" s="32">
        <f>(D176*E176/0.25)*J86</f>
        <v>66.367000000000004</v>
      </c>
      <c r="K176" s="21"/>
      <c r="L176" s="17">
        <f>(E176*D176/0.25)*L86</f>
        <v>118.104</v>
      </c>
      <c r="M176" s="19"/>
      <c r="N176" s="19"/>
      <c r="O176" s="18"/>
      <c r="P176" s="16">
        <f>SUM(I176:O176)</f>
        <v>346.99700000000001</v>
      </c>
      <c r="Q176" s="16">
        <f t="shared" ref="Q176:Q184" si="83">(P176*0.03)</f>
        <v>10.40991</v>
      </c>
      <c r="R176" s="16"/>
      <c r="S176" s="16">
        <f>(D176*E176*F176)*G176</f>
        <v>29.924999999999997</v>
      </c>
      <c r="T176" s="16">
        <f>(D176+E176+E176)*G176</f>
        <v>119.25</v>
      </c>
      <c r="U176" s="16">
        <f t="shared" ref="U176:U184" si="84">(T176*0.03)*10.764</f>
        <v>38.508209999999991</v>
      </c>
      <c r="V176" s="16">
        <f t="shared" ref="V176:V184" si="85">(T176+U176)*0.25</f>
        <v>39.439552499999998</v>
      </c>
      <c r="W176" s="16"/>
      <c r="X176" s="16"/>
      <c r="Y176" s="16"/>
      <c r="Z176" s="16"/>
      <c r="AA176" s="16"/>
      <c r="AB176" s="16"/>
    </row>
    <row r="177" spans="1:28">
      <c r="A177" s="28"/>
      <c r="B177" s="27" t="s">
        <v>312</v>
      </c>
      <c r="C177" s="26"/>
      <c r="D177" s="25">
        <v>1.2</v>
      </c>
      <c r="E177" s="25">
        <f>3.45*4</f>
        <v>13.8</v>
      </c>
      <c r="F177" s="24">
        <v>0.3</v>
      </c>
      <c r="G177" s="23">
        <v>2</v>
      </c>
      <c r="H177" s="22" t="s">
        <v>52</v>
      </c>
      <c r="I177" s="20">
        <f>(D177*E177/0.25)+(E177*D177/0.25)*I86</f>
        <v>80.945279999999997</v>
      </c>
      <c r="J177" s="32">
        <f>(D177*E177/0.25)*J86</f>
        <v>33.053759999999997</v>
      </c>
      <c r="K177" s="21"/>
      <c r="L177" s="17">
        <f>(E177*D177/0.25)*L86</f>
        <v>58.821119999999993</v>
      </c>
      <c r="M177" s="19"/>
      <c r="N177" s="19"/>
      <c r="O177" s="18"/>
      <c r="P177" s="16">
        <f>SUM(I177:O177)</f>
        <v>172.82015999999999</v>
      </c>
      <c r="Q177" s="16">
        <f t="shared" si="83"/>
        <v>5.1846047999999998</v>
      </c>
      <c r="R177" s="16"/>
      <c r="S177" s="16">
        <f>(D177*E177*F177)*G177</f>
        <v>9.9359999999999982</v>
      </c>
      <c r="T177" s="16">
        <f>(D177+E177+E177)*G177</f>
        <v>57.6</v>
      </c>
      <c r="U177" s="16">
        <f t="shared" si="84"/>
        <v>18.600192</v>
      </c>
      <c r="V177" s="16">
        <f t="shared" si="85"/>
        <v>19.050048</v>
      </c>
      <c r="W177" s="16"/>
      <c r="X177" s="16"/>
      <c r="Y177" s="16"/>
      <c r="Z177" s="16"/>
      <c r="AA177" s="16"/>
      <c r="AB177" s="16"/>
    </row>
    <row r="178" spans="1:28">
      <c r="A178" s="28"/>
      <c r="B178" s="27" t="s">
        <v>313</v>
      </c>
      <c r="C178" s="26"/>
      <c r="D178" s="25">
        <v>1.2</v>
      </c>
      <c r="E178" s="25">
        <f>3.45*4</f>
        <v>13.8</v>
      </c>
      <c r="F178" s="24">
        <v>0.3</v>
      </c>
      <c r="G178" s="23">
        <v>2</v>
      </c>
      <c r="H178" s="22" t="s">
        <v>52</v>
      </c>
      <c r="I178" s="20">
        <f>(D178*E178/0.25)+(E178*D178/0.25)*I86</f>
        <v>80.945279999999997</v>
      </c>
      <c r="J178" s="32">
        <f>(D178*E178/0.25)*J86</f>
        <v>33.053759999999997</v>
      </c>
      <c r="K178" s="21"/>
      <c r="L178" s="17">
        <f>(E178*D178/0.25)*L86</f>
        <v>58.821119999999993</v>
      </c>
      <c r="M178" s="19"/>
      <c r="N178" s="19"/>
      <c r="O178" s="18"/>
      <c r="P178" s="16">
        <f>SUM(I178:O178)</f>
        <v>172.82015999999999</v>
      </c>
      <c r="Q178" s="16">
        <f t="shared" si="83"/>
        <v>5.1846047999999998</v>
      </c>
      <c r="R178" s="16"/>
      <c r="S178" s="16">
        <f>(D178*E178*F178)*G178</f>
        <v>9.9359999999999982</v>
      </c>
      <c r="T178" s="16">
        <f>(D178+E178+E178)*G178</f>
        <v>57.6</v>
      </c>
      <c r="U178" s="16">
        <f t="shared" si="84"/>
        <v>18.600192</v>
      </c>
      <c r="V178" s="16">
        <f t="shared" si="85"/>
        <v>19.050048</v>
      </c>
      <c r="W178" s="16"/>
      <c r="X178" s="16"/>
      <c r="Y178" s="16"/>
      <c r="Z178" s="16"/>
      <c r="AA178" s="16"/>
      <c r="AB178" s="16"/>
    </row>
    <row r="179" spans="1:28">
      <c r="A179" s="28"/>
      <c r="B179" s="27" t="s">
        <v>329</v>
      </c>
      <c r="C179" s="26"/>
      <c r="D179" s="25"/>
      <c r="E179" s="25"/>
      <c r="F179" s="24"/>
      <c r="G179" s="23"/>
      <c r="H179" s="22"/>
      <c r="I179" s="20"/>
      <c r="J179" s="32"/>
      <c r="K179" s="21"/>
      <c r="L179" s="17"/>
      <c r="M179" s="19"/>
      <c r="N179" s="19"/>
      <c r="O179" s="18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>
      <c r="A180" s="28"/>
      <c r="B180" s="27"/>
      <c r="C180" s="26"/>
      <c r="D180" s="25"/>
      <c r="E180" s="25"/>
      <c r="F180" s="24"/>
      <c r="G180" s="23"/>
      <c r="H180" s="22"/>
      <c r="I180" s="20"/>
      <c r="J180" s="32"/>
      <c r="K180" s="21"/>
      <c r="L180" s="17"/>
      <c r="M180" s="19"/>
      <c r="N180" s="19"/>
      <c r="O180" s="18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>
      <c r="A181" s="28"/>
      <c r="B181" s="27"/>
      <c r="C181" s="26"/>
      <c r="D181" s="25"/>
      <c r="E181" s="25"/>
      <c r="F181" s="24"/>
      <c r="G181" s="23"/>
      <c r="H181" s="22"/>
      <c r="I181" s="20"/>
      <c r="J181" s="32"/>
      <c r="K181" s="21"/>
      <c r="L181" s="17"/>
      <c r="M181" s="19"/>
      <c r="N181" s="19"/>
      <c r="O181" s="18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>
      <c r="A182" s="28"/>
      <c r="B182" s="27" t="s">
        <v>324</v>
      </c>
      <c r="C182" s="26"/>
      <c r="D182" s="25"/>
      <c r="E182" s="25"/>
      <c r="F182" s="24"/>
      <c r="G182" s="23"/>
      <c r="H182" s="22"/>
      <c r="I182" s="20"/>
      <c r="J182" s="32"/>
      <c r="K182" s="21"/>
      <c r="L182" s="17"/>
      <c r="M182" s="19"/>
      <c r="N182" s="19"/>
      <c r="O182" s="18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>
      <c r="A183" s="28"/>
      <c r="B183" s="27" t="s">
        <v>322</v>
      </c>
      <c r="C183" s="26"/>
      <c r="D183" s="25">
        <v>2.2999999999999998</v>
      </c>
      <c r="E183" s="25">
        <v>2.2999999999999998</v>
      </c>
      <c r="F183" s="24">
        <v>0.2</v>
      </c>
      <c r="G183" s="23">
        <v>24</v>
      </c>
      <c r="H183" s="22" t="s">
        <v>62</v>
      </c>
      <c r="I183" s="20"/>
      <c r="J183" s="32">
        <f>(((0.15*4)*6)*G183/0.25)*J8</f>
        <v>172.45439999999999</v>
      </c>
      <c r="K183" s="21"/>
      <c r="L183" s="17">
        <f>((((D183+E183+0.58+0.58)*2)*G183/0.2)+(((D183+E183+0.58+0.58)/0.2)*G183)*2)+((2.6*4)*2)*L8</f>
        <v>2783.2704000000003</v>
      </c>
      <c r="M183" s="19">
        <f>((4*G183)*6)*M8</f>
        <v>908.928</v>
      </c>
      <c r="N183" s="19"/>
      <c r="O183" s="18">
        <f>((0.7+2.6+0.7)*25+(0.7+2.6+0.7)*35)*O8</f>
        <v>924.72</v>
      </c>
      <c r="P183" s="16">
        <f>SUM(I183:O183)</f>
        <v>4789.3728000000001</v>
      </c>
      <c r="Q183" s="16">
        <f t="shared" si="83"/>
        <v>143.681184</v>
      </c>
      <c r="R183" s="16">
        <f>D183*G183*0.1</f>
        <v>5.52</v>
      </c>
      <c r="S183" s="16">
        <f>((D183*E183*F183)*G183)+(D183*E183*0.7)</f>
        <v>29.094999999999995</v>
      </c>
      <c r="T183" s="16">
        <f>(D183+E183+E183)*G183*2</f>
        <v>331.2</v>
      </c>
      <c r="U183" s="16">
        <f t="shared" si="84"/>
        <v>106.95110399999999</v>
      </c>
      <c r="V183" s="16">
        <f t="shared" si="85"/>
        <v>109.53777599999999</v>
      </c>
      <c r="W183" s="16">
        <f>+D183*G183*0.1</f>
        <v>5.52</v>
      </c>
      <c r="X183" s="16"/>
      <c r="Y183" s="16"/>
      <c r="Z183" s="16"/>
      <c r="AA183" s="16"/>
      <c r="AB183" s="16"/>
    </row>
    <row r="184" spans="1:28">
      <c r="A184" s="28"/>
      <c r="B184" s="27" t="s">
        <v>323</v>
      </c>
      <c r="C184" s="26"/>
      <c r="D184" s="25">
        <v>4.2</v>
      </c>
      <c r="E184" s="25">
        <v>4.4000000000000004</v>
      </c>
      <c r="F184" s="24">
        <v>0.2</v>
      </c>
      <c r="G184" s="23">
        <v>12</v>
      </c>
      <c r="H184" s="22" t="s">
        <v>62</v>
      </c>
      <c r="I184" s="20"/>
      <c r="J184" s="32">
        <f>(((0.15*4)*6)*G184/0.25)*J8</f>
        <v>86.227199999999996</v>
      </c>
      <c r="K184" s="21"/>
      <c r="L184" s="17">
        <f>((((D184+E184+0.58+0.58)*2)*G184/0.2)+(((D184+E184+0.58+0.58)/0.2)*G184)*2)+((2.6*4)*2)*L8</f>
        <v>2360.8704000000002</v>
      </c>
      <c r="M184" s="19">
        <f>((4*G184)*6)*M8</f>
        <v>454.464</v>
      </c>
      <c r="N184" s="19"/>
      <c r="O184" s="18">
        <f>((0.7+4.5+0.7)*40+(0.7+4.7+0.7)*40)*O8</f>
        <v>1849.44</v>
      </c>
      <c r="P184" s="16">
        <f>SUM(I184:O184)</f>
        <v>4751.0015999999996</v>
      </c>
      <c r="Q184" s="16">
        <f t="shared" si="83"/>
        <v>142.53004799999999</v>
      </c>
      <c r="R184" s="16">
        <f>D184*G184*0.1</f>
        <v>5.0400000000000009</v>
      </c>
      <c r="S184" s="16">
        <f>((D184*E184*F184)*G184)+(D184*E184*0.7)</f>
        <v>57.288000000000011</v>
      </c>
      <c r="T184" s="16">
        <f>(D184+E184+E184)*G184*2</f>
        <v>312.00000000000006</v>
      </c>
      <c r="U184" s="16">
        <f t="shared" si="84"/>
        <v>100.75104</v>
      </c>
      <c r="V184" s="16">
        <f t="shared" si="85"/>
        <v>103.18776000000001</v>
      </c>
      <c r="W184" s="16">
        <f>+D184*G184*0.1</f>
        <v>5.0400000000000009</v>
      </c>
      <c r="X184" s="16"/>
      <c r="Y184" s="16"/>
      <c r="Z184" s="16"/>
      <c r="AA184" s="16"/>
      <c r="AB184" s="16"/>
    </row>
    <row r="185" spans="1:28">
      <c r="A185" s="279"/>
      <c r="B185" s="280"/>
      <c r="C185" s="26"/>
      <c r="D185" s="25"/>
      <c r="E185" s="25"/>
      <c r="F185" s="24"/>
      <c r="G185" s="281"/>
      <c r="H185" s="282"/>
      <c r="I185" s="283"/>
      <c r="J185" s="32"/>
      <c r="K185" s="21"/>
      <c r="L185" s="17"/>
      <c r="M185" s="19"/>
      <c r="N185" s="19"/>
      <c r="O185" s="18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  <c r="AA185" s="284"/>
      <c r="AB185" s="284"/>
    </row>
    <row r="186" spans="1:28">
      <c r="A186" s="279"/>
      <c r="B186" s="280"/>
      <c r="C186" s="26"/>
      <c r="D186" s="25"/>
      <c r="E186" s="25"/>
      <c r="F186" s="24"/>
      <c r="G186" s="281"/>
      <c r="H186" s="282"/>
      <c r="I186" s="283"/>
      <c r="J186" s="32"/>
      <c r="K186" s="21"/>
      <c r="L186" s="17"/>
      <c r="M186" s="19"/>
      <c r="N186" s="19"/>
      <c r="O186" s="18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  <c r="AA186" s="284"/>
      <c r="AB186" s="284"/>
    </row>
    <row r="187" spans="1:28">
      <c r="A187" s="28"/>
      <c r="B187" s="27"/>
      <c r="C187" s="26"/>
      <c r="D187" s="25"/>
      <c r="E187" s="25"/>
      <c r="F187" s="24"/>
      <c r="G187" s="23"/>
      <c r="H187" s="22"/>
      <c r="I187" s="20"/>
      <c r="J187" s="32"/>
      <c r="K187" s="21"/>
      <c r="L187" s="17"/>
      <c r="M187" s="19"/>
      <c r="N187" s="19"/>
      <c r="O187" s="18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>
      <c r="A188" s="28"/>
      <c r="B188" s="27"/>
      <c r="C188" s="26"/>
      <c r="D188" s="25"/>
      <c r="E188" s="25"/>
      <c r="F188" s="24"/>
      <c r="G188" s="23"/>
      <c r="H188" s="22"/>
      <c r="I188" s="20"/>
      <c r="J188" s="32"/>
      <c r="K188" s="293"/>
      <c r="L188" s="17"/>
      <c r="M188" s="19"/>
      <c r="N188" s="19"/>
      <c r="O188" s="18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>
      <c r="A189" s="15"/>
      <c r="B189" s="14" t="s">
        <v>51</v>
      </c>
      <c r="C189" s="14"/>
      <c r="D189" s="13"/>
      <c r="E189" s="13"/>
      <c r="F189" s="13"/>
      <c r="G189" s="12"/>
      <c r="H189" s="12"/>
      <c r="I189" s="10">
        <f t="shared" ref="I189:AB189" si="86">SUM(I89:I188)</f>
        <v>1319.8181903448274</v>
      </c>
      <c r="J189" s="11">
        <f t="shared" si="86"/>
        <v>25188.627682947357</v>
      </c>
      <c r="K189" s="11">
        <f t="shared" si="86"/>
        <v>745.26479999999992</v>
      </c>
      <c r="L189" s="11">
        <f t="shared" si="86"/>
        <v>20461.122560000003</v>
      </c>
      <c r="M189" s="11">
        <f t="shared" si="86"/>
        <v>6041.8464000000004</v>
      </c>
      <c r="N189" s="11">
        <f t="shared" si="86"/>
        <v>61197.830759999997</v>
      </c>
      <c r="O189" s="11">
        <f t="shared" si="86"/>
        <v>74244.981157466667</v>
      </c>
      <c r="P189" s="10" t="e">
        <f t="shared" si="86"/>
        <v>#REF!</v>
      </c>
      <c r="Q189" s="10" t="e">
        <f t="shared" si="86"/>
        <v>#REF!</v>
      </c>
      <c r="R189" s="10">
        <f t="shared" si="86"/>
        <v>64.133750000000006</v>
      </c>
      <c r="S189" s="10" t="e">
        <f t="shared" si="86"/>
        <v>#REF!</v>
      </c>
      <c r="T189" s="10" t="e">
        <f t="shared" si="86"/>
        <v>#REF!</v>
      </c>
      <c r="U189" s="10" t="e">
        <f t="shared" si="86"/>
        <v>#REF!</v>
      </c>
      <c r="V189" s="10" t="e">
        <f t="shared" si="86"/>
        <v>#REF!</v>
      </c>
      <c r="W189" s="10">
        <f t="shared" si="86"/>
        <v>64.133750000000006</v>
      </c>
      <c r="X189" s="10">
        <f t="shared" si="86"/>
        <v>2060.9499999999998</v>
      </c>
      <c r="Y189" s="10">
        <f t="shared" si="86"/>
        <v>0</v>
      </c>
      <c r="Z189" s="10">
        <f t="shared" si="86"/>
        <v>242</v>
      </c>
      <c r="AA189" s="10">
        <f t="shared" si="86"/>
        <v>0</v>
      </c>
      <c r="AB189" s="9" t="e">
        <f t="shared" si="86"/>
        <v>#REF!</v>
      </c>
    </row>
    <row r="192" spans="1:28" ht="30.75">
      <c r="A192" s="56"/>
      <c r="B192" s="55"/>
      <c r="C192" s="55"/>
      <c r="D192" s="55"/>
      <c r="E192" s="55"/>
      <c r="F192" s="55"/>
      <c r="G192" s="55"/>
      <c r="H192" s="55"/>
      <c r="I192" s="54"/>
      <c r="J192" s="53"/>
      <c r="K192" s="53"/>
      <c r="L192" s="52"/>
      <c r="M192" s="50"/>
      <c r="N192" s="51"/>
      <c r="O192" s="51"/>
      <c r="P192" s="50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</row>
    <row r="193" spans="1:28">
      <c r="A193" s="179" t="s">
        <v>167</v>
      </c>
      <c r="B193" s="180" t="s">
        <v>166</v>
      </c>
      <c r="C193" s="181"/>
      <c r="D193" s="182"/>
      <c r="E193" s="182"/>
      <c r="F193" s="183"/>
      <c r="G193" s="184" t="s">
        <v>165</v>
      </c>
      <c r="H193" s="184"/>
      <c r="I193" s="185" t="s">
        <v>164</v>
      </c>
      <c r="J193" s="278"/>
      <c r="K193" s="289"/>
      <c r="L193" s="1067" t="s">
        <v>163</v>
      </c>
      <c r="M193" s="1067"/>
      <c r="N193" s="1067"/>
      <c r="O193" s="1068"/>
      <c r="P193" s="186" t="s">
        <v>162</v>
      </c>
      <c r="Q193" s="187" t="s">
        <v>161</v>
      </c>
      <c r="R193" s="1069" t="s">
        <v>160</v>
      </c>
      <c r="S193" s="1070"/>
      <c r="T193" s="1071" t="s">
        <v>159</v>
      </c>
      <c r="U193" s="1072"/>
      <c r="V193" s="187" t="s">
        <v>158</v>
      </c>
      <c r="W193" s="186" t="s">
        <v>157</v>
      </c>
      <c r="X193" s="188" t="s">
        <v>156</v>
      </c>
      <c r="Y193" s="188"/>
      <c r="Z193" s="189" t="s">
        <v>155</v>
      </c>
      <c r="AA193" s="186" t="s">
        <v>154</v>
      </c>
      <c r="AB193" s="189" t="s">
        <v>153</v>
      </c>
    </row>
    <row r="194" spans="1:28">
      <c r="A194" s="190"/>
      <c r="B194" s="191"/>
      <c r="C194" s="192"/>
      <c r="D194" s="192"/>
      <c r="E194" s="192"/>
      <c r="F194" s="193"/>
      <c r="G194" s="190" t="s">
        <v>152</v>
      </c>
      <c r="H194" s="190" t="s">
        <v>151</v>
      </c>
      <c r="I194" s="194"/>
      <c r="J194" s="195"/>
      <c r="K194" s="290"/>
      <c r="L194" s="194"/>
      <c r="M194" s="196"/>
      <c r="N194" s="196"/>
      <c r="O194" s="197"/>
      <c r="P194" s="198" t="s">
        <v>150</v>
      </c>
      <c r="Q194" s="199" t="s">
        <v>149</v>
      </c>
      <c r="R194" s="200" t="s">
        <v>148</v>
      </c>
      <c r="S194" s="200" t="s">
        <v>147</v>
      </c>
      <c r="T194" s="1076" t="s">
        <v>146</v>
      </c>
      <c r="U194" s="1077"/>
      <c r="V194" s="201"/>
      <c r="W194" s="198"/>
      <c r="X194" s="198" t="s">
        <v>145</v>
      </c>
      <c r="Y194" s="198" t="s">
        <v>144</v>
      </c>
      <c r="Z194" s="202" t="s">
        <v>143</v>
      </c>
      <c r="AA194" s="203" t="s">
        <v>142</v>
      </c>
      <c r="AB194" s="204"/>
    </row>
    <row r="195" spans="1:28">
      <c r="A195" s="190"/>
      <c r="B195" s="1078" t="s">
        <v>307</v>
      </c>
      <c r="C195" s="1079"/>
      <c r="D195" s="192"/>
      <c r="E195" s="192"/>
      <c r="F195" s="193"/>
      <c r="G195" s="190"/>
      <c r="H195" s="190"/>
      <c r="I195" s="205" t="s">
        <v>141</v>
      </c>
      <c r="J195" s="206" t="s">
        <v>140</v>
      </c>
      <c r="K195" s="207" t="s">
        <v>391</v>
      </c>
      <c r="L195" s="205" t="s">
        <v>139</v>
      </c>
      <c r="M195" s="207" t="s">
        <v>138</v>
      </c>
      <c r="N195" s="206" t="s">
        <v>137</v>
      </c>
      <c r="O195" s="208" t="s">
        <v>136</v>
      </c>
      <c r="P195" s="198"/>
      <c r="Q195" s="199"/>
      <c r="R195" s="209" t="s">
        <v>135</v>
      </c>
      <c r="S195" s="210" t="s">
        <v>134</v>
      </c>
      <c r="T195" s="211"/>
      <c r="U195" s="212"/>
      <c r="V195" s="201"/>
      <c r="W195" s="198"/>
      <c r="X195" s="198"/>
      <c r="Y195" s="198"/>
      <c r="Z195" s="203" t="s">
        <v>133</v>
      </c>
      <c r="AA195" s="204"/>
      <c r="AB195" s="204"/>
    </row>
    <row r="196" spans="1:28">
      <c r="A196" s="190"/>
      <c r="B196" s="191"/>
      <c r="C196" s="192"/>
      <c r="D196" s="192"/>
      <c r="E196" s="192"/>
      <c r="F196" s="193"/>
      <c r="G196" s="190"/>
      <c r="H196" s="190"/>
      <c r="I196" s="205" t="s">
        <v>132</v>
      </c>
      <c r="J196" s="206" t="s">
        <v>131</v>
      </c>
      <c r="K196" s="207" t="s">
        <v>392</v>
      </c>
      <c r="L196" s="205" t="s">
        <v>130</v>
      </c>
      <c r="M196" s="207" t="s">
        <v>129</v>
      </c>
      <c r="N196" s="206" t="s">
        <v>128</v>
      </c>
      <c r="O196" s="208" t="s">
        <v>127</v>
      </c>
      <c r="P196" s="198"/>
      <c r="Q196" s="198"/>
      <c r="R196" s="200"/>
      <c r="S196" s="200" t="s">
        <v>126</v>
      </c>
      <c r="T196" s="211"/>
      <c r="U196" s="212"/>
      <c r="V196" s="198"/>
      <c r="W196" s="198"/>
      <c r="X196" s="198"/>
      <c r="Y196" s="198"/>
      <c r="Z196" s="202"/>
      <c r="AA196" s="202"/>
      <c r="AB196" s="204"/>
    </row>
    <row r="197" spans="1:28">
      <c r="A197" s="190"/>
      <c r="B197" s="191"/>
      <c r="C197" s="192"/>
      <c r="D197" s="192" t="s">
        <v>125</v>
      </c>
      <c r="E197" s="192" t="s">
        <v>124</v>
      </c>
      <c r="F197" s="193" t="s">
        <v>123</v>
      </c>
      <c r="G197" s="190"/>
      <c r="H197" s="190"/>
      <c r="I197" s="213">
        <v>0.222</v>
      </c>
      <c r="J197" s="214">
        <v>0.499</v>
      </c>
      <c r="K197" s="215">
        <v>2.226</v>
      </c>
      <c r="L197" s="213">
        <v>0.88800000000000001</v>
      </c>
      <c r="M197" s="215">
        <v>1.5780000000000001</v>
      </c>
      <c r="N197" s="214">
        <v>2.4660000000000002</v>
      </c>
      <c r="O197" s="216">
        <v>3.8530000000000002</v>
      </c>
      <c r="P197" s="198"/>
      <c r="Q197" s="198"/>
      <c r="R197" s="200"/>
      <c r="S197" s="200"/>
      <c r="T197" s="217"/>
      <c r="U197" s="212"/>
      <c r="V197" s="198"/>
      <c r="W197" s="198"/>
      <c r="X197" s="198"/>
      <c r="Y197" s="198"/>
      <c r="Z197" s="204"/>
      <c r="AA197" s="204"/>
      <c r="AB197" s="204"/>
    </row>
    <row r="198" spans="1:28">
      <c r="A198" s="218"/>
      <c r="B198" s="219"/>
      <c r="C198" s="220"/>
      <c r="D198" s="220" t="s">
        <v>122</v>
      </c>
      <c r="E198" s="220" t="s">
        <v>122</v>
      </c>
      <c r="F198" s="221" t="s">
        <v>122</v>
      </c>
      <c r="G198" s="218"/>
      <c r="H198" s="218"/>
      <c r="I198" s="222" t="s">
        <v>120</v>
      </c>
      <c r="J198" s="223" t="s">
        <v>120</v>
      </c>
      <c r="K198" s="224" t="s">
        <v>120</v>
      </c>
      <c r="L198" s="222" t="s">
        <v>120</v>
      </c>
      <c r="M198" s="224" t="s">
        <v>120</v>
      </c>
      <c r="N198" s="223" t="s">
        <v>120</v>
      </c>
      <c r="O198" s="225" t="s">
        <v>120</v>
      </c>
      <c r="P198" s="226" t="s">
        <v>120</v>
      </c>
      <c r="Q198" s="226" t="s">
        <v>118</v>
      </c>
      <c r="R198" s="227" t="s">
        <v>119</v>
      </c>
      <c r="S198" s="227" t="s">
        <v>119</v>
      </c>
      <c r="T198" s="295" t="s">
        <v>117</v>
      </c>
      <c r="U198" s="295" t="s">
        <v>121</v>
      </c>
      <c r="V198" s="226" t="s">
        <v>120</v>
      </c>
      <c r="W198" s="227" t="s">
        <v>119</v>
      </c>
      <c r="X198" s="227" t="s">
        <v>119</v>
      </c>
      <c r="Y198" s="227" t="s">
        <v>119</v>
      </c>
      <c r="Z198" s="226" t="s">
        <v>118</v>
      </c>
      <c r="AA198" s="226" t="s">
        <v>117</v>
      </c>
      <c r="AB198" s="226" t="s">
        <v>117</v>
      </c>
    </row>
    <row r="199" spans="1:28">
      <c r="A199" s="47"/>
      <c r="B199" s="1045" t="s">
        <v>332</v>
      </c>
      <c r="C199" s="1046"/>
      <c r="D199" s="1046"/>
      <c r="E199" s="1046"/>
      <c r="F199" s="46"/>
      <c r="G199" s="45"/>
      <c r="H199" s="45"/>
      <c r="I199" s="43"/>
      <c r="J199" s="291"/>
      <c r="K199" s="292"/>
      <c r="L199" s="41"/>
      <c r="M199" s="41"/>
      <c r="N199" s="41"/>
      <c r="O199" s="42"/>
      <c r="P199" s="39"/>
      <c r="Q199" s="39"/>
      <c r="R199" s="40"/>
      <c r="S199" s="40"/>
      <c r="T199" s="39"/>
      <c r="U199" s="39"/>
      <c r="V199" s="39"/>
      <c r="W199" s="40"/>
      <c r="X199" s="40"/>
      <c r="Y199" s="40"/>
      <c r="Z199" s="39"/>
      <c r="AA199" s="39"/>
      <c r="AB199" s="39"/>
    </row>
    <row r="200" spans="1:28">
      <c r="A200" s="33"/>
      <c r="B200" s="36" t="s">
        <v>116</v>
      </c>
      <c r="C200" s="35"/>
      <c r="D200" s="25">
        <v>1.25</v>
      </c>
      <c r="E200" s="25">
        <v>1.25</v>
      </c>
      <c r="F200" s="24">
        <v>0.4</v>
      </c>
      <c r="G200" s="22">
        <v>165</v>
      </c>
      <c r="H200" s="22" t="s">
        <v>104</v>
      </c>
      <c r="I200" s="17"/>
      <c r="J200" s="32"/>
      <c r="K200" s="21"/>
      <c r="L200" s="17">
        <f>((F200+D200+F200)*8+(F200+E200+F200)*8)*G200*L197+((D200*2+E200*2)*2*G200)*L197</f>
        <v>6271.0559999999987</v>
      </c>
      <c r="M200" s="17"/>
      <c r="N200" s="34"/>
      <c r="O200" s="18"/>
      <c r="P200" s="16">
        <f t="shared" ref="P200:P209" si="87">SUM(I200:O200)</f>
        <v>6271.0559999999987</v>
      </c>
      <c r="Q200" s="16">
        <f>(P200*0.03)</f>
        <v>188.13167999999996</v>
      </c>
      <c r="R200" s="16">
        <f t="shared" ref="R200:R209" si="88">D200*E200*0.05*G200</f>
        <v>12.890625</v>
      </c>
      <c r="S200" s="16">
        <f t="shared" ref="S200:S209" si="89">D200*E200*F200*G200</f>
        <v>103.125</v>
      </c>
      <c r="T200" s="16">
        <f t="shared" ref="T200:T209" si="90">((D200*F200)*2+(E200*F200)*2)*G200</f>
        <v>330</v>
      </c>
      <c r="U200" s="16">
        <f>T200*30%</f>
        <v>99</v>
      </c>
      <c r="V200" s="16">
        <f>(T200+U200)*0.25</f>
        <v>107.25</v>
      </c>
      <c r="W200" s="16">
        <f t="shared" ref="W200:W209" si="91">(D200*E200*0.05)*G200</f>
        <v>12.890625</v>
      </c>
      <c r="X200" s="16">
        <f t="shared" ref="X200:X209" si="92">((D200*E200)*2)*G200</f>
        <v>515.625</v>
      </c>
      <c r="Y200" s="16">
        <v>0</v>
      </c>
      <c r="Z200" s="16">
        <f t="shared" ref="Z200:Z209" si="93">G200*1</f>
        <v>165</v>
      </c>
      <c r="AA200" s="16">
        <v>0</v>
      </c>
      <c r="AB200" s="16">
        <v>0</v>
      </c>
    </row>
    <row r="201" spans="1:28">
      <c r="A201" s="33"/>
      <c r="B201" s="36" t="s">
        <v>334</v>
      </c>
      <c r="C201" s="35"/>
      <c r="D201" s="25">
        <v>1</v>
      </c>
      <c r="E201" s="25">
        <v>3</v>
      </c>
      <c r="F201" s="24">
        <v>0.6</v>
      </c>
      <c r="G201" s="22">
        <v>2</v>
      </c>
      <c r="H201" s="22" t="s">
        <v>104</v>
      </c>
      <c r="I201" s="17"/>
      <c r="J201" s="32"/>
      <c r="K201" s="21"/>
      <c r="L201" s="17">
        <f>((D201*2+E201*2)*2*G201)*L197</f>
        <v>28.416</v>
      </c>
      <c r="M201" s="17"/>
      <c r="N201" s="34">
        <f>((D201+E201+F201)*5+(D201+E201+F201)*11)*N197+((F201*2+G201*2)*N197)</f>
        <v>194.32080000000002</v>
      </c>
      <c r="O201" s="18"/>
      <c r="P201" s="16">
        <f t="shared" si="87"/>
        <v>222.73680000000002</v>
      </c>
      <c r="Q201" s="16">
        <f t="shared" ref="Q201:Q209" si="94">(P201*0.03)</f>
        <v>6.6821039999999998</v>
      </c>
      <c r="R201" s="16">
        <f t="shared" si="88"/>
        <v>0.30000000000000004</v>
      </c>
      <c r="S201" s="16">
        <f t="shared" si="89"/>
        <v>3.5999999999999996</v>
      </c>
      <c r="T201" s="16">
        <f t="shared" si="90"/>
        <v>9.6</v>
      </c>
      <c r="U201" s="16">
        <f t="shared" ref="U201:U209" si="95">T201*30%</f>
        <v>2.88</v>
      </c>
      <c r="V201" s="16">
        <f>(T201+U201)*0.25</f>
        <v>3.12</v>
      </c>
      <c r="W201" s="16">
        <f t="shared" si="91"/>
        <v>0.30000000000000004</v>
      </c>
      <c r="X201" s="16">
        <f t="shared" si="92"/>
        <v>12</v>
      </c>
      <c r="Y201" s="16"/>
      <c r="Z201" s="16">
        <f t="shared" si="93"/>
        <v>2</v>
      </c>
      <c r="AA201" s="16">
        <v>0</v>
      </c>
      <c r="AB201" s="16">
        <v>0</v>
      </c>
    </row>
    <row r="202" spans="1:28">
      <c r="A202" s="33"/>
      <c r="B202" s="36" t="s">
        <v>335</v>
      </c>
      <c r="C202" s="35"/>
      <c r="D202" s="25">
        <v>1.7</v>
      </c>
      <c r="E202" s="25">
        <v>1.7</v>
      </c>
      <c r="F202" s="24">
        <v>0.45</v>
      </c>
      <c r="G202" s="22">
        <v>12</v>
      </c>
      <c r="H202" s="22" t="s">
        <v>104</v>
      </c>
      <c r="I202" s="17"/>
      <c r="J202" s="32"/>
      <c r="K202" s="21"/>
      <c r="L202" s="17">
        <f>((D202*2+E202*2)*2*G202)*L197</f>
        <v>144.92159999999998</v>
      </c>
      <c r="M202" s="37">
        <f>((F202+E202+F202)*8+(F202+D202+F202)*8)*G202*$M$8</f>
        <v>787.73760000000016</v>
      </c>
      <c r="N202" s="19"/>
      <c r="O202" s="18"/>
      <c r="P202" s="16">
        <f t="shared" si="87"/>
        <v>932.65920000000017</v>
      </c>
      <c r="Q202" s="16">
        <f t="shared" si="94"/>
        <v>27.979776000000005</v>
      </c>
      <c r="R202" s="16">
        <f t="shared" si="88"/>
        <v>1.734</v>
      </c>
      <c r="S202" s="16">
        <f t="shared" si="89"/>
        <v>15.606</v>
      </c>
      <c r="T202" s="16">
        <f t="shared" si="90"/>
        <v>36.72</v>
      </c>
      <c r="U202" s="16">
        <f t="shared" si="95"/>
        <v>11.016</v>
      </c>
      <c r="V202" s="16">
        <f t="shared" ref="V202:V209" si="96">(T202+U202)*0.25</f>
        <v>11.933999999999999</v>
      </c>
      <c r="W202" s="16">
        <f t="shared" si="91"/>
        <v>1.734</v>
      </c>
      <c r="X202" s="16">
        <f t="shared" si="92"/>
        <v>69.359999999999985</v>
      </c>
      <c r="Y202" s="16"/>
      <c r="Z202" s="16">
        <f t="shared" si="93"/>
        <v>12</v>
      </c>
      <c r="AA202" s="16">
        <v>0</v>
      </c>
      <c r="AB202" s="16">
        <v>0</v>
      </c>
    </row>
    <row r="203" spans="1:28">
      <c r="A203" s="33"/>
      <c r="B203" s="36" t="s">
        <v>115</v>
      </c>
      <c r="C203" s="35"/>
      <c r="D203" s="25">
        <v>1.9</v>
      </c>
      <c r="E203" s="25">
        <v>1.9</v>
      </c>
      <c r="F203" s="24">
        <v>0.5</v>
      </c>
      <c r="G203" s="22">
        <v>22</v>
      </c>
      <c r="H203" s="22" t="s">
        <v>104</v>
      </c>
      <c r="I203" s="17"/>
      <c r="J203" s="32"/>
      <c r="K203" s="21"/>
      <c r="L203" s="17">
        <f>((D203*2+E203*2)*2*G203)*L197</f>
        <v>296.94720000000001</v>
      </c>
      <c r="M203" s="37">
        <f>((F203+E203+F203)*10+(F203+D203+F203)*10)*G203*M197</f>
        <v>2013.528</v>
      </c>
      <c r="N203" s="19"/>
      <c r="O203" s="18"/>
      <c r="P203" s="16">
        <f t="shared" si="87"/>
        <v>2310.4751999999999</v>
      </c>
      <c r="Q203" s="16">
        <f t="shared" si="94"/>
        <v>69.314255999999986</v>
      </c>
      <c r="R203" s="16">
        <f t="shared" si="88"/>
        <v>3.9710000000000001</v>
      </c>
      <c r="S203" s="16">
        <f t="shared" si="89"/>
        <v>39.71</v>
      </c>
      <c r="T203" s="16">
        <f t="shared" si="90"/>
        <v>83.6</v>
      </c>
      <c r="U203" s="16">
        <f t="shared" si="95"/>
        <v>25.08</v>
      </c>
      <c r="V203" s="16">
        <f t="shared" si="96"/>
        <v>27.169999999999998</v>
      </c>
      <c r="W203" s="16">
        <f t="shared" si="91"/>
        <v>3.9710000000000001</v>
      </c>
      <c r="X203" s="16">
        <f t="shared" si="92"/>
        <v>158.84</v>
      </c>
      <c r="Y203" s="16"/>
      <c r="Z203" s="16">
        <f t="shared" si="93"/>
        <v>22</v>
      </c>
      <c r="AA203" s="16">
        <v>0</v>
      </c>
      <c r="AB203" s="16">
        <v>0</v>
      </c>
    </row>
    <row r="204" spans="1:28">
      <c r="A204" s="33"/>
      <c r="B204" s="36" t="s">
        <v>114</v>
      </c>
      <c r="C204" s="35"/>
      <c r="D204" s="25">
        <v>2.5</v>
      </c>
      <c r="E204" s="25">
        <v>2.5</v>
      </c>
      <c r="F204" s="24">
        <v>0.6</v>
      </c>
      <c r="G204" s="22">
        <v>40</v>
      </c>
      <c r="H204" s="22" t="s">
        <v>104</v>
      </c>
      <c r="I204" s="17"/>
      <c r="J204" s="32"/>
      <c r="K204" s="21"/>
      <c r="L204" s="17">
        <f>((D204*2+E204*2)*2*G204)*L197</f>
        <v>710.4</v>
      </c>
      <c r="M204" s="17"/>
      <c r="N204" s="17">
        <f>((D204+E204+F204)*13+(D204+E204+F204)*13)*G204*N197</f>
        <v>14361.984</v>
      </c>
      <c r="O204" s="18"/>
      <c r="P204" s="16">
        <f t="shared" si="87"/>
        <v>15072.384</v>
      </c>
      <c r="Q204" s="16">
        <f t="shared" si="94"/>
        <v>452.17151999999999</v>
      </c>
      <c r="R204" s="16">
        <f t="shared" si="88"/>
        <v>12.5</v>
      </c>
      <c r="S204" s="16">
        <f t="shared" si="89"/>
        <v>150</v>
      </c>
      <c r="T204" s="16">
        <f t="shared" si="90"/>
        <v>240</v>
      </c>
      <c r="U204" s="16">
        <f t="shared" si="95"/>
        <v>72</v>
      </c>
      <c r="V204" s="16">
        <f t="shared" si="96"/>
        <v>78</v>
      </c>
      <c r="W204" s="16">
        <f t="shared" si="91"/>
        <v>12.5</v>
      </c>
      <c r="X204" s="16">
        <f t="shared" si="92"/>
        <v>500</v>
      </c>
      <c r="Y204" s="16"/>
      <c r="Z204" s="16">
        <f t="shared" si="93"/>
        <v>40</v>
      </c>
      <c r="AA204" s="16">
        <v>0</v>
      </c>
      <c r="AB204" s="16">
        <v>0</v>
      </c>
    </row>
    <row r="205" spans="1:28">
      <c r="A205" s="33"/>
      <c r="B205" s="36" t="s">
        <v>336</v>
      </c>
      <c r="C205" s="35"/>
      <c r="D205" s="25">
        <v>2</v>
      </c>
      <c r="E205" s="25">
        <v>3</v>
      </c>
      <c r="F205" s="24">
        <v>0.6</v>
      </c>
      <c r="G205" s="22">
        <v>2</v>
      </c>
      <c r="H205" s="22" t="s">
        <v>104</v>
      </c>
      <c r="I205" s="17"/>
      <c r="J205" s="32"/>
      <c r="K205" s="21"/>
      <c r="L205" s="17">
        <f>((D205*2+E205*2)*2*G205)*L197</f>
        <v>35.520000000000003</v>
      </c>
      <c r="M205" s="17"/>
      <c r="N205" s="17">
        <f>(D205+E205+F205)*13*G205*N197</f>
        <v>359.0496</v>
      </c>
      <c r="O205" s="17">
        <f>(D205+E205+F205)*13*G205*O197</f>
        <v>560.99680000000001</v>
      </c>
      <c r="P205" s="16">
        <f t="shared" si="87"/>
        <v>955.56639999999993</v>
      </c>
      <c r="Q205" s="16">
        <f t="shared" si="94"/>
        <v>28.666991999999997</v>
      </c>
      <c r="R205" s="16">
        <f t="shared" si="88"/>
        <v>0.60000000000000009</v>
      </c>
      <c r="S205" s="16">
        <f t="shared" si="89"/>
        <v>7.1999999999999993</v>
      </c>
      <c r="T205" s="16">
        <f t="shared" si="90"/>
        <v>12</v>
      </c>
      <c r="U205" s="16">
        <f t="shared" si="95"/>
        <v>3.5999999999999996</v>
      </c>
      <c r="V205" s="16">
        <f t="shared" si="96"/>
        <v>3.9</v>
      </c>
      <c r="W205" s="16">
        <f t="shared" si="91"/>
        <v>0.60000000000000009</v>
      </c>
      <c r="X205" s="16">
        <f t="shared" si="92"/>
        <v>24</v>
      </c>
      <c r="Y205" s="16"/>
      <c r="Z205" s="16">
        <f t="shared" si="93"/>
        <v>2</v>
      </c>
      <c r="AA205" s="16">
        <v>0</v>
      </c>
      <c r="AB205" s="16">
        <v>0</v>
      </c>
    </row>
    <row r="206" spans="1:28">
      <c r="A206" s="33"/>
      <c r="B206" s="36" t="s">
        <v>113</v>
      </c>
      <c r="C206" s="35"/>
      <c r="D206" s="25">
        <v>2.8</v>
      </c>
      <c r="E206" s="25">
        <v>2.8</v>
      </c>
      <c r="F206" s="24">
        <v>0.8</v>
      </c>
      <c r="G206" s="22">
        <v>53</v>
      </c>
      <c r="H206" s="22" t="s">
        <v>104</v>
      </c>
      <c r="I206" s="17"/>
      <c r="J206" s="32"/>
      <c r="K206" s="21"/>
      <c r="L206" s="17">
        <f>((D206*2+E206*2)*2*G206)*L197</f>
        <v>1054.2335999999998</v>
      </c>
      <c r="M206" s="17"/>
      <c r="N206" s="17">
        <f>((D206+E206+F206)*14+(D206+E206+F206)*14)*G206*N197</f>
        <v>23421.081599999998</v>
      </c>
      <c r="O206" s="18"/>
      <c r="P206" s="16">
        <f t="shared" si="87"/>
        <v>24475.315199999997</v>
      </c>
      <c r="Q206" s="16">
        <f t="shared" si="94"/>
        <v>734.25945599999989</v>
      </c>
      <c r="R206" s="16">
        <f t="shared" si="88"/>
        <v>20.775999999999996</v>
      </c>
      <c r="S206" s="16">
        <f t="shared" si="89"/>
        <v>332.41599999999994</v>
      </c>
      <c r="T206" s="16">
        <f t="shared" si="90"/>
        <v>474.87999999999994</v>
      </c>
      <c r="U206" s="16">
        <f t="shared" si="95"/>
        <v>142.46399999999997</v>
      </c>
      <c r="V206" s="16">
        <f t="shared" si="96"/>
        <v>154.33599999999998</v>
      </c>
      <c r="W206" s="16">
        <f t="shared" si="91"/>
        <v>20.775999999999996</v>
      </c>
      <c r="X206" s="16">
        <f t="shared" si="92"/>
        <v>831.03999999999985</v>
      </c>
      <c r="Y206" s="16"/>
      <c r="Z206" s="16">
        <f t="shared" si="93"/>
        <v>53</v>
      </c>
      <c r="AA206" s="16">
        <v>0</v>
      </c>
      <c r="AB206" s="16">
        <v>0</v>
      </c>
    </row>
    <row r="207" spans="1:28">
      <c r="A207" s="33"/>
      <c r="B207" s="36" t="s">
        <v>112</v>
      </c>
      <c r="C207" s="35"/>
      <c r="D207" s="25">
        <v>3.8</v>
      </c>
      <c r="E207" s="25">
        <v>2.5</v>
      </c>
      <c r="F207" s="24">
        <v>0.7</v>
      </c>
      <c r="G207" s="22">
        <v>2</v>
      </c>
      <c r="H207" s="22" t="s">
        <v>104</v>
      </c>
      <c r="I207" s="17"/>
      <c r="J207" s="32"/>
      <c r="K207" s="21"/>
      <c r="L207" s="17">
        <f>((D207*2+E207*2)*2*G207)*L197</f>
        <v>44.755200000000002</v>
      </c>
      <c r="M207" s="17"/>
      <c r="N207" s="17">
        <f>((D207+E207+F207)*14+(D207+E207+F207)*16)*G207*N197</f>
        <v>1035.72</v>
      </c>
      <c r="O207" s="18"/>
      <c r="P207" s="16">
        <f t="shared" si="87"/>
        <v>1080.4752000000001</v>
      </c>
      <c r="Q207" s="16">
        <f t="shared" si="94"/>
        <v>32.414256000000002</v>
      </c>
      <c r="R207" s="16">
        <f t="shared" si="88"/>
        <v>0.95000000000000007</v>
      </c>
      <c r="S207" s="16">
        <f t="shared" si="89"/>
        <v>13.299999999999999</v>
      </c>
      <c r="T207" s="16">
        <f t="shared" si="90"/>
        <v>17.64</v>
      </c>
      <c r="U207" s="16">
        <f t="shared" si="95"/>
        <v>5.2919999999999998</v>
      </c>
      <c r="V207" s="16">
        <f t="shared" si="96"/>
        <v>5.7330000000000005</v>
      </c>
      <c r="W207" s="16">
        <f t="shared" si="91"/>
        <v>0.95000000000000007</v>
      </c>
      <c r="X207" s="16">
        <f t="shared" si="92"/>
        <v>38</v>
      </c>
      <c r="Y207" s="16"/>
      <c r="Z207" s="16">
        <f t="shared" si="93"/>
        <v>2</v>
      </c>
      <c r="AA207" s="16">
        <v>0</v>
      </c>
      <c r="AB207" s="16">
        <v>0</v>
      </c>
    </row>
    <row r="208" spans="1:28">
      <c r="A208" s="33"/>
      <c r="B208" s="36" t="s">
        <v>337</v>
      </c>
      <c r="C208" s="35"/>
      <c r="D208" s="25">
        <v>3.2</v>
      </c>
      <c r="E208" s="25">
        <v>3.8</v>
      </c>
      <c r="F208" s="24">
        <v>0.7</v>
      </c>
      <c r="G208" s="22">
        <v>1</v>
      </c>
      <c r="H208" s="22" t="s">
        <v>104</v>
      </c>
      <c r="I208" s="17"/>
      <c r="J208" s="32"/>
      <c r="K208" s="21"/>
      <c r="L208" s="17">
        <f>((D208*2+E208*2)*2*G208)*L197</f>
        <v>24.864000000000001</v>
      </c>
      <c r="M208" s="17"/>
      <c r="N208" s="19"/>
      <c r="O208" s="17">
        <f>((D208+E208+F208)*25+(D208+E208+F208)*35)*G208*O197</f>
        <v>1780.086</v>
      </c>
      <c r="P208" s="16">
        <f t="shared" si="87"/>
        <v>1804.95</v>
      </c>
      <c r="Q208" s="16">
        <f t="shared" si="94"/>
        <v>54.148499999999999</v>
      </c>
      <c r="R208" s="16">
        <f t="shared" si="88"/>
        <v>0.6080000000000001</v>
      </c>
      <c r="S208" s="16">
        <f t="shared" si="89"/>
        <v>8.5119999999999987</v>
      </c>
      <c r="T208" s="16">
        <f t="shared" si="90"/>
        <v>9.7999999999999989</v>
      </c>
      <c r="U208" s="16">
        <f t="shared" si="95"/>
        <v>2.9399999999999995</v>
      </c>
      <c r="V208" s="16">
        <f t="shared" si="96"/>
        <v>3.1849999999999996</v>
      </c>
      <c r="W208" s="16">
        <f t="shared" si="91"/>
        <v>0.6080000000000001</v>
      </c>
      <c r="X208" s="16">
        <f t="shared" si="92"/>
        <v>24.32</v>
      </c>
      <c r="Y208" s="16"/>
      <c r="Z208" s="16">
        <f t="shared" si="93"/>
        <v>1</v>
      </c>
      <c r="AA208" s="16">
        <v>0</v>
      </c>
      <c r="AB208" s="16">
        <v>0</v>
      </c>
    </row>
    <row r="209" spans="1:28">
      <c r="A209" s="33"/>
      <c r="B209" s="36" t="s">
        <v>338</v>
      </c>
      <c r="C209" s="35"/>
      <c r="D209" s="25">
        <v>3.3</v>
      </c>
      <c r="E209" s="25">
        <v>4.75</v>
      </c>
      <c r="F209" s="24">
        <v>0.7</v>
      </c>
      <c r="G209" s="22">
        <v>1</v>
      </c>
      <c r="H209" s="22" t="s">
        <v>104</v>
      </c>
      <c r="I209" s="17"/>
      <c r="J209" s="32"/>
      <c r="K209" s="21"/>
      <c r="L209" s="17">
        <f>((D209*2+E209*2)*2*G209)*L197</f>
        <v>28.593600000000002</v>
      </c>
      <c r="M209" s="17"/>
      <c r="N209" s="19"/>
      <c r="O209" s="17">
        <f>((D209+E209+F209)*40+(D209+E209+F209)*40)*G209*O197</f>
        <v>2697.1000000000004</v>
      </c>
      <c r="P209" s="16">
        <f t="shared" si="87"/>
        <v>2725.6936000000005</v>
      </c>
      <c r="Q209" s="16">
        <f t="shared" si="94"/>
        <v>81.770808000000017</v>
      </c>
      <c r="R209" s="16">
        <f t="shared" si="88"/>
        <v>0.78374999999999995</v>
      </c>
      <c r="S209" s="16">
        <f t="shared" si="89"/>
        <v>10.972499999999998</v>
      </c>
      <c r="T209" s="16">
        <f t="shared" si="90"/>
        <v>11.27</v>
      </c>
      <c r="U209" s="16">
        <f t="shared" si="95"/>
        <v>3.3809999999999998</v>
      </c>
      <c r="V209" s="16">
        <f t="shared" si="96"/>
        <v>3.66275</v>
      </c>
      <c r="W209" s="16">
        <f t="shared" si="91"/>
        <v>0.78374999999999995</v>
      </c>
      <c r="X209" s="16">
        <f t="shared" si="92"/>
        <v>31.349999999999998</v>
      </c>
      <c r="Y209" s="16"/>
      <c r="Z209" s="16">
        <f t="shared" si="93"/>
        <v>1</v>
      </c>
      <c r="AA209" s="16">
        <v>0</v>
      </c>
      <c r="AB209" s="16">
        <v>0</v>
      </c>
    </row>
    <row r="210" spans="1:28">
      <c r="A210" s="33"/>
      <c r="B210" s="36" t="s">
        <v>264</v>
      </c>
      <c r="C210" s="35"/>
      <c r="D210" s="25"/>
      <c r="E210" s="25"/>
      <c r="F210" s="24"/>
      <c r="G210" s="22"/>
      <c r="H210" s="22"/>
      <c r="I210" s="17"/>
      <c r="J210" s="32"/>
      <c r="K210" s="21"/>
      <c r="L210" s="17"/>
      <c r="M210" s="17"/>
      <c r="N210" s="19"/>
      <c r="O210" s="128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>
      <c r="A211" s="33"/>
      <c r="B211" s="27" t="s">
        <v>339</v>
      </c>
      <c r="C211" s="26"/>
      <c r="D211" s="25">
        <v>0.4</v>
      </c>
      <c r="E211" s="25">
        <v>0.8</v>
      </c>
      <c r="F211" s="24"/>
      <c r="G211" s="23">
        <v>482.45</v>
      </c>
      <c r="H211" s="22" t="s">
        <v>62</v>
      </c>
      <c r="I211" s="19"/>
      <c r="J211" s="32">
        <f>((D211+E211+D211+E211)*G211/0.1)*2*J197</f>
        <v>11555.642400000001</v>
      </c>
      <c r="K211" s="21"/>
      <c r="L211" s="17">
        <f>(G211*2)*L197</f>
        <v>856.83119999999997</v>
      </c>
      <c r="M211" s="19"/>
      <c r="N211" s="19"/>
      <c r="O211" s="19">
        <f>(G211*12+1)*O197</f>
        <v>22310.411199999999</v>
      </c>
      <c r="P211" s="16">
        <f t="shared" ref="P211:P226" si="97">SUM(I211:O211)</f>
        <v>34722.8848</v>
      </c>
      <c r="Q211" s="16">
        <f t="shared" ref="Q211:Q230" si="98">(P211*0.03)</f>
        <v>1041.6865439999999</v>
      </c>
      <c r="R211" s="16"/>
      <c r="S211" s="16">
        <f t="shared" ref="S211:S226" si="99">D211*E211*G211</f>
        <v>154.38400000000001</v>
      </c>
      <c r="T211" s="16">
        <f t="shared" ref="T211:T217" si="100">(D211+E211+E211)*G211</f>
        <v>964.9</v>
      </c>
      <c r="U211" s="16">
        <f t="shared" ref="U211:U226" si="101">T211*30%</f>
        <v>289.46999999999997</v>
      </c>
      <c r="V211" s="16">
        <f t="shared" ref="V211:V230" si="102">(T211+U211)*0.25</f>
        <v>313.59249999999997</v>
      </c>
      <c r="W211" s="16"/>
      <c r="X211" s="16">
        <v>0</v>
      </c>
      <c r="Y211" s="16">
        <v>0</v>
      </c>
      <c r="Z211" s="16">
        <v>0</v>
      </c>
      <c r="AA211" s="16">
        <v>0</v>
      </c>
      <c r="AB211" s="16">
        <v>0</v>
      </c>
    </row>
    <row r="212" spans="1:28">
      <c r="A212" s="33"/>
      <c r="B212" s="27" t="s">
        <v>340</v>
      </c>
      <c r="C212" s="26"/>
      <c r="D212" s="25">
        <v>0.2</v>
      </c>
      <c r="E212" s="25">
        <v>0.5</v>
      </c>
      <c r="F212" s="24"/>
      <c r="G212" s="23">
        <v>9.5</v>
      </c>
      <c r="H212" s="22" t="s">
        <v>62</v>
      </c>
      <c r="I212" s="19"/>
      <c r="J212" s="32">
        <f>((D212+E212+D212+E212)*G212/0.2)*J197</f>
        <v>33.183499999999995</v>
      </c>
      <c r="K212" s="21"/>
      <c r="L212" s="17"/>
      <c r="M212" s="19"/>
      <c r="N212" s="19">
        <f>(G212*4)*N197</f>
        <v>93.708000000000013</v>
      </c>
      <c r="O212" s="18"/>
      <c r="P212" s="16">
        <f t="shared" si="97"/>
        <v>126.89150000000001</v>
      </c>
      <c r="Q212" s="16">
        <f t="shared" si="98"/>
        <v>3.8067450000000003</v>
      </c>
      <c r="R212" s="16"/>
      <c r="S212" s="16">
        <f t="shared" si="99"/>
        <v>0.95000000000000007</v>
      </c>
      <c r="T212" s="16">
        <f t="shared" si="100"/>
        <v>11.4</v>
      </c>
      <c r="U212" s="16">
        <f t="shared" si="101"/>
        <v>3.42</v>
      </c>
      <c r="V212" s="16">
        <f t="shared" si="102"/>
        <v>3.7050000000000001</v>
      </c>
      <c r="W212" s="16"/>
      <c r="X212" s="16">
        <v>0</v>
      </c>
      <c r="Y212" s="16">
        <v>0</v>
      </c>
      <c r="Z212" s="16">
        <v>0</v>
      </c>
      <c r="AA212" s="16">
        <v>0</v>
      </c>
      <c r="AB212" s="16">
        <v>0</v>
      </c>
    </row>
    <row r="213" spans="1:28">
      <c r="A213" s="33"/>
      <c r="B213" s="27" t="s">
        <v>341</v>
      </c>
      <c r="C213" s="26"/>
      <c r="D213" s="25">
        <v>0.3</v>
      </c>
      <c r="E213" s="25">
        <v>0.6</v>
      </c>
      <c r="F213" s="24"/>
      <c r="G213" s="23">
        <v>18</v>
      </c>
      <c r="H213" s="22" t="s">
        <v>62</v>
      </c>
      <c r="I213" s="19"/>
      <c r="J213" s="32">
        <f>((D213+E213+D213+E213)*G213/0.1)*J197</f>
        <v>161.67599999999996</v>
      </c>
      <c r="K213" s="21"/>
      <c r="L213" s="17"/>
      <c r="M213" s="19"/>
      <c r="N213" s="19"/>
      <c r="O213" s="19">
        <f>(G213*8)*O197</f>
        <v>554.83199999999999</v>
      </c>
      <c r="P213" s="16">
        <f t="shared" si="97"/>
        <v>716.50799999999992</v>
      </c>
      <c r="Q213" s="16">
        <f t="shared" si="98"/>
        <v>21.495239999999995</v>
      </c>
      <c r="R213" s="16"/>
      <c r="S213" s="16">
        <f t="shared" si="99"/>
        <v>3.2399999999999998</v>
      </c>
      <c r="T213" s="16">
        <f t="shared" si="100"/>
        <v>27</v>
      </c>
      <c r="U213" s="16">
        <f t="shared" si="101"/>
        <v>8.1</v>
      </c>
      <c r="V213" s="16">
        <f t="shared" si="102"/>
        <v>8.7750000000000004</v>
      </c>
      <c r="W213" s="16"/>
      <c r="X213" s="16">
        <v>0</v>
      </c>
      <c r="Y213" s="16">
        <v>0</v>
      </c>
      <c r="Z213" s="16">
        <v>0</v>
      </c>
      <c r="AA213" s="16">
        <v>0</v>
      </c>
      <c r="AB213" s="16">
        <v>0</v>
      </c>
    </row>
    <row r="214" spans="1:28">
      <c r="A214" s="33"/>
      <c r="B214" s="27" t="s">
        <v>342</v>
      </c>
      <c r="C214" s="26"/>
      <c r="D214" s="25">
        <v>0.2</v>
      </c>
      <c r="E214" s="25">
        <v>0.5</v>
      </c>
      <c r="F214" s="24"/>
      <c r="G214" s="23">
        <v>46.75</v>
      </c>
      <c r="H214" s="22" t="s">
        <v>62</v>
      </c>
      <c r="I214" s="19"/>
      <c r="J214" s="32">
        <f>((D214+E214+D214+E214)*G214/0.2)*J197</f>
        <v>163.29775000000001</v>
      </c>
      <c r="K214" s="21"/>
      <c r="L214" s="17"/>
      <c r="M214" s="19"/>
      <c r="N214" s="19">
        <f>(G214*6)*N197</f>
        <v>691.71300000000008</v>
      </c>
      <c r="O214" s="18"/>
      <c r="P214" s="16">
        <f t="shared" si="97"/>
        <v>855.01075000000014</v>
      </c>
      <c r="Q214" s="16">
        <f t="shared" si="98"/>
        <v>25.650322500000005</v>
      </c>
      <c r="R214" s="16"/>
      <c r="S214" s="16">
        <f t="shared" si="99"/>
        <v>4.6749999999999998</v>
      </c>
      <c r="T214" s="16">
        <f t="shared" si="100"/>
        <v>56.1</v>
      </c>
      <c r="U214" s="16">
        <f t="shared" si="101"/>
        <v>16.829999999999998</v>
      </c>
      <c r="V214" s="16">
        <f t="shared" si="102"/>
        <v>18.232500000000002</v>
      </c>
      <c r="W214" s="16"/>
      <c r="X214" s="16">
        <v>0</v>
      </c>
      <c r="Y214" s="16">
        <v>0</v>
      </c>
      <c r="Z214" s="16">
        <v>0</v>
      </c>
      <c r="AA214" s="16">
        <v>0</v>
      </c>
      <c r="AB214" s="16">
        <v>0</v>
      </c>
    </row>
    <row r="215" spans="1:28">
      <c r="A215" s="33"/>
      <c r="B215" s="27" t="s">
        <v>343</v>
      </c>
      <c r="C215" s="26"/>
      <c r="D215" s="25">
        <v>0.3</v>
      </c>
      <c r="E215" s="25">
        <v>0.6</v>
      </c>
      <c r="F215" s="24"/>
      <c r="G215" s="23">
        <v>133</v>
      </c>
      <c r="H215" s="22" t="s">
        <v>62</v>
      </c>
      <c r="I215" s="19"/>
      <c r="J215" s="32">
        <f>((D215+E215+D215+E215)*G215/0.2)*J197</f>
        <v>597.30299999999988</v>
      </c>
      <c r="K215" s="21"/>
      <c r="L215" s="17"/>
      <c r="M215" s="19"/>
      <c r="N215" s="19"/>
      <c r="O215" s="18">
        <f>(G215*6)*O197</f>
        <v>3074.694</v>
      </c>
      <c r="P215" s="16">
        <f t="shared" si="97"/>
        <v>3671.9969999999998</v>
      </c>
      <c r="Q215" s="16">
        <f t="shared" si="98"/>
        <v>110.15991</v>
      </c>
      <c r="R215" s="16"/>
      <c r="S215" s="16">
        <f t="shared" si="99"/>
        <v>23.939999999999998</v>
      </c>
      <c r="T215" s="16">
        <f t="shared" si="100"/>
        <v>199.5</v>
      </c>
      <c r="U215" s="16">
        <f t="shared" si="101"/>
        <v>59.849999999999994</v>
      </c>
      <c r="V215" s="16">
        <f t="shared" si="102"/>
        <v>64.837500000000006</v>
      </c>
      <c r="W215" s="16"/>
      <c r="X215" s="16">
        <v>0</v>
      </c>
      <c r="Y215" s="16">
        <v>0</v>
      </c>
      <c r="Z215" s="16">
        <v>0</v>
      </c>
      <c r="AA215" s="16">
        <v>0</v>
      </c>
      <c r="AB215" s="16">
        <v>0</v>
      </c>
    </row>
    <row r="216" spans="1:28">
      <c r="A216" s="33"/>
      <c r="B216" s="27" t="s">
        <v>344</v>
      </c>
      <c r="C216" s="26"/>
      <c r="D216" s="25">
        <v>0.2</v>
      </c>
      <c r="E216" s="25">
        <v>0.4</v>
      </c>
      <c r="F216" s="24"/>
      <c r="G216" s="23">
        <v>19</v>
      </c>
      <c r="H216" s="22" t="s">
        <v>62</v>
      </c>
      <c r="I216" s="19"/>
      <c r="J216" s="32">
        <f>((D216+E216+D216+E216)*G216/0.2)*J197</f>
        <v>56.88600000000001</v>
      </c>
      <c r="K216" s="21"/>
      <c r="L216" s="17"/>
      <c r="M216" s="19">
        <f>(G216*4)*M197</f>
        <v>119.92800000000001</v>
      </c>
      <c r="N216" s="19"/>
      <c r="O216" s="18"/>
      <c r="P216" s="16">
        <f t="shared" si="97"/>
        <v>176.81400000000002</v>
      </c>
      <c r="Q216" s="16">
        <f t="shared" si="98"/>
        <v>5.3044200000000004</v>
      </c>
      <c r="R216" s="16"/>
      <c r="S216" s="16">
        <f t="shared" si="99"/>
        <v>1.5200000000000002</v>
      </c>
      <c r="T216" s="16">
        <f t="shared" si="100"/>
        <v>19</v>
      </c>
      <c r="U216" s="16">
        <f t="shared" si="101"/>
        <v>5.7</v>
      </c>
      <c r="V216" s="16">
        <f t="shared" si="102"/>
        <v>6.1749999999999998</v>
      </c>
      <c r="W216" s="16"/>
      <c r="X216" s="16">
        <v>0</v>
      </c>
      <c r="Y216" s="16">
        <v>0</v>
      </c>
      <c r="Z216" s="16">
        <v>0</v>
      </c>
      <c r="AA216" s="16">
        <v>0</v>
      </c>
      <c r="AB216" s="16">
        <v>0</v>
      </c>
    </row>
    <row r="217" spans="1:28">
      <c r="A217" s="33"/>
      <c r="B217" s="27" t="s">
        <v>345</v>
      </c>
      <c r="C217" s="26"/>
      <c r="D217" s="25">
        <v>0.45</v>
      </c>
      <c r="E217" s="25">
        <v>0.9</v>
      </c>
      <c r="F217" s="24"/>
      <c r="G217" s="23">
        <v>170.35</v>
      </c>
      <c r="H217" s="22" t="s">
        <v>62</v>
      </c>
      <c r="I217" s="19"/>
      <c r="J217" s="32">
        <f>((D217+E217+D217+E217)*G217/0.2)*2*J197</f>
        <v>2295.1255499999997</v>
      </c>
      <c r="K217" s="21"/>
      <c r="L217" s="17">
        <f>(G217*2)*L197</f>
        <v>302.54160000000002</v>
      </c>
      <c r="M217" s="19"/>
      <c r="N217" s="19"/>
      <c r="O217" s="18">
        <f>(G217*10)*O197</f>
        <v>6563.5855000000001</v>
      </c>
      <c r="P217" s="16">
        <f t="shared" si="97"/>
        <v>9161.2526500000004</v>
      </c>
      <c r="Q217" s="16">
        <f t="shared" si="98"/>
        <v>274.8375795</v>
      </c>
      <c r="R217" s="16"/>
      <c r="S217" s="16">
        <f t="shared" si="99"/>
        <v>68.991749999999996</v>
      </c>
      <c r="T217" s="16">
        <f t="shared" si="100"/>
        <v>383.28749999999997</v>
      </c>
      <c r="U217" s="16">
        <f t="shared" si="101"/>
        <v>114.98624999999998</v>
      </c>
      <c r="V217" s="16">
        <f t="shared" si="102"/>
        <v>124.56843749999999</v>
      </c>
      <c r="W217" s="16"/>
      <c r="X217" s="16">
        <v>0</v>
      </c>
      <c r="Y217" s="16">
        <v>0</v>
      </c>
      <c r="Z217" s="16">
        <v>0</v>
      </c>
      <c r="AA217" s="16">
        <v>0</v>
      </c>
      <c r="AB217" s="16">
        <v>0</v>
      </c>
    </row>
    <row r="218" spans="1:28">
      <c r="A218" s="33"/>
      <c r="B218" s="27" t="s">
        <v>346</v>
      </c>
      <c r="C218" s="26"/>
      <c r="D218" s="25">
        <v>0.3</v>
      </c>
      <c r="E218" s="25">
        <v>0.3</v>
      </c>
      <c r="F218" s="24"/>
      <c r="G218" s="23">
        <v>52</v>
      </c>
      <c r="H218" s="22" t="s">
        <v>62</v>
      </c>
      <c r="I218" s="19"/>
      <c r="J218" s="32">
        <f>((D218+E218+D218+E218)*G218/0.19)*J197</f>
        <v>163.88210526315791</v>
      </c>
      <c r="K218" s="21"/>
      <c r="L218" s="17">
        <f>(G218*8)*L197</f>
        <v>369.40800000000002</v>
      </c>
      <c r="M218" s="19"/>
      <c r="N218" s="19"/>
      <c r="O218" s="18"/>
      <c r="P218" s="16">
        <f t="shared" si="97"/>
        <v>533.2901052631579</v>
      </c>
      <c r="Q218" s="16">
        <f t="shared" si="98"/>
        <v>15.998703157894736</v>
      </c>
      <c r="R218" s="16"/>
      <c r="S218" s="16">
        <f t="shared" si="99"/>
        <v>4.68</v>
      </c>
      <c r="T218" s="16">
        <f t="shared" ref="T218:T228" si="103">(D218+E218+E218+D218)*G218</f>
        <v>62.4</v>
      </c>
      <c r="U218" s="16">
        <f t="shared" si="101"/>
        <v>18.72</v>
      </c>
      <c r="V218" s="16">
        <f t="shared" si="102"/>
        <v>20.28</v>
      </c>
      <c r="W218" s="16"/>
      <c r="X218" s="16">
        <v>0</v>
      </c>
      <c r="Y218" s="16">
        <v>0</v>
      </c>
      <c r="Z218" s="16">
        <v>0</v>
      </c>
      <c r="AA218" s="16">
        <v>0</v>
      </c>
      <c r="AB218" s="16">
        <v>0</v>
      </c>
    </row>
    <row r="219" spans="1:28">
      <c r="A219" s="33"/>
      <c r="B219" s="27" t="s">
        <v>347</v>
      </c>
      <c r="C219" s="26"/>
      <c r="D219" s="25">
        <v>0.45</v>
      </c>
      <c r="E219" s="25">
        <v>0.45</v>
      </c>
      <c r="F219" s="24"/>
      <c r="G219" s="23">
        <v>34</v>
      </c>
      <c r="H219" s="22" t="s">
        <v>62</v>
      </c>
      <c r="I219" s="19"/>
      <c r="J219" s="32">
        <f>((D219+E219+D219+E219)*G219/0.19)*J197</f>
        <v>160.73052631578946</v>
      </c>
      <c r="K219" s="21"/>
      <c r="L219" s="17"/>
      <c r="M219" s="19">
        <f>(G219*6)*M197</f>
        <v>321.91200000000003</v>
      </c>
      <c r="N219" s="19"/>
      <c r="O219" s="18"/>
      <c r="P219" s="16">
        <f t="shared" si="97"/>
        <v>482.6425263157895</v>
      </c>
      <c r="Q219" s="16">
        <f t="shared" si="98"/>
        <v>14.479275789473684</v>
      </c>
      <c r="R219" s="16"/>
      <c r="S219" s="16">
        <f t="shared" si="99"/>
        <v>6.8850000000000007</v>
      </c>
      <c r="T219" s="16">
        <f t="shared" si="103"/>
        <v>61.2</v>
      </c>
      <c r="U219" s="16">
        <f t="shared" si="101"/>
        <v>18.36</v>
      </c>
      <c r="V219" s="16">
        <f t="shared" si="102"/>
        <v>19.89</v>
      </c>
      <c r="W219" s="16"/>
      <c r="X219" s="16">
        <v>0</v>
      </c>
      <c r="Y219" s="16">
        <v>0</v>
      </c>
      <c r="Z219" s="16">
        <v>0</v>
      </c>
      <c r="AA219" s="16">
        <v>0</v>
      </c>
      <c r="AB219" s="16">
        <v>0</v>
      </c>
    </row>
    <row r="220" spans="1:28">
      <c r="A220" s="33"/>
      <c r="B220" s="27" t="s">
        <v>88</v>
      </c>
      <c r="C220" s="26"/>
      <c r="D220" s="25">
        <v>0.6</v>
      </c>
      <c r="E220" s="25">
        <v>0.6</v>
      </c>
      <c r="F220" s="24"/>
      <c r="G220" s="23">
        <v>32.4</v>
      </c>
      <c r="H220" s="22" t="s">
        <v>62</v>
      </c>
      <c r="I220" s="19"/>
      <c r="J220" s="32">
        <f>((D220+E220+D220+E220)*G220/0.2)*J197</f>
        <v>194.01119999999997</v>
      </c>
      <c r="K220" s="21"/>
      <c r="L220" s="17"/>
      <c r="M220" s="19">
        <f>(G220*8)*M197</f>
        <v>409.01760000000002</v>
      </c>
      <c r="N220" s="19"/>
      <c r="O220" s="18"/>
      <c r="P220" s="16">
        <f t="shared" si="97"/>
        <v>603.02880000000005</v>
      </c>
      <c r="Q220" s="16">
        <f t="shared" si="98"/>
        <v>18.090864</v>
      </c>
      <c r="R220" s="16"/>
      <c r="S220" s="16">
        <f t="shared" si="99"/>
        <v>11.664</v>
      </c>
      <c r="T220" s="16">
        <f t="shared" si="103"/>
        <v>77.759999999999991</v>
      </c>
      <c r="U220" s="16">
        <f t="shared" si="101"/>
        <v>23.327999999999996</v>
      </c>
      <c r="V220" s="16">
        <f t="shared" si="102"/>
        <v>25.271999999999998</v>
      </c>
      <c r="W220" s="16"/>
      <c r="X220" s="16">
        <v>0</v>
      </c>
      <c r="Y220" s="16">
        <v>0</v>
      </c>
      <c r="Z220" s="16">
        <v>0</v>
      </c>
      <c r="AA220" s="16">
        <v>0</v>
      </c>
      <c r="AB220" s="16">
        <v>0</v>
      </c>
    </row>
    <row r="221" spans="1:28">
      <c r="A221" s="28"/>
      <c r="B221" s="27" t="s">
        <v>87</v>
      </c>
      <c r="C221" s="26"/>
      <c r="D221" s="25">
        <v>0.5</v>
      </c>
      <c r="E221" s="25">
        <v>0.5</v>
      </c>
      <c r="F221" s="24"/>
      <c r="G221" s="23">
        <v>44</v>
      </c>
      <c r="H221" s="22" t="s">
        <v>62</v>
      </c>
      <c r="I221" s="19"/>
      <c r="J221" s="32">
        <f>((D221+E221+D221+E221)*G221/0.3)*J197</f>
        <v>146.37333333333336</v>
      </c>
      <c r="K221" s="21"/>
      <c r="L221" s="17"/>
      <c r="M221" s="19"/>
      <c r="N221" s="19">
        <f>(G221*10)*N197</f>
        <v>1085.0400000000002</v>
      </c>
      <c r="O221" s="18"/>
      <c r="P221" s="16">
        <f t="shared" si="97"/>
        <v>1231.4133333333336</v>
      </c>
      <c r="Q221" s="16">
        <f t="shared" si="98"/>
        <v>36.942400000000006</v>
      </c>
      <c r="R221" s="16"/>
      <c r="S221" s="16">
        <f t="shared" si="99"/>
        <v>11</v>
      </c>
      <c r="T221" s="16">
        <f t="shared" si="103"/>
        <v>88</v>
      </c>
      <c r="U221" s="16">
        <f t="shared" si="101"/>
        <v>26.4</v>
      </c>
      <c r="V221" s="16">
        <f t="shared" si="102"/>
        <v>28.6</v>
      </c>
      <c r="W221" s="16"/>
      <c r="X221" s="16">
        <v>0</v>
      </c>
      <c r="Y221" s="16">
        <v>0</v>
      </c>
      <c r="Z221" s="16">
        <v>0</v>
      </c>
      <c r="AA221" s="16">
        <v>0</v>
      </c>
      <c r="AB221" s="16">
        <v>0</v>
      </c>
    </row>
    <row r="222" spans="1:28">
      <c r="A222" s="28"/>
      <c r="B222" s="27" t="s">
        <v>85</v>
      </c>
      <c r="C222" s="26"/>
      <c r="D222" s="25">
        <v>0.55000000000000004</v>
      </c>
      <c r="E222" s="25">
        <v>0.55000000000000004</v>
      </c>
      <c r="F222" s="24"/>
      <c r="G222" s="23">
        <v>102.6</v>
      </c>
      <c r="H222" s="22" t="s">
        <v>62</v>
      </c>
      <c r="I222" s="19"/>
      <c r="J222" s="32">
        <f>((D222+E222+D222+E222)*G222/0.3)*J197</f>
        <v>375.44759999999997</v>
      </c>
      <c r="K222" s="21"/>
      <c r="L222" s="17"/>
      <c r="M222" s="19"/>
      <c r="N222" s="19">
        <f>(G222*12)*N197</f>
        <v>3036.1391999999996</v>
      </c>
      <c r="O222" s="18"/>
      <c r="P222" s="16">
        <f t="shared" si="97"/>
        <v>3411.5867999999996</v>
      </c>
      <c r="Q222" s="16">
        <f t="shared" si="98"/>
        <v>102.34760399999999</v>
      </c>
      <c r="R222" s="16"/>
      <c r="S222" s="16">
        <f t="shared" si="99"/>
        <v>31.036500000000004</v>
      </c>
      <c r="T222" s="16">
        <f t="shared" si="103"/>
        <v>225.72</v>
      </c>
      <c r="U222" s="16">
        <f t="shared" si="101"/>
        <v>67.715999999999994</v>
      </c>
      <c r="V222" s="16">
        <f t="shared" si="102"/>
        <v>73.358999999999995</v>
      </c>
      <c r="W222" s="16"/>
      <c r="X222" s="16">
        <v>0</v>
      </c>
      <c r="Y222" s="16">
        <v>0</v>
      </c>
      <c r="Z222" s="16">
        <v>0</v>
      </c>
      <c r="AA222" s="16">
        <v>0</v>
      </c>
      <c r="AB222" s="16">
        <v>0</v>
      </c>
    </row>
    <row r="223" spans="1:28">
      <c r="A223" s="28"/>
      <c r="B223" s="27" t="s">
        <v>348</v>
      </c>
      <c r="C223" s="26"/>
      <c r="D223" s="25">
        <v>0.2</v>
      </c>
      <c r="E223" s="25">
        <v>0.5</v>
      </c>
      <c r="F223" s="24"/>
      <c r="G223" s="23">
        <v>14.4</v>
      </c>
      <c r="H223" s="22" t="s">
        <v>62</v>
      </c>
      <c r="I223" s="19"/>
      <c r="J223" s="32">
        <f>((D223+E223+D223+E223)*G223/0.2)*J197</f>
        <v>50.299199999999999</v>
      </c>
      <c r="K223" s="21"/>
      <c r="L223" s="17"/>
      <c r="M223" s="19">
        <f>(G223*8)*M197</f>
        <v>181.78560000000002</v>
      </c>
      <c r="N223" s="19"/>
      <c r="O223" s="18"/>
      <c r="P223" s="16">
        <f t="shared" si="97"/>
        <v>232.08480000000003</v>
      </c>
      <c r="Q223" s="16">
        <f t="shared" si="98"/>
        <v>6.9625440000000003</v>
      </c>
      <c r="R223" s="16"/>
      <c r="S223" s="16">
        <f t="shared" si="99"/>
        <v>1.4400000000000002</v>
      </c>
      <c r="T223" s="16">
        <f t="shared" si="103"/>
        <v>20.16</v>
      </c>
      <c r="U223" s="16">
        <f t="shared" si="101"/>
        <v>6.048</v>
      </c>
      <c r="V223" s="16">
        <f t="shared" si="102"/>
        <v>6.5519999999999996</v>
      </c>
      <c r="W223" s="16"/>
      <c r="X223" s="16">
        <v>0</v>
      </c>
      <c r="Y223" s="16">
        <v>0</v>
      </c>
      <c r="Z223" s="16">
        <v>0</v>
      </c>
      <c r="AA223" s="16">
        <v>0</v>
      </c>
      <c r="AB223" s="16">
        <v>0</v>
      </c>
    </row>
    <row r="224" spans="1:28">
      <c r="A224" s="28"/>
      <c r="B224" s="27" t="s">
        <v>325</v>
      </c>
      <c r="C224" s="26"/>
      <c r="D224" s="25">
        <v>0.25</v>
      </c>
      <c r="E224" s="25">
        <v>0.5</v>
      </c>
      <c r="F224" s="24"/>
      <c r="G224" s="23">
        <f>3*2</f>
        <v>6</v>
      </c>
      <c r="H224" s="22" t="s">
        <v>62</v>
      </c>
      <c r="I224" s="17"/>
      <c r="J224" s="128"/>
      <c r="K224" s="21"/>
      <c r="L224" s="17"/>
      <c r="M224" s="19"/>
      <c r="N224" s="19"/>
      <c r="O224" s="21">
        <f>(6*G224)*O197</f>
        <v>138.708</v>
      </c>
      <c r="P224" s="16">
        <f t="shared" si="97"/>
        <v>138.708</v>
      </c>
      <c r="Q224" s="16">
        <f t="shared" si="98"/>
        <v>4.1612399999999994</v>
      </c>
      <c r="R224" s="16"/>
      <c r="S224" s="16">
        <f t="shared" si="99"/>
        <v>0.75</v>
      </c>
      <c r="T224" s="16">
        <f t="shared" si="103"/>
        <v>9</v>
      </c>
      <c r="U224" s="16">
        <f t="shared" si="101"/>
        <v>2.6999999999999997</v>
      </c>
      <c r="V224" s="16">
        <f t="shared" si="102"/>
        <v>2.9249999999999998</v>
      </c>
      <c r="W224" s="16"/>
      <c r="X224" s="16"/>
      <c r="Y224" s="16"/>
      <c r="Z224" s="16"/>
      <c r="AA224" s="16"/>
      <c r="AB224" s="16"/>
    </row>
    <row r="225" spans="1:28">
      <c r="A225" s="28"/>
      <c r="B225" s="27" t="s">
        <v>326</v>
      </c>
      <c r="C225" s="26"/>
      <c r="D225" s="25">
        <v>0.25</v>
      </c>
      <c r="E225" s="25">
        <v>0.5</v>
      </c>
      <c r="F225" s="24"/>
      <c r="G225" s="23">
        <f>3.8*2</f>
        <v>7.6</v>
      </c>
      <c r="H225" s="22" t="s">
        <v>62</v>
      </c>
      <c r="I225" s="17"/>
      <c r="J225" s="128"/>
      <c r="K225" s="21"/>
      <c r="L225" s="17"/>
      <c r="M225" s="19"/>
      <c r="N225" s="19"/>
      <c r="O225" s="21">
        <f>(6*G225)*O197</f>
        <v>175.6968</v>
      </c>
      <c r="P225" s="16">
        <f t="shared" si="97"/>
        <v>175.6968</v>
      </c>
      <c r="Q225" s="16">
        <f t="shared" si="98"/>
        <v>5.2709039999999998</v>
      </c>
      <c r="R225" s="16"/>
      <c r="S225" s="16">
        <f t="shared" si="99"/>
        <v>0.95</v>
      </c>
      <c r="T225" s="16">
        <f t="shared" si="103"/>
        <v>11.399999999999999</v>
      </c>
      <c r="U225" s="16">
        <f t="shared" si="101"/>
        <v>3.4199999999999995</v>
      </c>
      <c r="V225" s="16">
        <f t="shared" si="102"/>
        <v>3.7049999999999996</v>
      </c>
      <c r="W225" s="16"/>
      <c r="X225" s="16"/>
      <c r="Y225" s="16"/>
      <c r="Z225" s="16"/>
      <c r="AA225" s="16"/>
      <c r="AB225" s="16"/>
    </row>
    <row r="226" spans="1:28">
      <c r="A226" s="28"/>
      <c r="B226" s="27" t="s">
        <v>327</v>
      </c>
      <c r="C226" s="26"/>
      <c r="D226" s="25">
        <v>0.25</v>
      </c>
      <c r="E226" s="25">
        <v>0.5</v>
      </c>
      <c r="F226" s="24"/>
      <c r="G226" s="23">
        <f>2.7*2</f>
        <v>5.4</v>
      </c>
      <c r="H226" s="22" t="s">
        <v>62</v>
      </c>
      <c r="I226" s="17"/>
      <c r="J226" s="128"/>
      <c r="K226" s="21"/>
      <c r="L226" s="17"/>
      <c r="M226" s="19"/>
      <c r="N226" s="19"/>
      <c r="O226" s="21">
        <f>(6*G226)*O197</f>
        <v>124.83720000000002</v>
      </c>
      <c r="P226" s="16">
        <f t="shared" si="97"/>
        <v>124.83720000000002</v>
      </c>
      <c r="Q226" s="16">
        <f t="shared" si="98"/>
        <v>3.7451160000000008</v>
      </c>
      <c r="R226" s="16"/>
      <c r="S226" s="16">
        <f t="shared" si="99"/>
        <v>0.67500000000000004</v>
      </c>
      <c r="T226" s="16">
        <f t="shared" si="103"/>
        <v>8.1000000000000014</v>
      </c>
      <c r="U226" s="16">
        <f t="shared" si="101"/>
        <v>2.4300000000000002</v>
      </c>
      <c r="V226" s="16">
        <f t="shared" si="102"/>
        <v>2.6325000000000003</v>
      </c>
      <c r="W226" s="16"/>
      <c r="X226" s="16"/>
      <c r="Y226" s="16"/>
      <c r="Z226" s="16"/>
      <c r="AA226" s="16"/>
      <c r="AB226" s="16"/>
    </row>
    <row r="227" spans="1:28">
      <c r="A227" s="28"/>
      <c r="B227" s="27" t="s">
        <v>330</v>
      </c>
      <c r="C227" s="26"/>
      <c r="D227" s="25">
        <v>0.25</v>
      </c>
      <c r="E227" s="25">
        <v>0.2</v>
      </c>
      <c r="F227" s="24">
        <v>1.7</v>
      </c>
      <c r="G227" s="23">
        <f>(9.9+9.9+10+10)+(46.31*2)+(28.75*2)</f>
        <v>189.92000000000002</v>
      </c>
      <c r="H227" s="22" t="s">
        <v>62</v>
      </c>
      <c r="I227" s="20"/>
      <c r="J227" s="32"/>
      <c r="K227" s="21"/>
      <c r="L227" s="17">
        <f>((G227/0.15)*2)*2*L197</f>
        <v>4497.3056000000006</v>
      </c>
      <c r="M227" s="19"/>
      <c r="N227" s="17">
        <f>((F227*0.3)*G227/0.2)*2+(1.8*G227/0.2)*2*N197</f>
        <v>9398.7609600000014</v>
      </c>
      <c r="O227" s="21"/>
      <c r="P227" s="16">
        <f>SUM(E227:O227)</f>
        <v>14087.886560000003</v>
      </c>
      <c r="Q227" s="16">
        <f t="shared" si="98"/>
        <v>422.63659680000006</v>
      </c>
      <c r="R227" s="16"/>
      <c r="S227" s="16">
        <f>(D227*F227)*G227+(E227*1.8)*G227</f>
        <v>149.08720000000002</v>
      </c>
      <c r="T227" s="16">
        <f t="shared" si="103"/>
        <v>170.92800000000003</v>
      </c>
      <c r="U227" s="16">
        <f t="shared" ref="U227:U230" si="104">(T227*0.03)*10.764</f>
        <v>55.196069760000007</v>
      </c>
      <c r="V227" s="16">
        <f t="shared" si="102"/>
        <v>56.531017440000007</v>
      </c>
      <c r="W227" s="16"/>
      <c r="X227" s="16"/>
      <c r="Y227" s="16"/>
      <c r="Z227" s="16"/>
      <c r="AA227" s="16"/>
      <c r="AB227" s="16"/>
    </row>
    <row r="228" spans="1:28">
      <c r="A228" s="28"/>
      <c r="B228" s="27" t="s">
        <v>331</v>
      </c>
      <c r="C228" s="26"/>
      <c r="D228" s="25">
        <v>1</v>
      </c>
      <c r="E228" s="25">
        <v>1</v>
      </c>
      <c r="F228" s="24">
        <v>0.46</v>
      </c>
      <c r="G228" s="23">
        <v>41</v>
      </c>
      <c r="H228" s="22" t="s">
        <v>104</v>
      </c>
      <c r="I228" s="20"/>
      <c r="J228" s="32"/>
      <c r="K228" s="21"/>
      <c r="L228" s="17">
        <f>((F228+D228+F228+D228)*4+(F228+D228+F228+D228)*4)*G228*$L$8+((D228*2+E228*2)*2*G228)*L197</f>
        <v>1141.75488</v>
      </c>
      <c r="M228" s="19"/>
      <c r="N228" s="17"/>
      <c r="O228" s="21"/>
      <c r="P228" s="16">
        <f>SUM(E228:O228)</f>
        <v>1184.21488</v>
      </c>
      <c r="Q228" s="16">
        <f t="shared" si="98"/>
        <v>35.526446399999998</v>
      </c>
      <c r="R228" s="16">
        <f>D228*E228*0.05*G228</f>
        <v>2.0500000000000003</v>
      </c>
      <c r="S228" s="16">
        <f>(D228*F228)*G228+(E228*1.8)*G228</f>
        <v>92.66</v>
      </c>
      <c r="T228" s="16">
        <f t="shared" si="103"/>
        <v>164</v>
      </c>
      <c r="U228" s="16">
        <f t="shared" si="104"/>
        <v>52.958879999999994</v>
      </c>
      <c r="V228" s="16">
        <f t="shared" si="102"/>
        <v>54.239719999999998</v>
      </c>
      <c r="W228" s="16">
        <f>(D228*E228*0.05)*G228</f>
        <v>2.0500000000000003</v>
      </c>
      <c r="X228" s="16"/>
      <c r="Y228" s="16"/>
      <c r="Z228" s="16"/>
      <c r="AA228" s="16"/>
      <c r="AB228" s="16"/>
    </row>
    <row r="229" spans="1:28">
      <c r="A229" s="28"/>
      <c r="B229" s="280" t="s">
        <v>308</v>
      </c>
      <c r="C229" s="17" t="s">
        <v>83</v>
      </c>
      <c r="D229" s="25"/>
      <c r="E229" s="25"/>
      <c r="F229" s="24">
        <v>0.05</v>
      </c>
      <c r="G229" s="23">
        <f>'Architecture '!T65</f>
        <v>162</v>
      </c>
      <c r="H229" s="22" t="s">
        <v>61</v>
      </c>
      <c r="I229" s="20"/>
      <c r="J229" s="32"/>
      <c r="K229" s="21"/>
      <c r="L229" s="17"/>
      <c r="M229" s="19"/>
      <c r="N229" s="19"/>
      <c r="O229" s="21"/>
      <c r="P229" s="16">
        <f>SUM(I229:O229)</f>
        <v>0</v>
      </c>
      <c r="Q229" s="16">
        <f t="shared" si="98"/>
        <v>0</v>
      </c>
      <c r="R229" s="16"/>
      <c r="S229" s="16">
        <f>+F229*G229</f>
        <v>8.1</v>
      </c>
      <c r="T229" s="16">
        <f>G229</f>
        <v>162</v>
      </c>
      <c r="U229" s="16">
        <f t="shared" si="104"/>
        <v>52.313039999999994</v>
      </c>
      <c r="V229" s="16">
        <f t="shared" si="102"/>
        <v>53.57826</v>
      </c>
      <c r="W229" s="16">
        <f>+D229*G229*0.1</f>
        <v>0</v>
      </c>
      <c r="X229" s="16">
        <v>0</v>
      </c>
      <c r="Y229" s="16">
        <v>0</v>
      </c>
      <c r="Z229" s="16">
        <v>0</v>
      </c>
      <c r="AA229" s="16">
        <v>0</v>
      </c>
      <c r="AB229" s="16">
        <f>G229</f>
        <v>162</v>
      </c>
    </row>
    <row r="230" spans="1:28">
      <c r="A230" s="28"/>
      <c r="B230" s="280" t="s">
        <v>395</v>
      </c>
      <c r="C230" s="26" t="s">
        <v>393</v>
      </c>
      <c r="D230" s="25"/>
      <c r="E230" s="25"/>
      <c r="F230" s="24">
        <v>0.2</v>
      </c>
      <c r="G230" s="281">
        <f>'Architecture '!C57</f>
        <v>0</v>
      </c>
      <c r="H230" s="22" t="s">
        <v>61</v>
      </c>
      <c r="I230" s="283"/>
      <c r="J230" s="17">
        <f>(60*114.6)*J197</f>
        <v>3431.1239999999998</v>
      </c>
      <c r="K230" s="21">
        <f>((0.6*(5.6/0.5))*36+((0.6*(4.3/0.5))*18)*K197)</f>
        <v>448.67087999999995</v>
      </c>
      <c r="L230" s="17"/>
      <c r="M230" s="19">
        <f>(0.6*(104.6/0.5))*9*M197</f>
        <v>1782.6350399999999</v>
      </c>
      <c r="N230" s="17"/>
      <c r="O230" s="21">
        <f>(0.6*(6/0.5))*162*O197</f>
        <v>4494.1391999999996</v>
      </c>
      <c r="P230" s="16">
        <f>SUM(I230:O230)</f>
        <v>10156.56912</v>
      </c>
      <c r="Q230" s="16">
        <f t="shared" si="98"/>
        <v>304.69707360000001</v>
      </c>
      <c r="R230" s="284"/>
      <c r="S230" s="16">
        <f>+F230*G230</f>
        <v>0</v>
      </c>
      <c r="T230" s="16">
        <f>G230</f>
        <v>0</v>
      </c>
      <c r="U230" s="16">
        <f t="shared" si="104"/>
        <v>0</v>
      </c>
      <c r="V230" s="16">
        <f t="shared" si="102"/>
        <v>0</v>
      </c>
      <c r="W230" s="284"/>
      <c r="X230" s="284"/>
      <c r="Y230" s="284"/>
      <c r="Z230" s="284"/>
      <c r="AA230" s="284"/>
      <c r="AB230" s="16">
        <f>G230</f>
        <v>0</v>
      </c>
    </row>
    <row r="231" spans="1:28">
      <c r="A231" s="28"/>
      <c r="B231" s="27" t="s">
        <v>262</v>
      </c>
      <c r="C231" s="26"/>
      <c r="D231" s="25"/>
      <c r="E231" s="25"/>
      <c r="F231" s="24"/>
      <c r="G231" s="23"/>
      <c r="H231" s="22"/>
      <c r="I231" s="20"/>
      <c r="J231" s="128"/>
      <c r="K231" s="21"/>
      <c r="L231" s="17"/>
      <c r="M231" s="19"/>
      <c r="N231" s="19"/>
      <c r="O231" s="21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>
      <c r="A232" s="28"/>
      <c r="B232" s="27" t="s">
        <v>82</v>
      </c>
      <c r="C232" s="26"/>
      <c r="D232" s="25">
        <v>0.2</v>
      </c>
      <c r="E232" s="25">
        <v>0.4</v>
      </c>
      <c r="F232" s="24"/>
      <c r="G232" s="23">
        <v>7.12</v>
      </c>
      <c r="H232" s="22" t="s">
        <v>62</v>
      </c>
      <c r="I232" s="17">
        <f>((D232+E232+D232+E232)*G232/0.15)*I197</f>
        <v>12.645120000000004</v>
      </c>
      <c r="J232" s="128"/>
      <c r="K232" s="21"/>
      <c r="L232" s="17">
        <f>(G232*4)*L197</f>
        <v>25.290240000000001</v>
      </c>
      <c r="M232" s="19"/>
      <c r="N232" s="19"/>
      <c r="O232" s="21">
        <f>(G232*2)/0.75*O197</f>
        <v>73.155626666666677</v>
      </c>
      <c r="P232" s="16">
        <f t="shared" ref="P232:P250" si="105">SUM(I232:O232)</f>
        <v>111.09098666666668</v>
      </c>
      <c r="Q232" s="16">
        <f t="shared" ref="Q232:Q261" si="106">(P232*0.03)</f>
        <v>3.3327296000000004</v>
      </c>
      <c r="R232" s="16"/>
      <c r="S232" s="16">
        <f t="shared" ref="S232:S242" si="107">D232*E232*G232</f>
        <v>0.56960000000000011</v>
      </c>
      <c r="T232" s="16">
        <f t="shared" ref="T232:T242" si="108">(D232+E232+E232)*G232</f>
        <v>7.12</v>
      </c>
      <c r="U232" s="16">
        <f t="shared" ref="U232:U246" si="109">(T232*0.03)*10.764</f>
        <v>2.2991903999999996</v>
      </c>
      <c r="V232" s="16">
        <f t="shared" ref="V232:V261" si="110">(T232+U232)*0.25</f>
        <v>2.3547975999999999</v>
      </c>
      <c r="W232" s="16"/>
      <c r="X232" s="16">
        <v>0</v>
      </c>
      <c r="Y232" s="16">
        <v>0</v>
      </c>
      <c r="Z232" s="16">
        <v>0</v>
      </c>
      <c r="AA232" s="16">
        <v>0</v>
      </c>
      <c r="AB232" s="16">
        <v>0</v>
      </c>
    </row>
    <row r="233" spans="1:28">
      <c r="A233" s="28"/>
      <c r="B233" s="27" t="s">
        <v>81</v>
      </c>
      <c r="C233" s="26"/>
      <c r="D233" s="25">
        <v>0.3</v>
      </c>
      <c r="E233" s="25">
        <v>0.4</v>
      </c>
      <c r="F233" s="24"/>
      <c r="G233" s="23">
        <v>69.88</v>
      </c>
      <c r="H233" s="22" t="s">
        <v>62</v>
      </c>
      <c r="I233" s="20"/>
      <c r="J233" s="128">
        <f>((D233+E233+D233+E233)*G233/0.15)*J197</f>
        <v>325.45445333333333</v>
      </c>
      <c r="K233" s="21"/>
      <c r="L233" s="17">
        <f>(G233*4)*L197</f>
        <v>248.21375999999998</v>
      </c>
      <c r="M233" s="19"/>
      <c r="N233" s="19"/>
      <c r="O233" s="21">
        <f>(G233/0.75)*2+(2*(G233/4))*O197</f>
        <v>320.97048666666666</v>
      </c>
      <c r="P233" s="16">
        <f t="shared" si="105"/>
        <v>894.63869999999997</v>
      </c>
      <c r="Q233" s="16">
        <f t="shared" si="106"/>
        <v>26.839160999999997</v>
      </c>
      <c r="R233" s="16"/>
      <c r="S233" s="16">
        <f t="shared" si="107"/>
        <v>8.3855999999999984</v>
      </c>
      <c r="T233" s="16">
        <f t="shared" si="108"/>
        <v>76.867999999999995</v>
      </c>
      <c r="U233" s="16">
        <f t="shared" si="109"/>
        <v>24.822214559999995</v>
      </c>
      <c r="V233" s="16">
        <f t="shared" si="110"/>
        <v>25.422553639999997</v>
      </c>
      <c r="W233" s="16"/>
      <c r="X233" s="16">
        <v>0</v>
      </c>
      <c r="Y233" s="16">
        <v>0</v>
      </c>
      <c r="Z233" s="16">
        <v>0</v>
      </c>
      <c r="AA233" s="16">
        <v>0</v>
      </c>
      <c r="AB233" s="16">
        <v>0</v>
      </c>
    </row>
    <row r="234" spans="1:28">
      <c r="A234" s="28"/>
      <c r="B234" s="27" t="s">
        <v>80</v>
      </c>
      <c r="C234" s="26"/>
      <c r="D234" s="25">
        <v>0.3</v>
      </c>
      <c r="E234" s="25">
        <v>0.6</v>
      </c>
      <c r="F234" s="24"/>
      <c r="G234" s="23">
        <v>185.9</v>
      </c>
      <c r="H234" s="22" t="s">
        <v>62</v>
      </c>
      <c r="I234" s="20"/>
      <c r="J234" s="128">
        <f>((D234+E234+D234+E234)*G234/0.2)*J197</f>
        <v>834.87689999999998</v>
      </c>
      <c r="K234" s="21"/>
      <c r="L234" s="17"/>
      <c r="M234" s="19"/>
      <c r="N234" s="19"/>
      <c r="O234" s="21">
        <f>(G234/0.75)*3+(3*(G234/4))+(3*G234)*O197</f>
        <v>3031.8431000000005</v>
      </c>
      <c r="P234" s="16">
        <f t="shared" si="105"/>
        <v>3866.7200000000003</v>
      </c>
      <c r="Q234" s="16">
        <f t="shared" si="106"/>
        <v>116.0016</v>
      </c>
      <c r="R234" s="16"/>
      <c r="S234" s="16">
        <f t="shared" si="107"/>
        <v>33.462000000000003</v>
      </c>
      <c r="T234" s="16">
        <f t="shared" si="108"/>
        <v>278.85000000000002</v>
      </c>
      <c r="U234" s="16">
        <f t="shared" si="109"/>
        <v>90.046242000000007</v>
      </c>
      <c r="V234" s="16">
        <f t="shared" si="110"/>
        <v>92.224060500000007</v>
      </c>
      <c r="W234" s="16"/>
      <c r="X234" s="16">
        <v>0</v>
      </c>
      <c r="Y234" s="16">
        <v>0</v>
      </c>
      <c r="Z234" s="16">
        <v>0</v>
      </c>
      <c r="AA234" s="16">
        <v>0</v>
      </c>
      <c r="AB234" s="16">
        <v>0</v>
      </c>
    </row>
    <row r="235" spans="1:28">
      <c r="A235" s="28"/>
      <c r="B235" s="27" t="s">
        <v>79</v>
      </c>
      <c r="C235" s="26"/>
      <c r="D235" s="25">
        <v>0.2</v>
      </c>
      <c r="E235" s="25">
        <v>0.6</v>
      </c>
      <c r="F235" s="24"/>
      <c r="G235" s="23">
        <v>110.72</v>
      </c>
      <c r="H235" s="22" t="s">
        <v>62</v>
      </c>
      <c r="I235" s="20"/>
      <c r="J235" s="128">
        <f>((D235+E235+D235+E235)*G235/0.2)*J197</f>
        <v>441.99423999999999</v>
      </c>
      <c r="K235" s="21"/>
      <c r="L235" s="17"/>
      <c r="M235" s="19"/>
      <c r="N235" s="19"/>
      <c r="O235" s="21">
        <f>((G235/0.75)*1+1*(G235/4)+(4*G235)+3*(G235/4))*O197</f>
        <v>2701.8263466666667</v>
      </c>
      <c r="P235" s="16">
        <f t="shared" si="105"/>
        <v>3143.8205866666667</v>
      </c>
      <c r="Q235" s="16">
        <f t="shared" si="106"/>
        <v>94.314617599999991</v>
      </c>
      <c r="R235" s="16"/>
      <c r="S235" s="16">
        <f t="shared" si="107"/>
        <v>13.286399999999999</v>
      </c>
      <c r="T235" s="16">
        <f t="shared" si="108"/>
        <v>155.00799999999998</v>
      </c>
      <c r="U235" s="16">
        <f t="shared" si="109"/>
        <v>50.055183359999987</v>
      </c>
      <c r="V235" s="16">
        <f t="shared" si="110"/>
        <v>51.265795839999996</v>
      </c>
      <c r="W235" s="16"/>
      <c r="X235" s="16">
        <v>0</v>
      </c>
      <c r="Y235" s="16">
        <v>0</v>
      </c>
      <c r="Z235" s="16">
        <v>0</v>
      </c>
      <c r="AA235" s="16">
        <v>0</v>
      </c>
      <c r="AB235" s="16">
        <v>0</v>
      </c>
    </row>
    <row r="236" spans="1:28">
      <c r="A236" s="28"/>
      <c r="B236" s="27" t="s">
        <v>78</v>
      </c>
      <c r="C236" s="26"/>
      <c r="D236" s="25">
        <v>0.3</v>
      </c>
      <c r="E236" s="25">
        <v>0.6</v>
      </c>
      <c r="F236" s="24"/>
      <c r="G236" s="23">
        <v>23</v>
      </c>
      <c r="H236" s="22" t="s">
        <v>62</v>
      </c>
      <c r="I236" s="20"/>
      <c r="J236" s="128">
        <f>((D236+E236+D236+E236)*G236/0.125)*2*J197</f>
        <v>330.5376</v>
      </c>
      <c r="K236" s="21"/>
      <c r="L236" s="17"/>
      <c r="M236" s="19"/>
      <c r="N236" s="19"/>
      <c r="O236" s="21">
        <f>((G236/0.75)*2+2*(G236/4)+(6*G236)+3*(G236/4)+3*(G236/0.75))*O197</f>
        <v>1233.2810833333335</v>
      </c>
      <c r="P236" s="16">
        <f t="shared" si="105"/>
        <v>1563.8186833333334</v>
      </c>
      <c r="Q236" s="16">
        <f t="shared" si="106"/>
        <v>46.9145605</v>
      </c>
      <c r="R236" s="16"/>
      <c r="S236" s="16">
        <f t="shared" si="107"/>
        <v>4.1399999999999997</v>
      </c>
      <c r="T236" s="16">
        <f t="shared" si="108"/>
        <v>34.5</v>
      </c>
      <c r="U236" s="16">
        <f t="shared" si="109"/>
        <v>11.140739999999999</v>
      </c>
      <c r="V236" s="16">
        <f t="shared" si="110"/>
        <v>11.410185</v>
      </c>
      <c r="W236" s="16"/>
      <c r="X236" s="16">
        <v>0</v>
      </c>
      <c r="Y236" s="16">
        <v>0</v>
      </c>
      <c r="Z236" s="16">
        <v>0</v>
      </c>
      <c r="AA236" s="16">
        <v>0</v>
      </c>
      <c r="AB236" s="16">
        <v>0</v>
      </c>
    </row>
    <row r="237" spans="1:28">
      <c r="A237" s="28"/>
      <c r="B237" s="27" t="s">
        <v>77</v>
      </c>
      <c r="C237" s="26"/>
      <c r="D237" s="25">
        <v>0.3</v>
      </c>
      <c r="E237" s="25">
        <v>0.6</v>
      </c>
      <c r="F237" s="24"/>
      <c r="G237" s="23">
        <v>19.38</v>
      </c>
      <c r="H237" s="22" t="s">
        <v>62</v>
      </c>
      <c r="I237" s="20"/>
      <c r="J237" s="128">
        <f>((D237+E237+D237+E237)*G237/0.2)*J197</f>
        <v>87.035579999999982</v>
      </c>
      <c r="K237" s="21"/>
      <c r="L237" s="17"/>
      <c r="M237" s="19"/>
      <c r="N237" s="19"/>
      <c r="O237" s="21">
        <f>(((4/G237)*1)*(G237*4)+(3*(G237/4)))*O197</f>
        <v>117.65135500000001</v>
      </c>
      <c r="P237" s="16">
        <f t="shared" si="105"/>
        <v>204.68693500000001</v>
      </c>
      <c r="Q237" s="16">
        <f t="shared" si="106"/>
        <v>6.14060805</v>
      </c>
      <c r="R237" s="16"/>
      <c r="S237" s="16">
        <f t="shared" si="107"/>
        <v>3.4883999999999995</v>
      </c>
      <c r="T237" s="16">
        <f t="shared" si="108"/>
        <v>29.07</v>
      </c>
      <c r="U237" s="16">
        <f t="shared" si="109"/>
        <v>9.3872843999999986</v>
      </c>
      <c r="V237" s="16">
        <f t="shared" si="110"/>
        <v>9.6143210999999997</v>
      </c>
      <c r="W237" s="16"/>
      <c r="X237" s="16">
        <v>0</v>
      </c>
      <c r="Y237" s="16">
        <v>0</v>
      </c>
      <c r="Z237" s="16">
        <v>0</v>
      </c>
      <c r="AA237" s="16">
        <v>0</v>
      </c>
      <c r="AB237" s="16">
        <v>0</v>
      </c>
    </row>
    <row r="238" spans="1:28">
      <c r="A238" s="28"/>
      <c r="B238" s="27" t="s">
        <v>76</v>
      </c>
      <c r="C238" s="26"/>
      <c r="D238" s="25">
        <v>0.2</v>
      </c>
      <c r="E238" s="25">
        <v>0.6</v>
      </c>
      <c r="F238" s="24"/>
      <c r="G238" s="23">
        <v>22.44</v>
      </c>
      <c r="H238" s="22" t="s">
        <v>62</v>
      </c>
      <c r="I238" s="20"/>
      <c r="J238" s="128">
        <f>((D238+E238+D238+E238)*G238/0.2)*J197</f>
        <v>89.580480000000009</v>
      </c>
      <c r="K238" s="21"/>
      <c r="L238" s="17"/>
      <c r="M238" s="19"/>
      <c r="N238" s="19"/>
      <c r="O238" s="21">
        <f>((1*(G238/4))*(G238*4)+(3*(G238/4)))*O197</f>
        <v>2005.0380108000006</v>
      </c>
      <c r="P238" s="16">
        <f t="shared" si="105"/>
        <v>2094.6184908000005</v>
      </c>
      <c r="Q238" s="16">
        <f t="shared" si="106"/>
        <v>62.838554724000012</v>
      </c>
      <c r="R238" s="16"/>
      <c r="S238" s="16">
        <f t="shared" si="107"/>
        <v>2.6928000000000001</v>
      </c>
      <c r="T238" s="16">
        <f t="shared" si="108"/>
        <v>31.416</v>
      </c>
      <c r="U238" s="16">
        <f t="shared" si="109"/>
        <v>10.14485472</v>
      </c>
      <c r="V238" s="16">
        <f t="shared" si="110"/>
        <v>10.39021368</v>
      </c>
      <c r="W238" s="16"/>
      <c r="X238" s="16">
        <v>0</v>
      </c>
      <c r="Y238" s="16">
        <v>0</v>
      </c>
      <c r="Z238" s="16">
        <v>0</v>
      </c>
      <c r="AA238" s="16">
        <v>0</v>
      </c>
      <c r="AB238" s="16">
        <v>0</v>
      </c>
    </row>
    <row r="239" spans="1:28">
      <c r="A239" s="28"/>
      <c r="B239" s="27" t="s">
        <v>75</v>
      </c>
      <c r="C239" s="26"/>
      <c r="D239" s="25">
        <v>0.2</v>
      </c>
      <c r="E239" s="25">
        <v>0.6</v>
      </c>
      <c r="F239" s="24"/>
      <c r="G239" s="23">
        <v>16.39</v>
      </c>
      <c r="H239" s="22" t="s">
        <v>62</v>
      </c>
      <c r="I239" s="20"/>
      <c r="J239" s="128">
        <f>((D239+E239+D239+E239)*G239/0.2)*2*J197</f>
        <v>130.85776000000001</v>
      </c>
      <c r="K239" s="21"/>
      <c r="L239" s="17"/>
      <c r="M239" s="19"/>
      <c r="N239" s="19"/>
      <c r="O239" s="21">
        <f>(6*G239)*O197</f>
        <v>378.90402000000006</v>
      </c>
      <c r="P239" s="16">
        <f t="shared" si="105"/>
        <v>509.76178000000004</v>
      </c>
      <c r="Q239" s="16">
        <f t="shared" si="106"/>
        <v>15.2928534</v>
      </c>
      <c r="R239" s="16"/>
      <c r="S239" s="16">
        <f t="shared" si="107"/>
        <v>1.9668000000000001</v>
      </c>
      <c r="T239" s="16">
        <f t="shared" si="108"/>
        <v>22.945999999999998</v>
      </c>
      <c r="U239" s="16">
        <f t="shared" si="109"/>
        <v>7.4097223199999984</v>
      </c>
      <c r="V239" s="16">
        <f t="shared" si="110"/>
        <v>7.5889305799999995</v>
      </c>
      <c r="W239" s="16"/>
      <c r="X239" s="16">
        <v>0</v>
      </c>
      <c r="Y239" s="16">
        <v>0</v>
      </c>
      <c r="Z239" s="16">
        <v>0</v>
      </c>
      <c r="AA239" s="16">
        <v>0</v>
      </c>
      <c r="AB239" s="16">
        <v>0</v>
      </c>
    </row>
    <row r="240" spans="1:28">
      <c r="A240" s="28"/>
      <c r="B240" s="27" t="s">
        <v>74</v>
      </c>
      <c r="C240" s="26"/>
      <c r="D240" s="25">
        <v>0.4</v>
      </c>
      <c r="E240" s="25">
        <v>0.6</v>
      </c>
      <c r="F240" s="24"/>
      <c r="G240" s="23">
        <v>58.76</v>
      </c>
      <c r="H240" s="22" t="s">
        <v>62</v>
      </c>
      <c r="I240" s="20"/>
      <c r="J240" s="128">
        <f>((D240+E240+D240+E240)*G240/0.15)*2*J197</f>
        <v>781.89973333333342</v>
      </c>
      <c r="K240" s="21"/>
      <c r="L240" s="17"/>
      <c r="M240" s="19"/>
      <c r="N240" s="19"/>
      <c r="O240" s="21">
        <f>(4*G240)+(6*G240/4)+(3*G240/0.75)*O197</f>
        <v>1228.7891199999999</v>
      </c>
      <c r="P240" s="16">
        <f t="shared" si="105"/>
        <v>2010.6888533333333</v>
      </c>
      <c r="Q240" s="16">
        <f t="shared" si="106"/>
        <v>60.320665599999998</v>
      </c>
      <c r="R240" s="16"/>
      <c r="S240" s="16">
        <f t="shared" si="107"/>
        <v>14.102399999999999</v>
      </c>
      <c r="T240" s="16">
        <f t="shared" si="108"/>
        <v>94.016000000000005</v>
      </c>
      <c r="U240" s="16">
        <f t="shared" si="109"/>
        <v>30.359646719999997</v>
      </c>
      <c r="V240" s="16">
        <f t="shared" si="110"/>
        <v>31.093911680000001</v>
      </c>
      <c r="W240" s="16"/>
      <c r="X240" s="16">
        <v>0</v>
      </c>
      <c r="Y240" s="16">
        <v>0</v>
      </c>
      <c r="Z240" s="16">
        <v>0</v>
      </c>
      <c r="AA240" s="16">
        <v>0</v>
      </c>
      <c r="AB240" s="16">
        <v>0</v>
      </c>
    </row>
    <row r="241" spans="1:28">
      <c r="A241" s="28"/>
      <c r="B241" s="27" t="s">
        <v>73</v>
      </c>
      <c r="C241" s="26"/>
      <c r="D241" s="25">
        <v>0.4</v>
      </c>
      <c r="E241" s="25">
        <v>0.6</v>
      </c>
      <c r="F241" s="24"/>
      <c r="G241" s="23">
        <v>47.14</v>
      </c>
      <c r="H241" s="22" t="s">
        <v>62</v>
      </c>
      <c r="I241" s="20"/>
      <c r="J241" s="128">
        <f>((D241+E241+D241+E241)*G241/0.15)*2*J197</f>
        <v>627.27626666666674</v>
      </c>
      <c r="K241" s="21"/>
      <c r="L241" s="17"/>
      <c r="M241" s="19"/>
      <c r="N241" s="19"/>
      <c r="O241" s="21">
        <f>(4*G241)+(6*G241/4)*O197</f>
        <v>461.00563000000005</v>
      </c>
      <c r="P241" s="16">
        <f t="shared" si="105"/>
        <v>1088.2818966666669</v>
      </c>
      <c r="Q241" s="16">
        <f t="shared" si="106"/>
        <v>32.648456900000006</v>
      </c>
      <c r="R241" s="16"/>
      <c r="S241" s="16">
        <f t="shared" si="107"/>
        <v>11.313599999999999</v>
      </c>
      <c r="T241" s="16">
        <f t="shared" si="108"/>
        <v>75.424000000000007</v>
      </c>
      <c r="U241" s="16">
        <f t="shared" si="109"/>
        <v>24.355918080000002</v>
      </c>
      <c r="V241" s="16">
        <f t="shared" si="110"/>
        <v>24.944979520000004</v>
      </c>
      <c r="W241" s="16"/>
      <c r="X241" s="16">
        <v>0</v>
      </c>
      <c r="Y241" s="16">
        <v>0</v>
      </c>
      <c r="Z241" s="16">
        <v>0</v>
      </c>
      <c r="AA241" s="16">
        <v>0</v>
      </c>
      <c r="AB241" s="16">
        <v>0</v>
      </c>
    </row>
    <row r="242" spans="1:28">
      <c r="A242" s="28"/>
      <c r="B242" s="27" t="s">
        <v>72</v>
      </c>
      <c r="C242" s="26"/>
      <c r="D242" s="25">
        <v>0.4</v>
      </c>
      <c r="E242" s="25">
        <v>0.6</v>
      </c>
      <c r="F242" s="24"/>
      <c r="G242" s="23">
        <v>32.4</v>
      </c>
      <c r="H242" s="22" t="s">
        <v>62</v>
      </c>
      <c r="I242" s="20"/>
      <c r="J242" s="128">
        <f>((D242+E242+D242+E242)*G242/0.15)*2*J197</f>
        <v>431.13600000000002</v>
      </c>
      <c r="K242" s="21"/>
      <c r="L242" s="17"/>
      <c r="M242" s="19"/>
      <c r="N242" s="19"/>
      <c r="O242" s="21">
        <f>(20*G242)*O197</f>
        <v>2496.7440000000001</v>
      </c>
      <c r="P242" s="16">
        <f t="shared" si="105"/>
        <v>2927.88</v>
      </c>
      <c r="Q242" s="16">
        <f t="shared" si="106"/>
        <v>87.836399999999998</v>
      </c>
      <c r="R242" s="16"/>
      <c r="S242" s="16">
        <f t="shared" si="107"/>
        <v>7.7759999999999998</v>
      </c>
      <c r="T242" s="16">
        <f t="shared" si="108"/>
        <v>51.84</v>
      </c>
      <c r="U242" s="16">
        <f t="shared" si="109"/>
        <v>16.7401728</v>
      </c>
      <c r="V242" s="16">
        <f t="shared" si="110"/>
        <v>17.1450432</v>
      </c>
      <c r="W242" s="16"/>
      <c r="X242" s="16">
        <v>0</v>
      </c>
      <c r="Y242" s="16">
        <v>0</v>
      </c>
      <c r="Z242" s="16">
        <v>0</v>
      </c>
      <c r="AA242" s="16">
        <v>0</v>
      </c>
      <c r="AB242" s="16">
        <v>0</v>
      </c>
    </row>
    <row r="243" spans="1:28">
      <c r="A243" s="28"/>
      <c r="B243" s="27" t="s">
        <v>66</v>
      </c>
      <c r="C243" s="26"/>
      <c r="D243" s="25">
        <v>0.4</v>
      </c>
      <c r="E243" s="25">
        <v>0.6</v>
      </c>
      <c r="F243" s="24">
        <v>4</v>
      </c>
      <c r="G243" s="23">
        <v>9</v>
      </c>
      <c r="H243" s="22" t="s">
        <v>62</v>
      </c>
      <c r="I243" s="17">
        <f>(((D243+E243+D243+E243)*F243/0.29)*G243)*2*I197</f>
        <v>110.2344827586207</v>
      </c>
      <c r="J243" s="128"/>
      <c r="K243" s="21"/>
      <c r="L243" s="17"/>
      <c r="M243" s="19"/>
      <c r="N243" s="19"/>
      <c r="O243" s="21">
        <f>(G243*8*F243)*O197</f>
        <v>1109.664</v>
      </c>
      <c r="P243" s="16">
        <f t="shared" si="105"/>
        <v>1219.8984827586207</v>
      </c>
      <c r="Q243" s="16">
        <f t="shared" si="106"/>
        <v>36.596954482758619</v>
      </c>
      <c r="R243" s="16"/>
      <c r="S243" s="16">
        <f>(D243*E243*F243)*G243</f>
        <v>8.64</v>
      </c>
      <c r="T243" s="16">
        <f t="shared" ref="T243:T249" si="111">(D243+E243+E243+D243)*G243</f>
        <v>18</v>
      </c>
      <c r="U243" s="16">
        <f t="shared" si="109"/>
        <v>5.8125600000000004</v>
      </c>
      <c r="V243" s="16">
        <f t="shared" si="110"/>
        <v>5.9531400000000003</v>
      </c>
      <c r="W243" s="16"/>
      <c r="X243" s="16">
        <v>0</v>
      </c>
      <c r="Y243" s="16">
        <v>0</v>
      </c>
      <c r="Z243" s="16">
        <v>0</v>
      </c>
      <c r="AA243" s="16">
        <v>0</v>
      </c>
      <c r="AB243" s="16">
        <v>0</v>
      </c>
    </row>
    <row r="244" spans="1:28">
      <c r="A244" s="28"/>
      <c r="B244" s="27" t="s">
        <v>65</v>
      </c>
      <c r="C244" s="26"/>
      <c r="D244" s="25">
        <v>0.4</v>
      </c>
      <c r="E244" s="25">
        <v>0.6</v>
      </c>
      <c r="F244" s="24">
        <v>4</v>
      </c>
      <c r="G244" s="23">
        <v>24</v>
      </c>
      <c r="H244" s="22" t="s">
        <v>62</v>
      </c>
      <c r="I244" s="17">
        <f>(((D244+E244+D244+E244)*F244/0.29)*G244)*2*I197</f>
        <v>293.95862068965516</v>
      </c>
      <c r="J244" s="128"/>
      <c r="K244" s="21"/>
      <c r="L244" s="17"/>
      <c r="M244" s="19"/>
      <c r="N244" s="19"/>
      <c r="O244" s="21">
        <f>(G244*8*F244)*O197</f>
        <v>2959.1040000000003</v>
      </c>
      <c r="P244" s="16">
        <f t="shared" si="105"/>
        <v>3253.0626206896554</v>
      </c>
      <c r="Q244" s="16">
        <f t="shared" si="106"/>
        <v>97.591878620689656</v>
      </c>
      <c r="R244" s="16"/>
      <c r="S244" s="16">
        <f>(D244*E244*F244)*G244</f>
        <v>23.04</v>
      </c>
      <c r="T244" s="16">
        <f t="shared" si="111"/>
        <v>48</v>
      </c>
      <c r="U244" s="16">
        <f t="shared" si="109"/>
        <v>15.500159999999999</v>
      </c>
      <c r="V244" s="16">
        <f t="shared" si="110"/>
        <v>15.87504</v>
      </c>
      <c r="W244" s="16"/>
      <c r="X244" s="16">
        <v>0</v>
      </c>
      <c r="Y244" s="16">
        <v>0</v>
      </c>
      <c r="Z244" s="16">
        <v>0</v>
      </c>
      <c r="AA244" s="16">
        <v>0</v>
      </c>
      <c r="AB244" s="16">
        <v>0</v>
      </c>
    </row>
    <row r="245" spans="1:28">
      <c r="A245" s="28"/>
      <c r="B245" s="27" t="s">
        <v>64</v>
      </c>
      <c r="C245" s="26"/>
      <c r="D245" s="25">
        <v>0.4</v>
      </c>
      <c r="E245" s="25">
        <v>0.6</v>
      </c>
      <c r="F245" s="24">
        <v>4</v>
      </c>
      <c r="G245" s="23">
        <v>34</v>
      </c>
      <c r="H245" s="22" t="s">
        <v>62</v>
      </c>
      <c r="I245" s="17">
        <f>(((D245+E245+D245+E245)*F245/0.29)*G245)*2*I197</f>
        <v>416.44137931034487</v>
      </c>
      <c r="J245" s="128"/>
      <c r="K245" s="21"/>
      <c r="L245" s="17"/>
      <c r="M245" s="19"/>
      <c r="N245" s="19"/>
      <c r="O245" s="21">
        <f>(G245*8*F245)*O197</f>
        <v>4192.0640000000003</v>
      </c>
      <c r="P245" s="16">
        <f t="shared" si="105"/>
        <v>4608.5053793103452</v>
      </c>
      <c r="Q245" s="16">
        <f t="shared" si="106"/>
        <v>138.25516137931035</v>
      </c>
      <c r="R245" s="16"/>
      <c r="S245" s="16">
        <f>(D245*E245*F245)*G245</f>
        <v>32.64</v>
      </c>
      <c r="T245" s="16">
        <f t="shared" si="111"/>
        <v>68</v>
      </c>
      <c r="U245" s="16">
        <f t="shared" si="109"/>
        <v>21.958559999999999</v>
      </c>
      <c r="V245" s="16">
        <f t="shared" si="110"/>
        <v>22.489640000000001</v>
      </c>
      <c r="W245" s="16"/>
      <c r="X245" s="16">
        <v>0</v>
      </c>
      <c r="Y245" s="16">
        <v>0</v>
      </c>
      <c r="Z245" s="16">
        <v>0</v>
      </c>
      <c r="AA245" s="16">
        <v>0</v>
      </c>
      <c r="AB245" s="16">
        <v>0</v>
      </c>
    </row>
    <row r="246" spans="1:28">
      <c r="A246" s="28"/>
      <c r="B246" s="27" t="s">
        <v>63</v>
      </c>
      <c r="C246" s="26"/>
      <c r="D246" s="25">
        <v>0.4</v>
      </c>
      <c r="E246" s="25">
        <v>0.6</v>
      </c>
      <c r="F246" s="24">
        <v>4</v>
      </c>
      <c r="G246" s="23">
        <v>3</v>
      </c>
      <c r="H246" s="22" t="s">
        <v>62</v>
      </c>
      <c r="I246" s="17">
        <f>(((D246+E246+D246+E246)*F246/0.29)*G246)*2*I197</f>
        <v>36.744827586206895</v>
      </c>
      <c r="J246" s="128"/>
      <c r="K246" s="21"/>
      <c r="L246" s="17"/>
      <c r="M246" s="19"/>
      <c r="N246" s="19"/>
      <c r="O246" s="21">
        <f>(G246*8*F246)*O197</f>
        <v>369.88800000000003</v>
      </c>
      <c r="P246" s="16">
        <f t="shared" si="105"/>
        <v>406.63282758620693</v>
      </c>
      <c r="Q246" s="16">
        <f t="shared" si="106"/>
        <v>12.198984827586207</v>
      </c>
      <c r="R246" s="16"/>
      <c r="S246" s="16">
        <f>(D246*E246*F246)*G246</f>
        <v>2.88</v>
      </c>
      <c r="T246" s="16">
        <f t="shared" si="111"/>
        <v>6</v>
      </c>
      <c r="U246" s="16">
        <f t="shared" si="109"/>
        <v>1.9375199999999999</v>
      </c>
      <c r="V246" s="16">
        <f t="shared" si="110"/>
        <v>1.98438</v>
      </c>
      <c r="W246" s="16"/>
      <c r="X246" s="16">
        <v>0</v>
      </c>
      <c r="Y246" s="16">
        <v>0</v>
      </c>
      <c r="Z246" s="16">
        <v>0</v>
      </c>
      <c r="AA246" s="16">
        <v>0</v>
      </c>
      <c r="AB246" s="16">
        <v>0</v>
      </c>
    </row>
    <row r="247" spans="1:28">
      <c r="A247" s="28"/>
      <c r="B247" s="27" t="s">
        <v>349</v>
      </c>
      <c r="C247" s="26"/>
      <c r="D247" s="25">
        <v>0.25</v>
      </c>
      <c r="E247" s="25">
        <v>0.5</v>
      </c>
      <c r="F247" s="24"/>
      <c r="G247" s="23">
        <f>3*2</f>
        <v>6</v>
      </c>
      <c r="H247" s="22" t="s">
        <v>62</v>
      </c>
      <c r="I247" s="17"/>
      <c r="J247" s="128"/>
      <c r="K247" s="21"/>
      <c r="L247" s="17"/>
      <c r="M247" s="19"/>
      <c r="N247" s="19"/>
      <c r="O247" s="21">
        <f>(6*G247)*O197</f>
        <v>138.708</v>
      </c>
      <c r="P247" s="16">
        <f t="shared" si="105"/>
        <v>138.708</v>
      </c>
      <c r="Q247" s="16">
        <f t="shared" si="106"/>
        <v>4.1612399999999994</v>
      </c>
      <c r="R247" s="16"/>
      <c r="S247" s="16">
        <f>D247*E247*G247</f>
        <v>0.75</v>
      </c>
      <c r="T247" s="16">
        <f t="shared" si="111"/>
        <v>9</v>
      </c>
      <c r="U247" s="16">
        <f t="shared" ref="U247:U249" si="112">T247*30%</f>
        <v>2.6999999999999997</v>
      </c>
      <c r="V247" s="16">
        <f t="shared" si="110"/>
        <v>2.9249999999999998</v>
      </c>
      <c r="W247" s="16"/>
      <c r="X247" s="16"/>
      <c r="Y247" s="16"/>
      <c r="Z247" s="16"/>
      <c r="AA247" s="16"/>
      <c r="AB247" s="16"/>
    </row>
    <row r="248" spans="1:28">
      <c r="A248" s="28"/>
      <c r="B248" s="27" t="s">
        <v>350</v>
      </c>
      <c r="C248" s="26"/>
      <c r="D248" s="25">
        <v>0.25</v>
      </c>
      <c r="E248" s="25">
        <v>0.5</v>
      </c>
      <c r="F248" s="24"/>
      <c r="G248" s="23">
        <f>3.8*2</f>
        <v>7.6</v>
      </c>
      <c r="H248" s="22" t="s">
        <v>62</v>
      </c>
      <c r="I248" s="17"/>
      <c r="J248" s="128"/>
      <c r="K248" s="21"/>
      <c r="L248" s="17"/>
      <c r="M248" s="19"/>
      <c r="N248" s="19"/>
      <c r="O248" s="21">
        <f>(6*G248)*O197</f>
        <v>175.6968</v>
      </c>
      <c r="P248" s="16">
        <f t="shared" si="105"/>
        <v>175.6968</v>
      </c>
      <c r="Q248" s="16">
        <f t="shared" si="106"/>
        <v>5.2709039999999998</v>
      </c>
      <c r="R248" s="16"/>
      <c r="S248" s="16">
        <f>D248*E248*G248</f>
        <v>0.95</v>
      </c>
      <c r="T248" s="16">
        <f t="shared" si="111"/>
        <v>11.399999999999999</v>
      </c>
      <c r="U248" s="16">
        <f t="shared" si="112"/>
        <v>3.4199999999999995</v>
      </c>
      <c r="V248" s="16">
        <f t="shared" si="110"/>
        <v>3.7049999999999996</v>
      </c>
      <c r="W248" s="16"/>
      <c r="X248" s="16"/>
      <c r="Y248" s="16"/>
      <c r="Z248" s="16"/>
      <c r="AA248" s="16"/>
      <c r="AB248" s="16"/>
    </row>
    <row r="249" spans="1:28">
      <c r="A249" s="28"/>
      <c r="B249" s="27" t="s">
        <v>351</v>
      </c>
      <c r="C249" s="26"/>
      <c r="D249" s="25">
        <v>0.25</v>
      </c>
      <c r="E249" s="25">
        <v>0.5</v>
      </c>
      <c r="F249" s="24"/>
      <c r="G249" s="23">
        <f>2.7*2</f>
        <v>5.4</v>
      </c>
      <c r="H249" s="22" t="s">
        <v>62</v>
      </c>
      <c r="I249" s="17"/>
      <c r="J249" s="128"/>
      <c r="K249" s="21"/>
      <c r="L249" s="17"/>
      <c r="M249" s="19"/>
      <c r="N249" s="19"/>
      <c r="O249" s="21">
        <f>(6*G249)*O197</f>
        <v>124.83720000000002</v>
      </c>
      <c r="P249" s="16">
        <f t="shared" si="105"/>
        <v>124.83720000000002</v>
      </c>
      <c r="Q249" s="16">
        <f t="shared" si="106"/>
        <v>3.7451160000000008</v>
      </c>
      <c r="R249" s="16"/>
      <c r="S249" s="16">
        <f>D249*E249*G249</f>
        <v>0.67500000000000004</v>
      </c>
      <c r="T249" s="16">
        <f t="shared" si="111"/>
        <v>8.1000000000000014</v>
      </c>
      <c r="U249" s="16">
        <f t="shared" si="112"/>
        <v>2.4300000000000002</v>
      </c>
      <c r="V249" s="16">
        <f t="shared" si="110"/>
        <v>2.6325000000000003</v>
      </c>
      <c r="W249" s="16"/>
      <c r="X249" s="16"/>
      <c r="Y249" s="16"/>
      <c r="Z249" s="16"/>
      <c r="AA249" s="16"/>
      <c r="AB249" s="16"/>
    </row>
    <row r="250" spans="1:28">
      <c r="A250" s="28"/>
      <c r="B250" s="27" t="s">
        <v>321</v>
      </c>
      <c r="C250" s="20" t="s">
        <v>83</v>
      </c>
      <c r="D250" s="25"/>
      <c r="E250" s="25"/>
      <c r="F250" s="24">
        <v>0.05</v>
      </c>
      <c r="G250" s="23">
        <f>'Architecture '!T98</f>
        <v>162</v>
      </c>
      <c r="H250" s="22" t="s">
        <v>61</v>
      </c>
      <c r="I250" s="20"/>
      <c r="J250" s="32"/>
      <c r="K250" s="21"/>
      <c r="L250" s="17"/>
      <c r="M250" s="19"/>
      <c r="N250" s="19"/>
      <c r="O250" s="21"/>
      <c r="P250" s="16">
        <f t="shared" si="105"/>
        <v>0</v>
      </c>
      <c r="Q250" s="16">
        <f t="shared" si="106"/>
        <v>0</v>
      </c>
      <c r="R250" s="16"/>
      <c r="S250" s="16">
        <f>+F250*G250</f>
        <v>8.1</v>
      </c>
      <c r="T250" s="16">
        <f>G250</f>
        <v>162</v>
      </c>
      <c r="U250" s="16">
        <f t="shared" ref="U250:U256" si="113">(T250*0.03)*10.764</f>
        <v>52.313039999999994</v>
      </c>
      <c r="V250" s="16">
        <f t="shared" si="110"/>
        <v>53.57826</v>
      </c>
      <c r="W250" s="16">
        <f>+D250*G250*0.1</f>
        <v>0</v>
      </c>
      <c r="X250" s="16">
        <v>0</v>
      </c>
      <c r="Y250" s="16">
        <v>0</v>
      </c>
      <c r="Z250" s="16">
        <v>0</v>
      </c>
      <c r="AA250" s="16">
        <v>0</v>
      </c>
      <c r="AB250" s="16">
        <f>G250</f>
        <v>162</v>
      </c>
    </row>
    <row r="251" spans="1:28">
      <c r="A251" s="28"/>
      <c r="B251" s="27" t="s">
        <v>314</v>
      </c>
      <c r="C251" s="26"/>
      <c r="D251" s="25">
        <v>0.3</v>
      </c>
      <c r="E251" s="25">
        <v>0.6</v>
      </c>
      <c r="F251" s="24"/>
      <c r="G251" s="23">
        <v>84.04</v>
      </c>
      <c r="H251" s="22" t="s">
        <v>62</v>
      </c>
      <c r="I251" s="20"/>
      <c r="J251" s="32">
        <f>((D251+E251+D251+E251)*G251/0.25)*J197</f>
        <v>301.93891199999996</v>
      </c>
      <c r="K251" s="21"/>
      <c r="L251" s="17">
        <f>(4*G251)*L197</f>
        <v>298.51008000000002</v>
      </c>
      <c r="M251" s="19"/>
      <c r="N251" s="19"/>
      <c r="O251" s="18">
        <f>(G251/0.75)+(4*(G251/4))*O197</f>
        <v>435.85945333333336</v>
      </c>
      <c r="P251" s="16">
        <f t="shared" ref="P251:P256" si="114">SUM(E251:O251)</f>
        <v>1120.9484453333334</v>
      </c>
      <c r="Q251" s="16">
        <f t="shared" si="106"/>
        <v>33.628453360000002</v>
      </c>
      <c r="R251" s="16"/>
      <c r="S251" s="16">
        <f t="shared" ref="S251:S260" si="115">D251*E251*G251</f>
        <v>15.1272</v>
      </c>
      <c r="T251" s="16">
        <f t="shared" ref="T251:T260" si="116">(D251+E251+E251)*G251</f>
        <v>126.06</v>
      </c>
      <c r="U251" s="16">
        <f t="shared" si="113"/>
        <v>40.707295199999997</v>
      </c>
      <c r="V251" s="16">
        <f t="shared" si="110"/>
        <v>41.691823800000002</v>
      </c>
      <c r="W251" s="16"/>
      <c r="X251" s="16"/>
      <c r="Y251" s="16"/>
      <c r="Z251" s="16"/>
      <c r="AA251" s="16"/>
      <c r="AB251" s="16"/>
    </row>
    <row r="252" spans="1:28">
      <c r="A252" s="28"/>
      <c r="B252" s="27" t="s">
        <v>315</v>
      </c>
      <c r="C252" s="26"/>
      <c r="D252" s="25">
        <v>0.3</v>
      </c>
      <c r="E252" s="25">
        <v>0.6</v>
      </c>
      <c r="F252" s="24"/>
      <c r="G252" s="23">
        <v>41.64</v>
      </c>
      <c r="H252" s="22" t="s">
        <v>62</v>
      </c>
      <c r="I252" s="20"/>
      <c r="J252" s="32">
        <f>((D252+E252+D252+E252)*G252/0.25)*J197</f>
        <v>149.60419199999998</v>
      </c>
      <c r="K252" s="21"/>
      <c r="L252" s="17">
        <f>(4*G252)*L197</f>
        <v>147.90528</v>
      </c>
      <c r="M252" s="19"/>
      <c r="N252" s="19"/>
      <c r="O252" s="18">
        <f>(G252/0.75)+(4*(G252/4))*O197</f>
        <v>215.95892000000003</v>
      </c>
      <c r="P252" s="16">
        <f t="shared" si="114"/>
        <v>555.708392</v>
      </c>
      <c r="Q252" s="16">
        <f t="shared" si="106"/>
        <v>16.671251760000001</v>
      </c>
      <c r="R252" s="16"/>
      <c r="S252" s="16">
        <f t="shared" si="115"/>
        <v>7.4951999999999996</v>
      </c>
      <c r="T252" s="16">
        <f t="shared" si="116"/>
        <v>62.46</v>
      </c>
      <c r="U252" s="16">
        <f t="shared" si="113"/>
        <v>20.169583199999998</v>
      </c>
      <c r="V252" s="16">
        <f t="shared" si="110"/>
        <v>20.6573958</v>
      </c>
      <c r="W252" s="16"/>
      <c r="X252" s="16"/>
      <c r="Y252" s="16"/>
      <c r="Z252" s="16"/>
      <c r="AA252" s="16"/>
      <c r="AB252" s="16"/>
    </row>
    <row r="253" spans="1:28">
      <c r="A253" s="28"/>
      <c r="B253" s="27" t="s">
        <v>316</v>
      </c>
      <c r="C253" s="26"/>
      <c r="D253" s="25">
        <v>0.3</v>
      </c>
      <c r="E253" s="25">
        <v>0.6</v>
      </c>
      <c r="F253" s="24"/>
      <c r="G253" s="23">
        <v>143</v>
      </c>
      <c r="H253" s="22" t="s">
        <v>62</v>
      </c>
      <c r="I253" s="20"/>
      <c r="J253" s="32">
        <f>((D253+E253+D253+E253)*G253/0.25)*J197</f>
        <v>513.7704</v>
      </c>
      <c r="K253" s="21"/>
      <c r="L253" s="17">
        <f>(4*G253)*L197</f>
        <v>507.93599999999998</v>
      </c>
      <c r="M253" s="19"/>
      <c r="N253" s="19"/>
      <c r="O253" s="18">
        <f>(2*G253/0.75)+(4*(G253/4))*O197</f>
        <v>932.3123333333333</v>
      </c>
      <c r="P253" s="16">
        <f t="shared" si="114"/>
        <v>2097.6187333333332</v>
      </c>
      <c r="Q253" s="16">
        <f t="shared" si="106"/>
        <v>62.928561999999992</v>
      </c>
      <c r="R253" s="16"/>
      <c r="S253" s="16">
        <f t="shared" si="115"/>
        <v>25.74</v>
      </c>
      <c r="T253" s="16">
        <f t="shared" si="116"/>
        <v>214.5</v>
      </c>
      <c r="U253" s="16">
        <f t="shared" si="113"/>
        <v>69.266339999999985</v>
      </c>
      <c r="V253" s="16">
        <f t="shared" si="110"/>
        <v>70.941585000000003</v>
      </c>
      <c r="W253" s="16"/>
      <c r="X253" s="16"/>
      <c r="Y253" s="16"/>
      <c r="Z253" s="16"/>
      <c r="AA253" s="16"/>
      <c r="AB253" s="16"/>
    </row>
    <row r="254" spans="1:28">
      <c r="A254" s="28"/>
      <c r="B254" s="27" t="s">
        <v>317</v>
      </c>
      <c r="C254" s="26"/>
      <c r="D254" s="25">
        <v>0.4</v>
      </c>
      <c r="E254" s="25">
        <v>0.7</v>
      </c>
      <c r="F254" s="24"/>
      <c r="G254" s="23">
        <v>24.5</v>
      </c>
      <c r="H254" s="22" t="s">
        <v>62</v>
      </c>
      <c r="I254" s="20"/>
      <c r="J254" s="32">
        <f>((D254+E254+D254+E254)*G254/0.25)*2*J197</f>
        <v>215.16880000000003</v>
      </c>
      <c r="K254" s="21"/>
      <c r="L254" s="17"/>
      <c r="M254" s="19"/>
      <c r="N254" s="19"/>
      <c r="O254" s="18">
        <f>(4*G254)+(8*G254/0.75)+(8*G254/4)*O197</f>
        <v>548.13033333333328</v>
      </c>
      <c r="P254" s="16">
        <f t="shared" si="114"/>
        <v>788.49913333333325</v>
      </c>
      <c r="Q254" s="16">
        <f t="shared" si="106"/>
        <v>23.654973999999996</v>
      </c>
      <c r="R254" s="16"/>
      <c r="S254" s="16">
        <f t="shared" si="115"/>
        <v>6.8599999999999994</v>
      </c>
      <c r="T254" s="16">
        <f t="shared" si="116"/>
        <v>44.1</v>
      </c>
      <c r="U254" s="16">
        <f t="shared" si="113"/>
        <v>14.240771999999998</v>
      </c>
      <c r="V254" s="16">
        <f t="shared" si="110"/>
        <v>14.585193</v>
      </c>
      <c r="W254" s="16"/>
      <c r="X254" s="16"/>
      <c r="Y254" s="16"/>
      <c r="Z254" s="16"/>
      <c r="AA254" s="16"/>
      <c r="AB254" s="16"/>
    </row>
    <row r="255" spans="1:28">
      <c r="A255" s="28"/>
      <c r="B255" s="27" t="s">
        <v>318</v>
      </c>
      <c r="C255" s="26"/>
      <c r="D255" s="25">
        <v>0.3</v>
      </c>
      <c r="E255" s="25">
        <v>0.6</v>
      </c>
      <c r="F255" s="24"/>
      <c r="G255" s="23">
        <v>17.09</v>
      </c>
      <c r="H255" s="22" t="s">
        <v>62</v>
      </c>
      <c r="I255" s="20"/>
      <c r="J255" s="32">
        <f>((D255+E255+D255+E255)*G255/0.25)*J197</f>
        <v>61.400951999999997</v>
      </c>
      <c r="K255" s="21"/>
      <c r="L255" s="17">
        <f>(4*G255)*L197</f>
        <v>60.703679999999999</v>
      </c>
      <c r="M255" s="19"/>
      <c r="N255" s="19"/>
      <c r="O255" s="18">
        <f>(G255/0.75)+(2*(G255/4))*O197</f>
        <v>55.71055166666666</v>
      </c>
      <c r="P255" s="16">
        <f t="shared" si="114"/>
        <v>195.50518366666665</v>
      </c>
      <c r="Q255" s="16">
        <f t="shared" si="106"/>
        <v>5.8651555099999992</v>
      </c>
      <c r="R255" s="16"/>
      <c r="S255" s="16">
        <f t="shared" si="115"/>
        <v>3.0762</v>
      </c>
      <c r="T255" s="16">
        <f t="shared" si="116"/>
        <v>25.634999999999998</v>
      </c>
      <c r="U255" s="16">
        <f t="shared" si="113"/>
        <v>8.2780541999999979</v>
      </c>
      <c r="V255" s="16">
        <f t="shared" si="110"/>
        <v>8.4782635499999994</v>
      </c>
      <c r="W255" s="16"/>
      <c r="X255" s="16"/>
      <c r="Y255" s="16"/>
      <c r="Z255" s="16"/>
      <c r="AA255" s="16"/>
      <c r="AB255" s="16"/>
    </row>
    <row r="256" spans="1:28">
      <c r="A256" s="28"/>
      <c r="B256" s="27" t="s">
        <v>319</v>
      </c>
      <c r="C256" s="26"/>
      <c r="D256" s="25">
        <v>0.3</v>
      </c>
      <c r="E256" s="25">
        <v>0.6</v>
      </c>
      <c r="F256" s="24"/>
      <c r="G256" s="23">
        <v>52.12</v>
      </c>
      <c r="H256" s="22" t="s">
        <v>62</v>
      </c>
      <c r="I256" s="20"/>
      <c r="J256" s="32">
        <f>((D256+E256+D256+E256)*G256/0.2)*J197</f>
        <v>234.07091999999997</v>
      </c>
      <c r="K256" s="21"/>
      <c r="L256" s="17"/>
      <c r="M256" s="19"/>
      <c r="N256" s="19"/>
      <c r="O256" s="18">
        <f>(8*G256)*O197</f>
        <v>1606.5468800000001</v>
      </c>
      <c r="P256" s="16">
        <f t="shared" si="114"/>
        <v>1893.3378</v>
      </c>
      <c r="Q256" s="16">
        <f t="shared" si="106"/>
        <v>56.800134</v>
      </c>
      <c r="R256" s="16"/>
      <c r="S256" s="16">
        <f t="shared" si="115"/>
        <v>9.3815999999999988</v>
      </c>
      <c r="T256" s="16">
        <f t="shared" si="116"/>
        <v>78.179999999999993</v>
      </c>
      <c r="U256" s="16">
        <f t="shared" si="113"/>
        <v>25.245885599999994</v>
      </c>
      <c r="V256" s="16">
        <f t="shared" si="110"/>
        <v>25.856471399999997</v>
      </c>
      <c r="W256" s="16"/>
      <c r="X256" s="16"/>
      <c r="Y256" s="16"/>
      <c r="Z256" s="16"/>
      <c r="AA256" s="16"/>
      <c r="AB256" s="16"/>
    </row>
    <row r="257" spans="1:28">
      <c r="A257" s="28"/>
      <c r="B257" s="27" t="s">
        <v>353</v>
      </c>
      <c r="C257" s="26"/>
      <c r="D257" s="25">
        <v>0.3</v>
      </c>
      <c r="E257" s="25">
        <v>0.3</v>
      </c>
      <c r="F257" s="24"/>
      <c r="G257" s="23">
        <v>21.5</v>
      </c>
      <c r="H257" s="22" t="s">
        <v>62</v>
      </c>
      <c r="I257" s="19"/>
      <c r="J257" s="32">
        <f>((D257+E257+D257+E257)*G257/0.19)*J197</f>
        <v>67.758947368421047</v>
      </c>
      <c r="K257" s="21"/>
      <c r="L257" s="17">
        <f>(G257*8)*L197</f>
        <v>152.73599999999999</v>
      </c>
      <c r="M257" s="19"/>
      <c r="N257" s="19"/>
      <c r="O257" s="18"/>
      <c r="P257" s="16">
        <f>SUM(I257:O257)</f>
        <v>220.49494736842104</v>
      </c>
      <c r="Q257" s="16">
        <f t="shared" si="106"/>
        <v>6.6148484210526313</v>
      </c>
      <c r="R257" s="16"/>
      <c r="S257" s="16">
        <f t="shared" si="115"/>
        <v>1.9349999999999998</v>
      </c>
      <c r="T257" s="16">
        <f t="shared" si="116"/>
        <v>19.349999999999998</v>
      </c>
      <c r="U257" s="16">
        <f t="shared" ref="U257:U260" si="117">T257*30%</f>
        <v>5.8049999999999988</v>
      </c>
      <c r="V257" s="16">
        <f t="shared" si="110"/>
        <v>6.2887499999999994</v>
      </c>
      <c r="W257" s="16"/>
      <c r="X257" s="16"/>
      <c r="Y257" s="16"/>
      <c r="Z257" s="16"/>
      <c r="AA257" s="16"/>
      <c r="AB257" s="16"/>
    </row>
    <row r="258" spans="1:28">
      <c r="A258" s="279"/>
      <c r="B258" s="27" t="s">
        <v>354</v>
      </c>
      <c r="C258" s="26"/>
      <c r="D258" s="25">
        <v>0.45</v>
      </c>
      <c r="E258" s="25">
        <v>0.45</v>
      </c>
      <c r="F258" s="24"/>
      <c r="G258" s="23">
        <v>12.9</v>
      </c>
      <c r="H258" s="22" t="s">
        <v>62</v>
      </c>
      <c r="I258" s="19"/>
      <c r="J258" s="32">
        <f>((D258+E258+D258+E258)*G258/0.25)*J197</f>
        <v>46.347120000000004</v>
      </c>
      <c r="K258" s="21"/>
      <c r="L258" s="17"/>
      <c r="M258" s="19">
        <f>(G258*8)*M197</f>
        <v>162.84960000000001</v>
      </c>
      <c r="N258" s="19"/>
      <c r="O258" s="18"/>
      <c r="P258" s="16">
        <f>SUM(I258:O258)</f>
        <v>209.19672000000003</v>
      </c>
      <c r="Q258" s="16">
        <f t="shared" si="106"/>
        <v>6.275901600000001</v>
      </c>
      <c r="R258" s="16"/>
      <c r="S258" s="16">
        <f t="shared" si="115"/>
        <v>2.6122500000000004</v>
      </c>
      <c r="T258" s="16">
        <f t="shared" si="116"/>
        <v>17.415000000000003</v>
      </c>
      <c r="U258" s="16">
        <f t="shared" si="117"/>
        <v>5.2245000000000008</v>
      </c>
      <c r="V258" s="16">
        <f t="shared" si="110"/>
        <v>5.6598750000000013</v>
      </c>
      <c r="W258" s="16"/>
      <c r="X258" s="16"/>
      <c r="Y258" s="16"/>
      <c r="Z258" s="16"/>
      <c r="AA258" s="16"/>
      <c r="AB258" s="16"/>
    </row>
    <row r="259" spans="1:28">
      <c r="A259" s="279"/>
      <c r="B259" s="27" t="s">
        <v>355</v>
      </c>
      <c r="C259" s="26"/>
      <c r="D259" s="25">
        <v>0.5</v>
      </c>
      <c r="E259" s="25">
        <v>0.5</v>
      </c>
      <c r="F259" s="24"/>
      <c r="G259" s="23">
        <v>172</v>
      </c>
      <c r="H259" s="22" t="s">
        <v>62</v>
      </c>
      <c r="I259" s="19"/>
      <c r="J259" s="32">
        <f>((D259+E259+D259+E259)*G259/0.3)*J197</f>
        <v>572.18666666666672</v>
      </c>
      <c r="K259" s="21"/>
      <c r="L259" s="17"/>
      <c r="M259" s="19"/>
      <c r="N259" s="19">
        <f>(G259*8)*N197</f>
        <v>3393.2160000000003</v>
      </c>
      <c r="O259" s="18"/>
      <c r="P259" s="16">
        <f>SUM(I259:O259)</f>
        <v>3965.4026666666668</v>
      </c>
      <c r="Q259" s="16">
        <f t="shared" si="106"/>
        <v>118.96208</v>
      </c>
      <c r="R259" s="16"/>
      <c r="S259" s="16">
        <f t="shared" si="115"/>
        <v>43</v>
      </c>
      <c r="T259" s="16">
        <f t="shared" si="116"/>
        <v>258</v>
      </c>
      <c r="U259" s="16">
        <f t="shared" si="117"/>
        <v>77.399999999999991</v>
      </c>
      <c r="V259" s="16">
        <f t="shared" si="110"/>
        <v>83.85</v>
      </c>
      <c r="W259" s="16"/>
      <c r="X259" s="16"/>
      <c r="Y259" s="16"/>
      <c r="Z259" s="16"/>
      <c r="AA259" s="16"/>
      <c r="AB259" s="16"/>
    </row>
    <row r="260" spans="1:28">
      <c r="A260" s="279"/>
      <c r="B260" s="27" t="s">
        <v>356</v>
      </c>
      <c r="C260" s="26"/>
      <c r="D260" s="25">
        <v>0.5</v>
      </c>
      <c r="E260" s="25">
        <v>0.5</v>
      </c>
      <c r="F260" s="24"/>
      <c r="G260" s="23">
        <v>142</v>
      </c>
      <c r="H260" s="22" t="s">
        <v>62</v>
      </c>
      <c r="I260" s="19"/>
      <c r="J260" s="32">
        <f>((D260+E260+D260+E260)*G260/0.3)*J197</f>
        <v>472.38666666666671</v>
      </c>
      <c r="K260" s="21"/>
      <c r="L260" s="17"/>
      <c r="M260" s="19"/>
      <c r="N260" s="19">
        <f>(G260*8)*N197</f>
        <v>2801.3760000000002</v>
      </c>
      <c r="O260" s="18"/>
      <c r="P260" s="16">
        <f>SUM(I260:O260)</f>
        <v>3273.762666666667</v>
      </c>
      <c r="Q260" s="16">
        <f t="shared" si="106"/>
        <v>98.212880000000013</v>
      </c>
      <c r="R260" s="16"/>
      <c r="S260" s="16">
        <f t="shared" si="115"/>
        <v>35.5</v>
      </c>
      <c r="T260" s="16">
        <f t="shared" si="116"/>
        <v>213</v>
      </c>
      <c r="U260" s="16">
        <f t="shared" si="117"/>
        <v>63.9</v>
      </c>
      <c r="V260" s="16">
        <f t="shared" si="110"/>
        <v>69.224999999999994</v>
      </c>
      <c r="W260" s="16"/>
      <c r="X260" s="16"/>
      <c r="Y260" s="16"/>
      <c r="Z260" s="16"/>
      <c r="AA260" s="16"/>
      <c r="AB260" s="16"/>
    </row>
    <row r="261" spans="1:28">
      <c r="A261" s="279"/>
      <c r="B261" s="27" t="s">
        <v>320</v>
      </c>
      <c r="C261" s="20" t="s">
        <v>83</v>
      </c>
      <c r="D261" s="25"/>
      <c r="E261" s="25"/>
      <c r="F261" s="24">
        <v>0.05</v>
      </c>
      <c r="G261" s="23">
        <f>'Architecture '!T153</f>
        <v>162</v>
      </c>
      <c r="H261" s="22" t="s">
        <v>61</v>
      </c>
      <c r="I261" s="20"/>
      <c r="J261" s="32"/>
      <c r="K261" s="21"/>
      <c r="L261" s="17"/>
      <c r="M261" s="19"/>
      <c r="N261" s="19"/>
      <c r="O261" s="18"/>
      <c r="P261" s="16">
        <f>SUM(E261:O261)</f>
        <v>162.05000000000001</v>
      </c>
      <c r="Q261" s="16">
        <f t="shared" si="106"/>
        <v>4.8615000000000004</v>
      </c>
      <c r="R261" s="16"/>
      <c r="S261" s="16">
        <f>+F261*G261</f>
        <v>8.1</v>
      </c>
      <c r="T261" s="16">
        <f>G261</f>
        <v>162</v>
      </c>
      <c r="U261" s="16">
        <f t="shared" ref="U261" si="118">(T261*0.03)*10.764</f>
        <v>52.313039999999994</v>
      </c>
      <c r="V261" s="16">
        <f t="shared" si="110"/>
        <v>53.57826</v>
      </c>
      <c r="W261" s="16"/>
      <c r="X261" s="16"/>
      <c r="Y261" s="16"/>
      <c r="Z261" s="16"/>
      <c r="AA261" s="16"/>
      <c r="AB261" s="16">
        <f>G261</f>
        <v>162</v>
      </c>
    </row>
    <row r="262" spans="1:28">
      <c r="A262" s="279"/>
      <c r="B262" s="27" t="s">
        <v>309</v>
      </c>
      <c r="C262" s="26"/>
      <c r="D262" s="25"/>
      <c r="E262" s="25"/>
      <c r="F262" s="24"/>
      <c r="G262" s="23"/>
      <c r="H262" s="22"/>
      <c r="I262" s="20"/>
      <c r="J262" s="32"/>
      <c r="K262" s="21"/>
      <c r="L262" s="17"/>
      <c r="M262" s="19"/>
      <c r="N262" s="19"/>
      <c r="O262" s="18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>
      <c r="A263" s="279"/>
      <c r="B263" s="27" t="s">
        <v>26</v>
      </c>
      <c r="C263" s="26"/>
      <c r="D263" s="25"/>
      <c r="E263" s="25"/>
      <c r="F263" s="24"/>
      <c r="G263" s="23"/>
      <c r="H263" s="22"/>
      <c r="I263" s="20"/>
      <c r="J263" s="32"/>
      <c r="K263" s="21"/>
      <c r="L263" s="17"/>
      <c r="M263" s="19"/>
      <c r="N263" s="19"/>
      <c r="O263" s="18"/>
      <c r="P263" s="16">
        <f t="shared" ref="P263:P269" si="119">SUM(I263:O263)</f>
        <v>0</v>
      </c>
      <c r="Q263" s="16">
        <f t="shared" ref="Q263:Q269" si="120">(P263*0.03)</f>
        <v>0</v>
      </c>
      <c r="R263" s="16">
        <f t="shared" ref="R263:R269" si="121">D263*G263*0.05</f>
        <v>0</v>
      </c>
      <c r="S263" s="16">
        <f t="shared" ref="S263:S269" si="122">D263*E263*G263</f>
        <v>0</v>
      </c>
      <c r="T263" s="16">
        <f t="shared" ref="T263:T269" si="123">(D263+E263+E263)*G263</f>
        <v>0</v>
      </c>
      <c r="U263" s="16">
        <f t="shared" ref="U263:U269" si="124">T263*30%</f>
        <v>0</v>
      </c>
      <c r="V263" s="16">
        <f t="shared" ref="V263:V269" si="125">(T263+U263)*0.25</f>
        <v>0</v>
      </c>
      <c r="W263" s="16">
        <f t="shared" ref="W263:W269" si="126">+D263*G263*0.1</f>
        <v>0</v>
      </c>
      <c r="X263" s="16"/>
      <c r="Y263" s="16"/>
      <c r="Z263" s="16"/>
      <c r="AA263" s="16"/>
      <c r="AB263" s="16"/>
    </row>
    <row r="264" spans="1:28">
      <c r="A264" s="279"/>
      <c r="B264" s="27" t="s">
        <v>59</v>
      </c>
      <c r="C264" s="26"/>
      <c r="D264" s="25"/>
      <c r="E264" s="25"/>
      <c r="F264" s="24"/>
      <c r="G264" s="23">
        <v>33087.910000000003</v>
      </c>
      <c r="H264" s="22" t="s">
        <v>54</v>
      </c>
      <c r="I264" s="20"/>
      <c r="J264" s="32"/>
      <c r="K264" s="21"/>
      <c r="L264" s="17"/>
      <c r="M264" s="19"/>
      <c r="N264" s="19"/>
      <c r="O264" s="18"/>
      <c r="P264" s="16">
        <f t="shared" si="119"/>
        <v>0</v>
      </c>
      <c r="Q264" s="16">
        <f t="shared" si="120"/>
        <v>0</v>
      </c>
      <c r="R264" s="16">
        <f t="shared" si="121"/>
        <v>0</v>
      </c>
      <c r="S264" s="16">
        <f t="shared" si="122"/>
        <v>0</v>
      </c>
      <c r="T264" s="16">
        <f t="shared" si="123"/>
        <v>0</v>
      </c>
      <c r="U264" s="16">
        <f t="shared" si="124"/>
        <v>0</v>
      </c>
      <c r="V264" s="16">
        <f t="shared" si="125"/>
        <v>0</v>
      </c>
      <c r="W264" s="16">
        <f t="shared" si="126"/>
        <v>0</v>
      </c>
      <c r="X264" s="16"/>
      <c r="Y264" s="16"/>
      <c r="Z264" s="16"/>
      <c r="AA264" s="16"/>
      <c r="AB264" s="16"/>
    </row>
    <row r="265" spans="1:28">
      <c r="A265" s="279"/>
      <c r="B265" s="27" t="s">
        <v>58</v>
      </c>
      <c r="C265" s="26"/>
      <c r="D265" s="25"/>
      <c r="E265" s="25"/>
      <c r="F265" s="24"/>
      <c r="G265" s="23">
        <v>3043.26</v>
      </c>
      <c r="H265" s="22" t="s">
        <v>54</v>
      </c>
      <c r="I265" s="20"/>
      <c r="J265" s="32"/>
      <c r="K265" s="21"/>
      <c r="L265" s="17"/>
      <c r="M265" s="19"/>
      <c r="N265" s="19"/>
      <c r="O265" s="18"/>
      <c r="P265" s="16">
        <f t="shared" si="119"/>
        <v>0</v>
      </c>
      <c r="Q265" s="16">
        <f t="shared" si="120"/>
        <v>0</v>
      </c>
      <c r="R265" s="16">
        <f t="shared" si="121"/>
        <v>0</v>
      </c>
      <c r="S265" s="16">
        <f t="shared" si="122"/>
        <v>0</v>
      </c>
      <c r="T265" s="16">
        <f t="shared" si="123"/>
        <v>0</v>
      </c>
      <c r="U265" s="16">
        <f t="shared" si="124"/>
        <v>0</v>
      </c>
      <c r="V265" s="16">
        <f t="shared" si="125"/>
        <v>0</v>
      </c>
      <c r="W265" s="16">
        <f t="shared" si="126"/>
        <v>0</v>
      </c>
      <c r="X265" s="16"/>
      <c r="Y265" s="16"/>
      <c r="Z265" s="16"/>
      <c r="AA265" s="16"/>
      <c r="AB265" s="16"/>
    </row>
    <row r="266" spans="1:28">
      <c r="A266" s="279"/>
      <c r="B266" s="27" t="s">
        <v>57</v>
      </c>
      <c r="C266" s="26"/>
      <c r="D266" s="25"/>
      <c r="E266" s="25"/>
      <c r="F266" s="24"/>
      <c r="G266" s="23">
        <v>15142.1</v>
      </c>
      <c r="H266" s="22" t="s">
        <v>54</v>
      </c>
      <c r="I266" s="20"/>
      <c r="J266" s="32"/>
      <c r="K266" s="21"/>
      <c r="L266" s="17"/>
      <c r="M266" s="19"/>
      <c r="N266" s="19"/>
      <c r="O266" s="18"/>
      <c r="P266" s="16">
        <f t="shared" si="119"/>
        <v>0</v>
      </c>
      <c r="Q266" s="16">
        <f t="shared" si="120"/>
        <v>0</v>
      </c>
      <c r="R266" s="16">
        <f t="shared" si="121"/>
        <v>0</v>
      </c>
      <c r="S266" s="16">
        <f t="shared" si="122"/>
        <v>0</v>
      </c>
      <c r="T266" s="16">
        <f t="shared" si="123"/>
        <v>0</v>
      </c>
      <c r="U266" s="16">
        <f t="shared" si="124"/>
        <v>0</v>
      </c>
      <c r="V266" s="16">
        <f t="shared" si="125"/>
        <v>0</v>
      </c>
      <c r="W266" s="16">
        <f t="shared" si="126"/>
        <v>0</v>
      </c>
      <c r="X266" s="16"/>
      <c r="Y266" s="16"/>
      <c r="Z266" s="16"/>
      <c r="AA266" s="16"/>
      <c r="AB266" s="16"/>
    </row>
    <row r="267" spans="1:28">
      <c r="A267" s="279"/>
      <c r="B267" s="27" t="s">
        <v>27</v>
      </c>
      <c r="C267" s="26"/>
      <c r="D267" s="25"/>
      <c r="E267" s="25"/>
      <c r="F267" s="24"/>
      <c r="G267" s="23"/>
      <c r="H267" s="22"/>
      <c r="I267" s="20"/>
      <c r="J267" s="32"/>
      <c r="K267" s="21"/>
      <c r="L267" s="17"/>
      <c r="M267" s="19"/>
      <c r="N267" s="19"/>
      <c r="O267" s="18"/>
      <c r="P267" s="16">
        <f t="shared" si="119"/>
        <v>0</v>
      </c>
      <c r="Q267" s="16">
        <f t="shared" si="120"/>
        <v>0</v>
      </c>
      <c r="R267" s="16">
        <f t="shared" si="121"/>
        <v>0</v>
      </c>
      <c r="S267" s="16">
        <f t="shared" si="122"/>
        <v>0</v>
      </c>
      <c r="T267" s="16">
        <f t="shared" si="123"/>
        <v>0</v>
      </c>
      <c r="U267" s="16">
        <f t="shared" si="124"/>
        <v>0</v>
      </c>
      <c r="V267" s="16">
        <f t="shared" si="125"/>
        <v>0</v>
      </c>
      <c r="W267" s="16">
        <f t="shared" si="126"/>
        <v>0</v>
      </c>
      <c r="X267" s="16"/>
      <c r="Y267" s="16"/>
      <c r="Z267" s="16"/>
      <c r="AA267" s="16"/>
      <c r="AB267" s="16"/>
    </row>
    <row r="268" spans="1:28">
      <c r="A268" s="279"/>
      <c r="B268" s="31" t="s">
        <v>56</v>
      </c>
      <c r="C268" s="30"/>
      <c r="D268" s="29"/>
      <c r="E268" s="29"/>
      <c r="F268" s="24"/>
      <c r="G268" s="23">
        <v>5273.73</v>
      </c>
      <c r="H268" s="22" t="s">
        <v>54</v>
      </c>
      <c r="I268" s="20"/>
      <c r="J268" s="32"/>
      <c r="K268" s="21"/>
      <c r="L268" s="17"/>
      <c r="M268" s="19"/>
      <c r="N268" s="19"/>
      <c r="O268" s="18"/>
      <c r="P268" s="16">
        <f t="shared" si="119"/>
        <v>0</v>
      </c>
      <c r="Q268" s="16">
        <f t="shared" si="120"/>
        <v>0</v>
      </c>
      <c r="R268" s="16">
        <f t="shared" si="121"/>
        <v>0</v>
      </c>
      <c r="S268" s="16">
        <f t="shared" si="122"/>
        <v>0</v>
      </c>
      <c r="T268" s="16">
        <f t="shared" si="123"/>
        <v>0</v>
      </c>
      <c r="U268" s="16">
        <f t="shared" si="124"/>
        <v>0</v>
      </c>
      <c r="V268" s="16">
        <f t="shared" si="125"/>
        <v>0</v>
      </c>
      <c r="W268" s="16">
        <f t="shared" si="126"/>
        <v>0</v>
      </c>
      <c r="X268" s="16"/>
      <c r="Y268" s="16"/>
      <c r="Z268" s="16"/>
      <c r="AA268" s="16"/>
      <c r="AB268" s="16"/>
    </row>
    <row r="269" spans="1:28">
      <c r="A269" s="279"/>
      <c r="B269" s="31" t="s">
        <v>55</v>
      </c>
      <c r="C269" s="30"/>
      <c r="D269" s="29"/>
      <c r="E269" s="29"/>
      <c r="F269" s="24"/>
      <c r="G269" s="23">
        <v>1897.45</v>
      </c>
      <c r="H269" s="22" t="s">
        <v>54</v>
      </c>
      <c r="I269" s="20"/>
      <c r="J269" s="32"/>
      <c r="K269" s="21"/>
      <c r="L269" s="17"/>
      <c r="M269" s="19"/>
      <c r="N269" s="19"/>
      <c r="O269" s="18"/>
      <c r="P269" s="16">
        <f t="shared" si="119"/>
        <v>0</v>
      </c>
      <c r="Q269" s="16">
        <f t="shared" si="120"/>
        <v>0</v>
      </c>
      <c r="R269" s="16">
        <f t="shared" si="121"/>
        <v>0</v>
      </c>
      <c r="S269" s="16">
        <f t="shared" si="122"/>
        <v>0</v>
      </c>
      <c r="T269" s="16">
        <f t="shared" si="123"/>
        <v>0</v>
      </c>
      <c r="U269" s="16">
        <f t="shared" si="124"/>
        <v>0</v>
      </c>
      <c r="V269" s="16">
        <f t="shared" si="125"/>
        <v>0</v>
      </c>
      <c r="W269" s="16">
        <f t="shared" si="126"/>
        <v>0</v>
      </c>
      <c r="X269" s="16"/>
      <c r="Y269" s="16"/>
      <c r="Z269" s="16"/>
      <c r="AA269" s="16"/>
      <c r="AB269" s="16"/>
    </row>
    <row r="270" spans="1:28">
      <c r="A270" s="279"/>
      <c r="B270" s="31"/>
      <c r="C270" s="30"/>
      <c r="D270" s="29"/>
      <c r="E270" s="29"/>
      <c r="F270" s="24"/>
      <c r="G270" s="23"/>
      <c r="H270" s="22"/>
      <c r="I270" s="20"/>
      <c r="J270" s="32"/>
      <c r="K270" s="21"/>
      <c r="L270" s="17"/>
      <c r="M270" s="19"/>
      <c r="N270" s="19"/>
      <c r="O270" s="18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>
      <c r="A271" s="279"/>
      <c r="B271" s="31"/>
      <c r="C271" s="30"/>
      <c r="D271" s="29"/>
      <c r="E271" s="29"/>
      <c r="F271" s="24"/>
      <c r="G271" s="23"/>
      <c r="H271" s="22"/>
      <c r="I271" s="20"/>
      <c r="J271" s="32"/>
      <c r="K271" s="21"/>
      <c r="L271" s="17"/>
      <c r="M271" s="19"/>
      <c r="N271" s="19"/>
      <c r="O271" s="18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>
      <c r="A272" s="279"/>
      <c r="B272" s="31"/>
      <c r="C272" s="30"/>
      <c r="D272" s="29"/>
      <c r="E272" s="29"/>
      <c r="F272" s="24"/>
      <c r="G272" s="23"/>
      <c r="H272" s="22"/>
      <c r="I272" s="20"/>
      <c r="J272" s="32"/>
      <c r="K272" s="21"/>
      <c r="L272" s="17"/>
      <c r="M272" s="19"/>
      <c r="N272" s="19"/>
      <c r="O272" s="18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>
      <c r="A273" s="279"/>
      <c r="B273" s="31"/>
      <c r="C273" s="30"/>
      <c r="D273" s="29"/>
      <c r="E273" s="29"/>
      <c r="F273" s="24"/>
      <c r="G273" s="23"/>
      <c r="H273" s="22"/>
      <c r="I273" s="20"/>
      <c r="J273" s="32"/>
      <c r="K273" s="21"/>
      <c r="L273" s="17"/>
      <c r="M273" s="19"/>
      <c r="N273" s="19"/>
      <c r="O273" s="18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>
      <c r="A274" s="279"/>
      <c r="B274" s="31"/>
      <c r="C274" s="30"/>
      <c r="D274" s="29"/>
      <c r="E274" s="29"/>
      <c r="F274" s="24"/>
      <c r="G274" s="23"/>
      <c r="H274" s="22"/>
      <c r="I274" s="20"/>
      <c r="J274" s="32"/>
      <c r="K274" s="21"/>
      <c r="L274" s="17"/>
      <c r="M274" s="19"/>
      <c r="N274" s="19"/>
      <c r="O274" s="18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>
      <c r="A275" s="279"/>
      <c r="B275" s="31"/>
      <c r="C275" s="30"/>
      <c r="D275" s="29"/>
      <c r="E275" s="29"/>
      <c r="F275" s="24"/>
      <c r="G275" s="23"/>
      <c r="H275" s="22"/>
      <c r="I275" s="20"/>
      <c r="J275" s="32"/>
      <c r="K275" s="21"/>
      <c r="L275" s="17"/>
      <c r="M275" s="19"/>
      <c r="N275" s="19"/>
      <c r="O275" s="18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>
      <c r="A276" s="279"/>
      <c r="B276" s="31"/>
      <c r="C276" s="30"/>
      <c r="D276" s="29"/>
      <c r="E276" s="29"/>
      <c r="F276" s="24"/>
      <c r="G276" s="23"/>
      <c r="H276" s="22"/>
      <c r="I276" s="20"/>
      <c r="J276" s="32"/>
      <c r="K276" s="21"/>
      <c r="L276" s="17"/>
      <c r="M276" s="19"/>
      <c r="N276" s="19"/>
      <c r="O276" s="18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>
      <c r="A277" s="279"/>
      <c r="B277" s="31"/>
      <c r="C277" s="30"/>
      <c r="D277" s="29"/>
      <c r="E277" s="29"/>
      <c r="F277" s="24"/>
      <c r="G277" s="23"/>
      <c r="H277" s="22"/>
      <c r="I277" s="20"/>
      <c r="J277" s="32"/>
      <c r="K277" s="21"/>
      <c r="L277" s="17"/>
      <c r="M277" s="19"/>
      <c r="N277" s="19"/>
      <c r="O277" s="18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>
      <c r="A278" s="279"/>
      <c r="B278" s="1042" t="s">
        <v>53</v>
      </c>
      <c r="C278" s="1043"/>
      <c r="D278" s="1043"/>
      <c r="E278" s="1043"/>
      <c r="F278" s="1044"/>
      <c r="G278" s="23"/>
      <c r="H278" s="22"/>
      <c r="I278" s="20"/>
      <c r="J278" s="32"/>
      <c r="K278" s="21"/>
      <c r="L278" s="17"/>
      <c r="M278" s="19"/>
      <c r="N278" s="19"/>
      <c r="O278" s="18"/>
      <c r="P278" s="16">
        <f>SUM(I278:O278)</f>
        <v>0</v>
      </c>
      <c r="Q278" s="16">
        <f t="shared" ref="Q278:Q281" si="127">(P278*0.03)</f>
        <v>0</v>
      </c>
      <c r="R278" s="16">
        <f>D278*G278*0.05</f>
        <v>0</v>
      </c>
      <c r="S278" s="16">
        <f>D278*E278*G278</f>
        <v>0</v>
      </c>
      <c r="T278" s="16">
        <f>(D278+E278+E278)*G278</f>
        <v>0</v>
      </c>
      <c r="U278" s="16">
        <f t="shared" ref="U278" si="128">T278*30%</f>
        <v>0</v>
      </c>
      <c r="V278" s="16">
        <f t="shared" ref="V278:V281" si="129">(T278+U278)*0.25</f>
        <v>0</v>
      </c>
      <c r="W278" s="16">
        <f>+D278*G278*0.1</f>
        <v>0</v>
      </c>
      <c r="X278" s="16"/>
      <c r="Y278" s="16"/>
      <c r="Z278" s="16"/>
      <c r="AA278" s="16"/>
      <c r="AB278" s="16"/>
    </row>
    <row r="279" spans="1:28">
      <c r="A279" s="279"/>
      <c r="B279" s="27" t="s">
        <v>310</v>
      </c>
      <c r="C279" s="26"/>
      <c r="D279" s="25">
        <v>1.3</v>
      </c>
      <c r="E279" s="25">
        <f>4.75*4</f>
        <v>19</v>
      </c>
      <c r="F279" s="24">
        <v>0.3</v>
      </c>
      <c r="G279" s="23">
        <v>3</v>
      </c>
      <c r="H279" s="22" t="s">
        <v>52</v>
      </c>
      <c r="I279" s="20">
        <f>(D279*E279/0.25)+(E279*D279/0.25)*I197</f>
        <v>120.7336</v>
      </c>
      <c r="J279" s="32">
        <f>(D279*E279/0.25)*J197</f>
        <v>49.301200000000001</v>
      </c>
      <c r="K279" s="21"/>
      <c r="L279" s="17">
        <f>(E279*D279/0.25)*L197</f>
        <v>87.734399999999994</v>
      </c>
      <c r="M279" s="19"/>
      <c r="N279" s="19"/>
      <c r="O279" s="18"/>
      <c r="P279" s="16">
        <f>SUM(I279:O279)</f>
        <v>257.76919999999996</v>
      </c>
      <c r="Q279" s="16">
        <f t="shared" si="127"/>
        <v>7.7330759999999987</v>
      </c>
      <c r="R279" s="16"/>
      <c r="S279" s="16">
        <f>(D279*E279*F279)*G279</f>
        <v>22.229999999999997</v>
      </c>
      <c r="T279" s="16">
        <f>(D279+E279+E279)*G279</f>
        <v>117.89999999999999</v>
      </c>
      <c r="U279" s="16">
        <f t="shared" ref="U279:U281" si="130">(T279*0.03)*10.764</f>
        <v>38.072267999999994</v>
      </c>
      <c r="V279" s="16">
        <f t="shared" si="129"/>
        <v>38.993066999999996</v>
      </c>
      <c r="W279" s="16"/>
      <c r="X279" s="16"/>
      <c r="Y279" s="16"/>
      <c r="Z279" s="16"/>
      <c r="AA279" s="16"/>
      <c r="AB279" s="16"/>
    </row>
    <row r="280" spans="1:28">
      <c r="A280" s="279"/>
      <c r="B280" s="27" t="s">
        <v>311</v>
      </c>
      <c r="C280" s="26"/>
      <c r="D280" s="25">
        <v>1.6</v>
      </c>
      <c r="E280" s="25">
        <f>4.65*4</f>
        <v>18.600000000000001</v>
      </c>
      <c r="F280" s="24">
        <v>0.3</v>
      </c>
      <c r="G280" s="23">
        <v>3</v>
      </c>
      <c r="H280" s="22" t="s">
        <v>52</v>
      </c>
      <c r="I280" s="20">
        <f>(D280*E280/0.25)+(E280*D280/0.25)*I118</f>
        <v>119.04000000000002</v>
      </c>
      <c r="J280" s="32">
        <f>(D280*E280/0.25)*J197</f>
        <v>59.400960000000012</v>
      </c>
      <c r="K280" s="21"/>
      <c r="L280" s="17">
        <f>(E280*D280/0.25)*L197</f>
        <v>105.70752000000002</v>
      </c>
      <c r="M280" s="19"/>
      <c r="N280" s="19"/>
      <c r="O280" s="18"/>
      <c r="P280" s="16">
        <f>SUM(I280:O280)</f>
        <v>284.14848000000006</v>
      </c>
      <c r="Q280" s="16">
        <f t="shared" si="127"/>
        <v>8.5244544000000015</v>
      </c>
      <c r="R280" s="16"/>
      <c r="S280" s="16">
        <f>(D280*E280*F280)*G280</f>
        <v>26.784000000000002</v>
      </c>
      <c r="T280" s="16">
        <f>(D280+E280+E280)*G280</f>
        <v>116.4</v>
      </c>
      <c r="U280" s="16">
        <f t="shared" si="130"/>
        <v>37.587888</v>
      </c>
      <c r="V280" s="16">
        <f t="shared" si="129"/>
        <v>38.496972</v>
      </c>
      <c r="W280" s="16"/>
      <c r="X280" s="16"/>
      <c r="Y280" s="16"/>
      <c r="Z280" s="16"/>
      <c r="AA280" s="16"/>
      <c r="AB280" s="16"/>
    </row>
    <row r="281" spans="1:28">
      <c r="A281" s="279"/>
      <c r="B281" s="27" t="s">
        <v>312</v>
      </c>
      <c r="C281" s="26"/>
      <c r="D281" s="25">
        <v>1.2</v>
      </c>
      <c r="E281" s="25">
        <f>3.95*4</f>
        <v>15.8</v>
      </c>
      <c r="F281" s="24">
        <v>0.3</v>
      </c>
      <c r="G281" s="23">
        <v>3</v>
      </c>
      <c r="H281" s="22" t="s">
        <v>52</v>
      </c>
      <c r="I281" s="20">
        <f>(D281*E281/0.25)+(E281*D281/0.25)*I197</f>
        <v>92.676479999999998</v>
      </c>
      <c r="J281" s="32">
        <f>(D281*E281/0.25)*J197</f>
        <v>37.844160000000002</v>
      </c>
      <c r="K281" s="21"/>
      <c r="L281" s="17">
        <f>(E281*D281/0.25)*L197</f>
        <v>67.345920000000007</v>
      </c>
      <c r="M281" s="19"/>
      <c r="N281" s="19"/>
      <c r="O281" s="18"/>
      <c r="P281" s="16">
        <f>SUM(I281:O281)</f>
        <v>197.86656000000002</v>
      </c>
      <c r="Q281" s="16">
        <f t="shared" si="127"/>
        <v>5.9359968000000007</v>
      </c>
      <c r="R281" s="16"/>
      <c r="S281" s="16">
        <f>(D281*E281*F281)*G281</f>
        <v>17.064</v>
      </c>
      <c r="T281" s="16">
        <f>(D281+E281+E281)*G281</f>
        <v>98.399999999999991</v>
      </c>
      <c r="U281" s="16">
        <f t="shared" si="130"/>
        <v>31.775327999999991</v>
      </c>
      <c r="V281" s="16">
        <f t="shared" si="129"/>
        <v>32.543831999999995</v>
      </c>
      <c r="W281" s="16"/>
      <c r="X281" s="16"/>
      <c r="Y281" s="16"/>
      <c r="Z281" s="16"/>
      <c r="AA281" s="16"/>
      <c r="AB281" s="16"/>
    </row>
    <row r="282" spans="1:28">
      <c r="A282" s="279"/>
      <c r="B282" s="27" t="s">
        <v>329</v>
      </c>
      <c r="C282" s="26"/>
      <c r="D282" s="25"/>
      <c r="E282" s="25"/>
      <c r="F282" s="24"/>
      <c r="G282" s="23"/>
      <c r="H282" s="22"/>
      <c r="I282" s="20"/>
      <c r="J282" s="32"/>
      <c r="K282" s="21"/>
      <c r="L282" s="17"/>
      <c r="M282" s="19"/>
      <c r="N282" s="19"/>
      <c r="O282" s="18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>
      <c r="A283" s="279"/>
      <c r="B283" s="27"/>
      <c r="C283" s="26"/>
      <c r="D283" s="25"/>
      <c r="E283" s="25"/>
      <c r="F283" s="24"/>
      <c r="G283" s="23"/>
      <c r="H283" s="22"/>
      <c r="I283" s="20"/>
      <c r="J283" s="32"/>
      <c r="K283" s="21"/>
      <c r="L283" s="17"/>
      <c r="M283" s="19"/>
      <c r="N283" s="19"/>
      <c r="O283" s="18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>
      <c r="A284" s="279"/>
      <c r="B284" s="27"/>
      <c r="C284" s="26"/>
      <c r="D284" s="25"/>
      <c r="E284" s="25"/>
      <c r="F284" s="24"/>
      <c r="G284" s="23"/>
      <c r="H284" s="22"/>
      <c r="I284" s="20"/>
      <c r="J284" s="32"/>
      <c r="K284" s="21"/>
      <c r="L284" s="17"/>
      <c r="M284" s="19"/>
      <c r="N284" s="19"/>
      <c r="O284" s="18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>
      <c r="A285" s="279"/>
      <c r="B285" s="27" t="s">
        <v>324</v>
      </c>
      <c r="C285" s="26"/>
      <c r="D285" s="25"/>
      <c r="E285" s="25"/>
      <c r="F285" s="24"/>
      <c r="G285" s="23"/>
      <c r="H285" s="22"/>
      <c r="I285" s="20"/>
      <c r="J285" s="32"/>
      <c r="K285" s="21"/>
      <c r="L285" s="17"/>
      <c r="M285" s="19"/>
      <c r="N285" s="19"/>
      <c r="O285" s="18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>
      <c r="A286" s="279"/>
      <c r="B286" s="27" t="s">
        <v>322</v>
      </c>
      <c r="C286" s="26"/>
      <c r="D286" s="25">
        <v>2.2999999999999998</v>
      </c>
      <c r="E286" s="25">
        <v>2.2999999999999998</v>
      </c>
      <c r="F286" s="24">
        <v>0.2</v>
      </c>
      <c r="G286" s="23">
        <v>24</v>
      </c>
      <c r="H286" s="22" t="s">
        <v>62</v>
      </c>
      <c r="I286" s="20"/>
      <c r="J286" s="32">
        <f>(((0.15*4)*6)*G286/0.25)*J197</f>
        <v>172.45439999999999</v>
      </c>
      <c r="K286" s="21"/>
      <c r="L286" s="17">
        <f>((((D286+E286+0.58+0.58)*2)*G286/0.2)+(((D286+E286+0.58+0.58)/0.2)*G286)*2)+((2.6*4)*2)*L197</f>
        <v>2783.2704000000003</v>
      </c>
      <c r="M286" s="19">
        <f>((4*G286)*6)*M197</f>
        <v>908.928</v>
      </c>
      <c r="N286" s="19"/>
      <c r="O286" s="18">
        <f>((0.7+2.6+0.7)*25+(0.7+2.6+0.7)*35)*O197</f>
        <v>924.72</v>
      </c>
      <c r="P286" s="16">
        <f>SUM(I286:O286)</f>
        <v>4789.3728000000001</v>
      </c>
      <c r="Q286" s="16">
        <f t="shared" ref="Q286:Q287" si="131">(P286*0.03)</f>
        <v>143.681184</v>
      </c>
      <c r="R286" s="16">
        <f>D286*G286*0.1</f>
        <v>5.52</v>
      </c>
      <c r="S286" s="16">
        <f>((D286*E286*F286)*G286)+(D286*E286*0.7)</f>
        <v>29.094999999999995</v>
      </c>
      <c r="T286" s="16">
        <f>(D286+E286+E286)*G286*2</f>
        <v>331.2</v>
      </c>
      <c r="U286" s="16">
        <f t="shared" ref="U286:U287" si="132">(T286*0.03)*10.764</f>
        <v>106.95110399999999</v>
      </c>
      <c r="V286" s="16">
        <f t="shared" ref="V286:V287" si="133">(T286+U286)*0.25</f>
        <v>109.53777599999999</v>
      </c>
      <c r="W286" s="16">
        <f>+D286*G286*0.1</f>
        <v>5.52</v>
      </c>
      <c r="X286" s="16"/>
      <c r="Y286" s="16"/>
      <c r="Z286" s="16"/>
      <c r="AA286" s="16"/>
      <c r="AB286" s="16"/>
    </row>
    <row r="287" spans="1:28">
      <c r="A287" s="279"/>
      <c r="B287" s="27" t="s">
        <v>323</v>
      </c>
      <c r="C287" s="26"/>
      <c r="D287" s="25">
        <v>4.2</v>
      </c>
      <c r="E287" s="25">
        <v>4.4000000000000004</v>
      </c>
      <c r="F287" s="24">
        <v>0.2</v>
      </c>
      <c r="G287" s="23">
        <v>12</v>
      </c>
      <c r="H287" s="22" t="s">
        <v>62</v>
      </c>
      <c r="I287" s="20"/>
      <c r="J287" s="32">
        <f>(((0.15*4)*6)*G287/0.25)*J197</f>
        <v>86.227199999999996</v>
      </c>
      <c r="K287" s="21"/>
      <c r="L287" s="17">
        <f>((((D287+E287+0.58+0.58)*2)*G287/0.2)+(((D287+E287+0.58+0.58)/0.2)*G287)*2)+((2.6*4)*2)*L197</f>
        <v>2360.8704000000002</v>
      </c>
      <c r="M287" s="19">
        <f>((4*G287)*6)*M197</f>
        <v>454.464</v>
      </c>
      <c r="N287" s="19"/>
      <c r="O287" s="18">
        <f>((0.7+4.5+0.7)*40+(0.7+4.7+0.7)*40)*O197</f>
        <v>1849.44</v>
      </c>
      <c r="P287" s="16">
        <f>SUM(I287:O287)</f>
        <v>4751.0015999999996</v>
      </c>
      <c r="Q287" s="16">
        <f t="shared" si="131"/>
        <v>142.53004799999999</v>
      </c>
      <c r="R287" s="16">
        <f>D287*G287*0.1</f>
        <v>5.0400000000000009</v>
      </c>
      <c r="S287" s="16">
        <f>((D287*E287*F287)*G287)+(D287*E287*0.7)</f>
        <v>57.288000000000011</v>
      </c>
      <c r="T287" s="16">
        <f>(D287+E287+E287)*G287*2</f>
        <v>312.00000000000006</v>
      </c>
      <c r="U287" s="16">
        <f t="shared" si="132"/>
        <v>100.75104</v>
      </c>
      <c r="V287" s="16">
        <f t="shared" si="133"/>
        <v>103.18776000000001</v>
      </c>
      <c r="W287" s="16">
        <f>+D287*G287*0.1</f>
        <v>5.0400000000000009</v>
      </c>
      <c r="X287" s="16"/>
      <c r="Y287" s="16"/>
      <c r="Z287" s="16"/>
      <c r="AA287" s="16"/>
      <c r="AB287" s="16"/>
    </row>
    <row r="288" spans="1:28">
      <c r="A288" s="279"/>
      <c r="B288" s="280"/>
      <c r="C288" s="26"/>
      <c r="D288" s="25"/>
      <c r="E288" s="25"/>
      <c r="F288" s="24"/>
      <c r="G288" s="281"/>
      <c r="H288" s="282"/>
      <c r="I288" s="283"/>
      <c r="J288" s="32"/>
      <c r="K288" s="21"/>
      <c r="L288" s="17"/>
      <c r="M288" s="19"/>
      <c r="N288" s="19"/>
      <c r="O288" s="18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  <c r="AA288" s="284"/>
      <c r="AB288" s="284"/>
    </row>
    <row r="289" spans="1:28">
      <c r="A289" s="279"/>
      <c r="B289" s="280"/>
      <c r="C289" s="26"/>
      <c r="D289" s="25"/>
      <c r="E289" s="25"/>
      <c r="F289" s="24"/>
      <c r="G289" s="281"/>
      <c r="H289" s="282"/>
      <c r="I289" s="283"/>
      <c r="J289" s="32"/>
      <c r="K289" s="21"/>
      <c r="L289" s="17"/>
      <c r="M289" s="19"/>
      <c r="N289" s="19"/>
      <c r="O289" s="18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  <c r="AA289" s="284"/>
      <c r="AB289" s="284"/>
    </row>
    <row r="290" spans="1:28">
      <c r="A290" s="279"/>
      <c r="B290" s="27"/>
      <c r="C290" s="26"/>
      <c r="D290" s="25"/>
      <c r="E290" s="25"/>
      <c r="F290" s="24"/>
      <c r="G290" s="23"/>
      <c r="H290" s="22"/>
      <c r="I290" s="20"/>
      <c r="J290" s="32"/>
      <c r="K290" s="21"/>
      <c r="L290" s="17"/>
      <c r="M290" s="19"/>
      <c r="N290" s="19"/>
      <c r="O290" s="18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>
      <c r="A291" s="279"/>
      <c r="B291" s="280"/>
      <c r="C291" s="26"/>
      <c r="D291" s="25"/>
      <c r="E291" s="25"/>
      <c r="F291" s="24"/>
      <c r="G291" s="281"/>
      <c r="H291" s="282"/>
      <c r="I291" s="283"/>
      <c r="J291" s="19"/>
      <c r="K291" s="17"/>
      <c r="L291" s="283"/>
      <c r="M291" s="19"/>
      <c r="N291" s="19"/>
      <c r="O291" s="18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  <c r="AA291" s="284"/>
      <c r="AB291" s="284"/>
    </row>
    <row r="292" spans="1:28">
      <c r="A292" s="28"/>
      <c r="B292" s="27"/>
      <c r="C292" s="26"/>
      <c r="D292" s="25"/>
      <c r="E292" s="25"/>
      <c r="F292" s="24"/>
      <c r="G292" s="23"/>
      <c r="H292" s="22"/>
      <c r="I292" s="20"/>
      <c r="J292" s="19"/>
      <c r="K292" s="17"/>
      <c r="L292" s="20"/>
      <c r="M292" s="19"/>
      <c r="N292" s="19"/>
      <c r="O292" s="18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>
      <c r="A293" s="28"/>
      <c r="B293" s="27"/>
      <c r="C293" s="26"/>
      <c r="D293" s="25"/>
      <c r="E293" s="25"/>
      <c r="F293" s="24"/>
      <c r="G293" s="23"/>
      <c r="H293" s="22"/>
      <c r="I293" s="20"/>
      <c r="J293" s="19"/>
      <c r="K293" s="17"/>
      <c r="L293" s="20"/>
      <c r="M293" s="19"/>
      <c r="N293" s="19"/>
      <c r="O293" s="18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>
      <c r="A294" s="28"/>
      <c r="B294" s="27"/>
      <c r="C294" s="26"/>
      <c r="D294" s="25"/>
      <c r="E294" s="25"/>
      <c r="F294" s="24"/>
      <c r="G294" s="23"/>
      <c r="H294" s="22"/>
      <c r="I294" s="20"/>
      <c r="J294" s="19"/>
      <c r="K294" s="17"/>
      <c r="L294" s="20"/>
      <c r="M294" s="19"/>
      <c r="N294" s="19"/>
      <c r="O294" s="18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>
      <c r="A295" s="15"/>
      <c r="B295" s="1073" t="s">
        <v>51</v>
      </c>
      <c r="C295" s="1074"/>
      <c r="D295" s="1074"/>
      <c r="E295" s="1074"/>
      <c r="F295" s="1075"/>
      <c r="G295" s="12"/>
      <c r="H295" s="12"/>
      <c r="I295" s="10">
        <f t="shared" ref="I295:AB295" si="134">SUM(I200:I294)</f>
        <v>1202.4745103448276</v>
      </c>
      <c r="J295" s="11">
        <f t="shared" si="134"/>
        <v>26505.49267494736</v>
      </c>
      <c r="K295" s="300">
        <f t="shared" si="134"/>
        <v>448.67087999999995</v>
      </c>
      <c r="L295" s="299">
        <f t="shared" si="134"/>
        <v>22653.77216</v>
      </c>
      <c r="M295" s="11">
        <f t="shared" si="134"/>
        <v>7142.7854399999997</v>
      </c>
      <c r="N295" s="11">
        <f t="shared" si="134"/>
        <v>59872.109160000007</v>
      </c>
      <c r="O295" s="11">
        <f t="shared" si="134"/>
        <v>72162.935950799991</v>
      </c>
      <c r="P295" s="10">
        <f t="shared" si="134"/>
        <v>190750.66077609223</v>
      </c>
      <c r="Q295" s="10">
        <f t="shared" si="134"/>
        <v>5722.5198232827661</v>
      </c>
      <c r="R295" s="10">
        <f t="shared" si="134"/>
        <v>67.723375000000004</v>
      </c>
      <c r="S295" s="10">
        <f t="shared" si="134"/>
        <v>1751.2169999999999</v>
      </c>
      <c r="T295" s="10">
        <f t="shared" si="134"/>
        <v>7331.5234999999993</v>
      </c>
      <c r="U295" s="10">
        <f t="shared" si="134"/>
        <v>2276.1203473200012</v>
      </c>
      <c r="V295" s="10">
        <f t="shared" si="134"/>
        <v>2401.9109618299981</v>
      </c>
      <c r="W295" s="10">
        <f t="shared" si="134"/>
        <v>67.723375000000004</v>
      </c>
      <c r="X295" s="10">
        <f t="shared" si="134"/>
        <v>2204.5349999999999</v>
      </c>
      <c r="Y295" s="10">
        <f t="shared" si="134"/>
        <v>0</v>
      </c>
      <c r="Z295" s="10">
        <f t="shared" si="134"/>
        <v>300</v>
      </c>
      <c r="AA295" s="10">
        <f t="shared" si="134"/>
        <v>0</v>
      </c>
      <c r="AB295" s="9">
        <f t="shared" si="134"/>
        <v>486</v>
      </c>
    </row>
  </sheetData>
  <sheetProtection sheet="1" formatCells="0" formatColumns="0" formatRows="0" insertColumns="0" insertRows="0" insertHyperlinks="0" deleteColumns="0" deleteRows="0" sort="0" autoFilter="0" pivotTables="0"/>
  <mergeCells count="22">
    <mergeCell ref="B278:F278"/>
    <mergeCell ref="B295:F295"/>
    <mergeCell ref="T194:U194"/>
    <mergeCell ref="B195:C195"/>
    <mergeCell ref="B199:E199"/>
    <mergeCell ref="B88:E88"/>
    <mergeCell ref="B174:F174"/>
    <mergeCell ref="L193:O193"/>
    <mergeCell ref="R193:S193"/>
    <mergeCell ref="T193:U193"/>
    <mergeCell ref="L82:O82"/>
    <mergeCell ref="R82:S82"/>
    <mergeCell ref="T82:U82"/>
    <mergeCell ref="T83:U83"/>
    <mergeCell ref="B84:C84"/>
    <mergeCell ref="B73:F73"/>
    <mergeCell ref="B10:E10"/>
    <mergeCell ref="T4:U4"/>
    <mergeCell ref="T5:U5"/>
    <mergeCell ref="L4:O4"/>
    <mergeCell ref="R4:S4"/>
    <mergeCell ref="B6:C6"/>
  </mergeCells>
  <printOptions horizontalCentered="1"/>
  <pageMargins left="0.2" right="0.2" top="0.7" bottom="0.5" header="0.3" footer="0.3"/>
  <pageSetup paperSize="9" scale="70" orientation="landscape" r:id="rId1"/>
  <headerFooter alignWithMargins="0">
    <oddHeader>&amp;R&amp;12&amp;Z&amp;F</oddHeader>
    <oddFooter>&amp;C&amp;12&amp;P / &amp;N&amp;R&amp;11Recheck By : Chalermkiet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L486"/>
  <sheetViews>
    <sheetView zoomScale="80" zoomScaleNormal="80" workbookViewId="0">
      <pane xSplit="2" ySplit="10" topLeftCell="C24" activePane="bottomRight" state="frozen"/>
      <selection pane="topRight" activeCell="C1" sqref="C1"/>
      <selection pane="bottomLeft" activeCell="A9" sqref="A9"/>
      <selection pane="bottomRight" activeCell="DO37" sqref="DO37"/>
    </sheetView>
  </sheetViews>
  <sheetFormatPr defaultRowHeight="16.5"/>
  <cols>
    <col min="1" max="1" width="4.140625" style="58" bestFit="1" customWidth="1"/>
    <col min="2" max="2" width="49.140625" style="58" customWidth="1"/>
    <col min="3" max="4" width="8.7109375" style="58" customWidth="1"/>
    <col min="5" max="5" width="9.85546875" style="58" customWidth="1"/>
    <col min="6" max="7" width="8.7109375" style="58" customWidth="1"/>
    <col min="8" max="8" width="9.85546875" style="58" customWidth="1"/>
    <col min="9" max="19" width="8.7109375" style="58" customWidth="1"/>
    <col min="20" max="20" width="10" style="58" customWidth="1"/>
    <col min="21" max="25" width="10.7109375" style="58" customWidth="1"/>
    <col min="26" max="27" width="8.7109375" style="58" customWidth="1"/>
    <col min="28" max="30" width="10.7109375" style="58" customWidth="1"/>
    <col min="31" max="39" width="10.7109375" style="58" hidden="1" customWidth="1"/>
    <col min="40" max="42" width="9" style="58" customWidth="1"/>
    <col min="43" max="43" width="9.85546875" style="58" customWidth="1"/>
    <col min="44" max="48" width="10.7109375" style="58" customWidth="1"/>
    <col min="49" max="51" width="9" style="58"/>
    <col min="52" max="97" width="6.7109375" style="58" customWidth="1"/>
    <col min="98" max="98" width="9.140625" style="58" customWidth="1"/>
    <col min="99" max="99" width="9" style="58" customWidth="1"/>
    <col min="100" max="106" width="8.140625" style="58" customWidth="1"/>
    <col min="107" max="275" width="9" style="58"/>
    <col min="276" max="276" width="4.140625" style="58" bestFit="1" customWidth="1"/>
    <col min="277" max="277" width="22" style="58" customWidth="1"/>
    <col min="278" max="278" width="9.140625" style="58" customWidth="1"/>
    <col min="279" max="286" width="8" style="58" customWidth="1"/>
    <col min="287" max="290" width="9" style="58"/>
    <col min="291" max="291" width="8.7109375" style="58" customWidth="1"/>
    <col min="292" max="292" width="9" style="58" customWidth="1"/>
    <col min="293" max="294" width="9" style="58"/>
    <col min="295" max="295" width="9.85546875" style="58" bestFit="1" customWidth="1"/>
    <col min="296" max="531" width="9" style="58"/>
    <col min="532" max="532" width="4.140625" style="58" bestFit="1" customWidth="1"/>
    <col min="533" max="533" width="22" style="58" customWidth="1"/>
    <col min="534" max="534" width="9.140625" style="58" customWidth="1"/>
    <col min="535" max="542" width="8" style="58" customWidth="1"/>
    <col min="543" max="546" width="9" style="58"/>
    <col min="547" max="547" width="8.7109375" style="58" customWidth="1"/>
    <col min="548" max="548" width="9" style="58" customWidth="1"/>
    <col min="549" max="550" width="9" style="58"/>
    <col min="551" max="551" width="9.85546875" style="58" bestFit="1" customWidth="1"/>
    <col min="552" max="787" width="9" style="58"/>
    <col min="788" max="788" width="4.140625" style="58" bestFit="1" customWidth="1"/>
    <col min="789" max="789" width="22" style="58" customWidth="1"/>
    <col min="790" max="790" width="9.140625" style="58" customWidth="1"/>
    <col min="791" max="798" width="8" style="58" customWidth="1"/>
    <col min="799" max="802" width="9" style="58"/>
    <col min="803" max="803" width="8.7109375" style="58" customWidth="1"/>
    <col min="804" max="804" width="9" style="58" customWidth="1"/>
    <col min="805" max="806" width="9" style="58"/>
    <col min="807" max="807" width="9.85546875" style="58" bestFit="1" customWidth="1"/>
    <col min="808" max="1043" width="9" style="58"/>
    <col min="1044" max="1044" width="4.140625" style="58" bestFit="1" customWidth="1"/>
    <col min="1045" max="1045" width="22" style="58" customWidth="1"/>
    <col min="1046" max="1046" width="9.140625" style="58" customWidth="1"/>
    <col min="1047" max="1054" width="8" style="58" customWidth="1"/>
    <col min="1055" max="1058" width="9" style="58"/>
    <col min="1059" max="1059" width="8.7109375" style="58" customWidth="1"/>
    <col min="1060" max="1060" width="9" style="58" customWidth="1"/>
    <col min="1061" max="1062" width="9" style="58"/>
    <col min="1063" max="1063" width="9.85546875" style="58" bestFit="1" customWidth="1"/>
    <col min="1064" max="1299" width="9" style="58"/>
    <col min="1300" max="1300" width="4.140625" style="58" bestFit="1" customWidth="1"/>
    <col min="1301" max="1301" width="22" style="58" customWidth="1"/>
    <col min="1302" max="1302" width="9.140625" style="58" customWidth="1"/>
    <col min="1303" max="1310" width="8" style="58" customWidth="1"/>
    <col min="1311" max="1314" width="9" style="58"/>
    <col min="1315" max="1315" width="8.7109375" style="58" customWidth="1"/>
    <col min="1316" max="1316" width="9" style="58" customWidth="1"/>
    <col min="1317" max="1318" width="9" style="58"/>
    <col min="1319" max="1319" width="9.85546875" style="58" bestFit="1" customWidth="1"/>
    <col min="1320" max="1555" width="9" style="58"/>
    <col min="1556" max="1556" width="4.140625" style="58" bestFit="1" customWidth="1"/>
    <col min="1557" max="1557" width="22" style="58" customWidth="1"/>
    <col min="1558" max="1558" width="9.140625" style="58" customWidth="1"/>
    <col min="1559" max="1566" width="8" style="58" customWidth="1"/>
    <col min="1567" max="1570" width="9" style="58"/>
    <col min="1571" max="1571" width="8.7109375" style="58" customWidth="1"/>
    <col min="1572" max="1572" width="9" style="58" customWidth="1"/>
    <col min="1573" max="1574" width="9" style="58"/>
    <col min="1575" max="1575" width="9.85546875" style="58" bestFit="1" customWidth="1"/>
    <col min="1576" max="1811" width="9" style="58"/>
    <col min="1812" max="1812" width="4.140625" style="58" bestFit="1" customWidth="1"/>
    <col min="1813" max="1813" width="22" style="58" customWidth="1"/>
    <col min="1814" max="1814" width="9.140625" style="58" customWidth="1"/>
    <col min="1815" max="1822" width="8" style="58" customWidth="1"/>
    <col min="1823" max="1826" width="9" style="58"/>
    <col min="1827" max="1827" width="8.7109375" style="58" customWidth="1"/>
    <col min="1828" max="1828" width="9" style="58" customWidth="1"/>
    <col min="1829" max="1830" width="9" style="58"/>
    <col min="1831" max="1831" width="9.85546875" style="58" bestFit="1" customWidth="1"/>
    <col min="1832" max="2067" width="9" style="58"/>
    <col min="2068" max="2068" width="4.140625" style="58" bestFit="1" customWidth="1"/>
    <col min="2069" max="2069" width="22" style="58" customWidth="1"/>
    <col min="2070" max="2070" width="9.140625" style="58" customWidth="1"/>
    <col min="2071" max="2078" width="8" style="58" customWidth="1"/>
    <col min="2079" max="2082" width="9" style="58"/>
    <col min="2083" max="2083" width="8.7109375" style="58" customWidth="1"/>
    <col min="2084" max="2084" width="9" style="58" customWidth="1"/>
    <col min="2085" max="2086" width="9" style="58"/>
    <col min="2087" max="2087" width="9.85546875" style="58" bestFit="1" customWidth="1"/>
    <col min="2088" max="2323" width="9" style="58"/>
    <col min="2324" max="2324" width="4.140625" style="58" bestFit="1" customWidth="1"/>
    <col min="2325" max="2325" width="22" style="58" customWidth="1"/>
    <col min="2326" max="2326" width="9.140625" style="58" customWidth="1"/>
    <col min="2327" max="2334" width="8" style="58" customWidth="1"/>
    <col min="2335" max="2338" width="9" style="58"/>
    <col min="2339" max="2339" width="8.7109375" style="58" customWidth="1"/>
    <col min="2340" max="2340" width="9" style="58" customWidth="1"/>
    <col min="2341" max="2342" width="9" style="58"/>
    <col min="2343" max="2343" width="9.85546875" style="58" bestFit="1" customWidth="1"/>
    <col min="2344" max="2579" width="9" style="58"/>
    <col min="2580" max="2580" width="4.140625" style="58" bestFit="1" customWidth="1"/>
    <col min="2581" max="2581" width="22" style="58" customWidth="1"/>
    <col min="2582" max="2582" width="9.140625" style="58" customWidth="1"/>
    <col min="2583" max="2590" width="8" style="58" customWidth="1"/>
    <col min="2591" max="2594" width="9" style="58"/>
    <col min="2595" max="2595" width="8.7109375" style="58" customWidth="1"/>
    <col min="2596" max="2596" width="9" style="58" customWidth="1"/>
    <col min="2597" max="2598" width="9" style="58"/>
    <col min="2599" max="2599" width="9.85546875" style="58" bestFit="1" customWidth="1"/>
    <col min="2600" max="2835" width="9" style="58"/>
    <col min="2836" max="2836" width="4.140625" style="58" bestFit="1" customWidth="1"/>
    <col min="2837" max="2837" width="22" style="58" customWidth="1"/>
    <col min="2838" max="2838" width="9.140625" style="58" customWidth="1"/>
    <col min="2839" max="2846" width="8" style="58" customWidth="1"/>
    <col min="2847" max="2850" width="9" style="58"/>
    <col min="2851" max="2851" width="8.7109375" style="58" customWidth="1"/>
    <col min="2852" max="2852" width="9" style="58" customWidth="1"/>
    <col min="2853" max="2854" width="9" style="58"/>
    <col min="2855" max="2855" width="9.85546875" style="58" bestFit="1" customWidth="1"/>
    <col min="2856" max="3091" width="9" style="58"/>
    <col min="3092" max="3092" width="4.140625" style="58" bestFit="1" customWidth="1"/>
    <col min="3093" max="3093" width="22" style="58" customWidth="1"/>
    <col min="3094" max="3094" width="9.140625" style="58" customWidth="1"/>
    <col min="3095" max="3102" width="8" style="58" customWidth="1"/>
    <col min="3103" max="3106" width="9" style="58"/>
    <col min="3107" max="3107" width="8.7109375" style="58" customWidth="1"/>
    <col min="3108" max="3108" width="9" style="58" customWidth="1"/>
    <col min="3109" max="3110" width="9" style="58"/>
    <col min="3111" max="3111" width="9.85546875" style="58" bestFit="1" customWidth="1"/>
    <col min="3112" max="3347" width="9" style="58"/>
    <col min="3348" max="3348" width="4.140625" style="58" bestFit="1" customWidth="1"/>
    <col min="3349" max="3349" width="22" style="58" customWidth="1"/>
    <col min="3350" max="3350" width="9.140625" style="58" customWidth="1"/>
    <col min="3351" max="3358" width="8" style="58" customWidth="1"/>
    <col min="3359" max="3362" width="9" style="58"/>
    <col min="3363" max="3363" width="8.7109375" style="58" customWidth="1"/>
    <col min="3364" max="3364" width="9" style="58" customWidth="1"/>
    <col min="3365" max="3366" width="9" style="58"/>
    <col min="3367" max="3367" width="9.85546875" style="58" bestFit="1" customWidth="1"/>
    <col min="3368" max="3603" width="9" style="58"/>
    <col min="3604" max="3604" width="4.140625" style="58" bestFit="1" customWidth="1"/>
    <col min="3605" max="3605" width="22" style="58" customWidth="1"/>
    <col min="3606" max="3606" width="9.140625" style="58" customWidth="1"/>
    <col min="3607" max="3614" width="8" style="58" customWidth="1"/>
    <col min="3615" max="3618" width="9" style="58"/>
    <col min="3619" max="3619" width="8.7109375" style="58" customWidth="1"/>
    <col min="3620" max="3620" width="9" style="58" customWidth="1"/>
    <col min="3621" max="3622" width="9" style="58"/>
    <col min="3623" max="3623" width="9.85546875" style="58" bestFit="1" customWidth="1"/>
    <col min="3624" max="3859" width="9" style="58"/>
    <col min="3860" max="3860" width="4.140625" style="58" bestFit="1" customWidth="1"/>
    <col min="3861" max="3861" width="22" style="58" customWidth="1"/>
    <col min="3862" max="3862" width="9.140625" style="58" customWidth="1"/>
    <col min="3863" max="3870" width="8" style="58" customWidth="1"/>
    <col min="3871" max="3874" width="9" style="58"/>
    <col min="3875" max="3875" width="8.7109375" style="58" customWidth="1"/>
    <col min="3876" max="3876" width="9" style="58" customWidth="1"/>
    <col min="3877" max="3878" width="9" style="58"/>
    <col min="3879" max="3879" width="9.85546875" style="58" bestFit="1" customWidth="1"/>
    <col min="3880" max="4115" width="9" style="58"/>
    <col min="4116" max="4116" width="4.140625" style="58" bestFit="1" customWidth="1"/>
    <col min="4117" max="4117" width="22" style="58" customWidth="1"/>
    <col min="4118" max="4118" width="9.140625" style="58" customWidth="1"/>
    <col min="4119" max="4126" width="8" style="58" customWidth="1"/>
    <col min="4127" max="4130" width="9" style="58"/>
    <col min="4131" max="4131" width="8.7109375" style="58" customWidth="1"/>
    <col min="4132" max="4132" width="9" style="58" customWidth="1"/>
    <col min="4133" max="4134" width="9" style="58"/>
    <col min="4135" max="4135" width="9.85546875" style="58" bestFit="1" customWidth="1"/>
    <col min="4136" max="4371" width="9" style="58"/>
    <col min="4372" max="4372" width="4.140625" style="58" bestFit="1" customWidth="1"/>
    <col min="4373" max="4373" width="22" style="58" customWidth="1"/>
    <col min="4374" max="4374" width="9.140625" style="58" customWidth="1"/>
    <col min="4375" max="4382" width="8" style="58" customWidth="1"/>
    <col min="4383" max="4386" width="9" style="58"/>
    <col min="4387" max="4387" width="8.7109375" style="58" customWidth="1"/>
    <col min="4388" max="4388" width="9" style="58" customWidth="1"/>
    <col min="4389" max="4390" width="9" style="58"/>
    <col min="4391" max="4391" width="9.85546875" style="58" bestFit="1" customWidth="1"/>
    <col min="4392" max="4627" width="9" style="58"/>
    <col min="4628" max="4628" width="4.140625" style="58" bestFit="1" customWidth="1"/>
    <col min="4629" max="4629" width="22" style="58" customWidth="1"/>
    <col min="4630" max="4630" width="9.140625" style="58" customWidth="1"/>
    <col min="4631" max="4638" width="8" style="58" customWidth="1"/>
    <col min="4639" max="4642" width="9" style="58"/>
    <col min="4643" max="4643" width="8.7109375" style="58" customWidth="1"/>
    <col min="4644" max="4644" width="9" style="58" customWidth="1"/>
    <col min="4645" max="4646" width="9" style="58"/>
    <col min="4647" max="4647" width="9.85546875" style="58" bestFit="1" customWidth="1"/>
    <col min="4648" max="4883" width="9" style="58"/>
    <col min="4884" max="4884" width="4.140625" style="58" bestFit="1" customWidth="1"/>
    <col min="4885" max="4885" width="22" style="58" customWidth="1"/>
    <col min="4886" max="4886" width="9.140625" style="58" customWidth="1"/>
    <col min="4887" max="4894" width="8" style="58" customWidth="1"/>
    <col min="4895" max="4898" width="9" style="58"/>
    <col min="4899" max="4899" width="8.7109375" style="58" customWidth="1"/>
    <col min="4900" max="4900" width="9" style="58" customWidth="1"/>
    <col min="4901" max="4902" width="9" style="58"/>
    <col min="4903" max="4903" width="9.85546875" style="58" bestFit="1" customWidth="1"/>
    <col min="4904" max="5139" width="9" style="58"/>
    <col min="5140" max="5140" width="4.140625" style="58" bestFit="1" customWidth="1"/>
    <col min="5141" max="5141" width="22" style="58" customWidth="1"/>
    <col min="5142" max="5142" width="9.140625" style="58" customWidth="1"/>
    <col min="5143" max="5150" width="8" style="58" customWidth="1"/>
    <col min="5151" max="5154" width="9" style="58"/>
    <col min="5155" max="5155" width="8.7109375" style="58" customWidth="1"/>
    <col min="5156" max="5156" width="9" style="58" customWidth="1"/>
    <col min="5157" max="5158" width="9" style="58"/>
    <col min="5159" max="5159" width="9.85546875" style="58" bestFit="1" customWidth="1"/>
    <col min="5160" max="5395" width="9" style="58"/>
    <col min="5396" max="5396" width="4.140625" style="58" bestFit="1" customWidth="1"/>
    <col min="5397" max="5397" width="22" style="58" customWidth="1"/>
    <col min="5398" max="5398" width="9.140625" style="58" customWidth="1"/>
    <col min="5399" max="5406" width="8" style="58" customWidth="1"/>
    <col min="5407" max="5410" width="9" style="58"/>
    <col min="5411" max="5411" width="8.7109375" style="58" customWidth="1"/>
    <col min="5412" max="5412" width="9" style="58" customWidth="1"/>
    <col min="5413" max="5414" width="9" style="58"/>
    <col min="5415" max="5415" width="9.85546875" style="58" bestFit="1" customWidth="1"/>
    <col min="5416" max="5651" width="9" style="58"/>
    <col min="5652" max="5652" width="4.140625" style="58" bestFit="1" customWidth="1"/>
    <col min="5653" max="5653" width="22" style="58" customWidth="1"/>
    <col min="5654" max="5654" width="9.140625" style="58" customWidth="1"/>
    <col min="5655" max="5662" width="8" style="58" customWidth="1"/>
    <col min="5663" max="5666" width="9" style="58"/>
    <col min="5667" max="5667" width="8.7109375" style="58" customWidth="1"/>
    <col min="5668" max="5668" width="9" style="58" customWidth="1"/>
    <col min="5669" max="5670" width="9" style="58"/>
    <col min="5671" max="5671" width="9.85546875" style="58" bestFit="1" customWidth="1"/>
    <col min="5672" max="5907" width="9" style="58"/>
    <col min="5908" max="5908" width="4.140625" style="58" bestFit="1" customWidth="1"/>
    <col min="5909" max="5909" width="22" style="58" customWidth="1"/>
    <col min="5910" max="5910" width="9.140625" style="58" customWidth="1"/>
    <col min="5911" max="5918" width="8" style="58" customWidth="1"/>
    <col min="5919" max="5922" width="9" style="58"/>
    <col min="5923" max="5923" width="8.7109375" style="58" customWidth="1"/>
    <col min="5924" max="5924" width="9" style="58" customWidth="1"/>
    <col min="5925" max="5926" width="9" style="58"/>
    <col min="5927" max="5927" width="9.85546875" style="58" bestFit="1" customWidth="1"/>
    <col min="5928" max="6163" width="9" style="58"/>
    <col min="6164" max="6164" width="4.140625" style="58" bestFit="1" customWidth="1"/>
    <col min="6165" max="6165" width="22" style="58" customWidth="1"/>
    <col min="6166" max="6166" width="9.140625" style="58" customWidth="1"/>
    <col min="6167" max="6174" width="8" style="58" customWidth="1"/>
    <col min="6175" max="6178" width="9" style="58"/>
    <col min="6179" max="6179" width="8.7109375" style="58" customWidth="1"/>
    <col min="6180" max="6180" width="9" style="58" customWidth="1"/>
    <col min="6181" max="6182" width="9" style="58"/>
    <col min="6183" max="6183" width="9.85546875" style="58" bestFit="1" customWidth="1"/>
    <col min="6184" max="6419" width="9" style="58"/>
    <col min="6420" max="6420" width="4.140625" style="58" bestFit="1" customWidth="1"/>
    <col min="6421" max="6421" width="22" style="58" customWidth="1"/>
    <col min="6422" max="6422" width="9.140625" style="58" customWidth="1"/>
    <col min="6423" max="6430" width="8" style="58" customWidth="1"/>
    <col min="6431" max="6434" width="9" style="58"/>
    <col min="6435" max="6435" width="8.7109375" style="58" customWidth="1"/>
    <col min="6436" max="6436" width="9" style="58" customWidth="1"/>
    <col min="6437" max="6438" width="9" style="58"/>
    <col min="6439" max="6439" width="9.85546875" style="58" bestFit="1" customWidth="1"/>
    <col min="6440" max="6675" width="9" style="58"/>
    <col min="6676" max="6676" width="4.140625" style="58" bestFit="1" customWidth="1"/>
    <col min="6677" max="6677" width="22" style="58" customWidth="1"/>
    <col min="6678" max="6678" width="9.140625" style="58" customWidth="1"/>
    <col min="6679" max="6686" width="8" style="58" customWidth="1"/>
    <col min="6687" max="6690" width="9" style="58"/>
    <col min="6691" max="6691" width="8.7109375" style="58" customWidth="1"/>
    <col min="6692" max="6692" width="9" style="58" customWidth="1"/>
    <col min="6693" max="6694" width="9" style="58"/>
    <col min="6695" max="6695" width="9.85546875" style="58" bestFit="1" customWidth="1"/>
    <col min="6696" max="6931" width="9" style="58"/>
    <col min="6932" max="6932" width="4.140625" style="58" bestFit="1" customWidth="1"/>
    <col min="6933" max="6933" width="22" style="58" customWidth="1"/>
    <col min="6934" max="6934" width="9.140625" style="58" customWidth="1"/>
    <col min="6935" max="6942" width="8" style="58" customWidth="1"/>
    <col min="6943" max="6946" width="9" style="58"/>
    <col min="6947" max="6947" width="8.7109375" style="58" customWidth="1"/>
    <col min="6948" max="6948" width="9" style="58" customWidth="1"/>
    <col min="6949" max="6950" width="9" style="58"/>
    <col min="6951" max="6951" width="9.85546875" style="58" bestFit="1" customWidth="1"/>
    <col min="6952" max="7187" width="9" style="58"/>
    <col min="7188" max="7188" width="4.140625" style="58" bestFit="1" customWidth="1"/>
    <col min="7189" max="7189" width="22" style="58" customWidth="1"/>
    <col min="7190" max="7190" width="9.140625" style="58" customWidth="1"/>
    <col min="7191" max="7198" width="8" style="58" customWidth="1"/>
    <col min="7199" max="7202" width="9" style="58"/>
    <col min="7203" max="7203" width="8.7109375" style="58" customWidth="1"/>
    <col min="7204" max="7204" width="9" style="58" customWidth="1"/>
    <col min="7205" max="7206" width="9" style="58"/>
    <col min="7207" max="7207" width="9.85546875" style="58" bestFit="1" customWidth="1"/>
    <col min="7208" max="7443" width="9" style="58"/>
    <col min="7444" max="7444" width="4.140625" style="58" bestFit="1" customWidth="1"/>
    <col min="7445" max="7445" width="22" style="58" customWidth="1"/>
    <col min="7446" max="7446" width="9.140625" style="58" customWidth="1"/>
    <col min="7447" max="7454" width="8" style="58" customWidth="1"/>
    <col min="7455" max="7458" width="9" style="58"/>
    <col min="7459" max="7459" width="8.7109375" style="58" customWidth="1"/>
    <col min="7460" max="7460" width="9" style="58" customWidth="1"/>
    <col min="7461" max="7462" width="9" style="58"/>
    <col min="7463" max="7463" width="9.85546875" style="58" bestFit="1" customWidth="1"/>
    <col min="7464" max="7699" width="9" style="58"/>
    <col min="7700" max="7700" width="4.140625" style="58" bestFit="1" customWidth="1"/>
    <col min="7701" max="7701" width="22" style="58" customWidth="1"/>
    <col min="7702" max="7702" width="9.140625" style="58" customWidth="1"/>
    <col min="7703" max="7710" width="8" style="58" customWidth="1"/>
    <col min="7711" max="7714" width="9" style="58"/>
    <col min="7715" max="7715" width="8.7109375" style="58" customWidth="1"/>
    <col min="7716" max="7716" width="9" style="58" customWidth="1"/>
    <col min="7717" max="7718" width="9" style="58"/>
    <col min="7719" max="7719" width="9.85546875" style="58" bestFit="1" customWidth="1"/>
    <col min="7720" max="7955" width="9" style="58"/>
    <col min="7956" max="7956" width="4.140625" style="58" bestFit="1" customWidth="1"/>
    <col min="7957" max="7957" width="22" style="58" customWidth="1"/>
    <col min="7958" max="7958" width="9.140625" style="58" customWidth="1"/>
    <col min="7959" max="7966" width="8" style="58" customWidth="1"/>
    <col min="7967" max="7970" width="9" style="58"/>
    <col min="7971" max="7971" width="8.7109375" style="58" customWidth="1"/>
    <col min="7972" max="7972" width="9" style="58" customWidth="1"/>
    <col min="7973" max="7974" width="9" style="58"/>
    <col min="7975" max="7975" width="9.85546875" style="58" bestFit="1" customWidth="1"/>
    <col min="7976" max="8211" width="9" style="58"/>
    <col min="8212" max="8212" width="4.140625" style="58" bestFit="1" customWidth="1"/>
    <col min="8213" max="8213" width="22" style="58" customWidth="1"/>
    <col min="8214" max="8214" width="9.140625" style="58" customWidth="1"/>
    <col min="8215" max="8222" width="8" style="58" customWidth="1"/>
    <col min="8223" max="8226" width="9" style="58"/>
    <col min="8227" max="8227" width="8.7109375" style="58" customWidth="1"/>
    <col min="8228" max="8228" width="9" style="58" customWidth="1"/>
    <col min="8229" max="8230" width="9" style="58"/>
    <col min="8231" max="8231" width="9.85546875" style="58" bestFit="1" customWidth="1"/>
    <col min="8232" max="8467" width="9" style="58"/>
    <col min="8468" max="8468" width="4.140625" style="58" bestFit="1" customWidth="1"/>
    <col min="8469" max="8469" width="22" style="58" customWidth="1"/>
    <col min="8470" max="8470" width="9.140625" style="58" customWidth="1"/>
    <col min="8471" max="8478" width="8" style="58" customWidth="1"/>
    <col min="8479" max="8482" width="9" style="58"/>
    <col min="8483" max="8483" width="8.7109375" style="58" customWidth="1"/>
    <col min="8484" max="8484" width="9" style="58" customWidth="1"/>
    <col min="8485" max="8486" width="9" style="58"/>
    <col min="8487" max="8487" width="9.85546875" style="58" bestFit="1" customWidth="1"/>
    <col min="8488" max="8723" width="9" style="58"/>
    <col min="8724" max="8724" width="4.140625" style="58" bestFit="1" customWidth="1"/>
    <col min="8725" max="8725" width="22" style="58" customWidth="1"/>
    <col min="8726" max="8726" width="9.140625" style="58" customWidth="1"/>
    <col min="8727" max="8734" width="8" style="58" customWidth="1"/>
    <col min="8735" max="8738" width="9" style="58"/>
    <col min="8739" max="8739" width="8.7109375" style="58" customWidth="1"/>
    <col min="8740" max="8740" width="9" style="58" customWidth="1"/>
    <col min="8741" max="8742" width="9" style="58"/>
    <col min="8743" max="8743" width="9.85546875" style="58" bestFit="1" customWidth="1"/>
    <col min="8744" max="8979" width="9" style="58"/>
    <col min="8980" max="8980" width="4.140625" style="58" bestFit="1" customWidth="1"/>
    <col min="8981" max="8981" width="22" style="58" customWidth="1"/>
    <col min="8982" max="8982" width="9.140625" style="58" customWidth="1"/>
    <col min="8983" max="8990" width="8" style="58" customWidth="1"/>
    <col min="8991" max="8994" width="9" style="58"/>
    <col min="8995" max="8995" width="8.7109375" style="58" customWidth="1"/>
    <col min="8996" max="8996" width="9" style="58" customWidth="1"/>
    <col min="8997" max="8998" width="9" style="58"/>
    <col min="8999" max="8999" width="9.85546875" style="58" bestFit="1" customWidth="1"/>
    <col min="9000" max="9235" width="9" style="58"/>
    <col min="9236" max="9236" width="4.140625" style="58" bestFit="1" customWidth="1"/>
    <col min="9237" max="9237" width="22" style="58" customWidth="1"/>
    <col min="9238" max="9238" width="9.140625" style="58" customWidth="1"/>
    <col min="9239" max="9246" width="8" style="58" customWidth="1"/>
    <col min="9247" max="9250" width="9" style="58"/>
    <col min="9251" max="9251" width="8.7109375" style="58" customWidth="1"/>
    <col min="9252" max="9252" width="9" style="58" customWidth="1"/>
    <col min="9253" max="9254" width="9" style="58"/>
    <col min="9255" max="9255" width="9.85546875" style="58" bestFit="1" customWidth="1"/>
    <col min="9256" max="9491" width="9" style="58"/>
    <col min="9492" max="9492" width="4.140625" style="58" bestFit="1" customWidth="1"/>
    <col min="9493" max="9493" width="22" style="58" customWidth="1"/>
    <col min="9494" max="9494" width="9.140625" style="58" customWidth="1"/>
    <col min="9495" max="9502" width="8" style="58" customWidth="1"/>
    <col min="9503" max="9506" width="9" style="58"/>
    <col min="9507" max="9507" width="8.7109375" style="58" customWidth="1"/>
    <col min="9508" max="9508" width="9" style="58" customWidth="1"/>
    <col min="9509" max="9510" width="9" style="58"/>
    <col min="9511" max="9511" width="9.85546875" style="58" bestFit="1" customWidth="1"/>
    <col min="9512" max="9747" width="9" style="58"/>
    <col min="9748" max="9748" width="4.140625" style="58" bestFit="1" customWidth="1"/>
    <col min="9749" max="9749" width="22" style="58" customWidth="1"/>
    <col min="9750" max="9750" width="9.140625" style="58" customWidth="1"/>
    <col min="9751" max="9758" width="8" style="58" customWidth="1"/>
    <col min="9759" max="9762" width="9" style="58"/>
    <col min="9763" max="9763" width="8.7109375" style="58" customWidth="1"/>
    <col min="9764" max="9764" width="9" style="58" customWidth="1"/>
    <col min="9765" max="9766" width="9" style="58"/>
    <col min="9767" max="9767" width="9.85546875" style="58" bestFit="1" customWidth="1"/>
    <col min="9768" max="10003" width="9" style="58"/>
    <col min="10004" max="10004" width="4.140625" style="58" bestFit="1" customWidth="1"/>
    <col min="10005" max="10005" width="22" style="58" customWidth="1"/>
    <col min="10006" max="10006" width="9.140625" style="58" customWidth="1"/>
    <col min="10007" max="10014" width="8" style="58" customWidth="1"/>
    <col min="10015" max="10018" width="9" style="58"/>
    <col min="10019" max="10019" width="8.7109375" style="58" customWidth="1"/>
    <col min="10020" max="10020" width="9" style="58" customWidth="1"/>
    <col min="10021" max="10022" width="9" style="58"/>
    <col min="10023" max="10023" width="9.85546875" style="58" bestFit="1" customWidth="1"/>
    <col min="10024" max="10259" width="9" style="58"/>
    <col min="10260" max="10260" width="4.140625" style="58" bestFit="1" customWidth="1"/>
    <col min="10261" max="10261" width="22" style="58" customWidth="1"/>
    <col min="10262" max="10262" width="9.140625" style="58" customWidth="1"/>
    <col min="10263" max="10270" width="8" style="58" customWidth="1"/>
    <col min="10271" max="10274" width="9" style="58"/>
    <col min="10275" max="10275" width="8.7109375" style="58" customWidth="1"/>
    <col min="10276" max="10276" width="9" style="58" customWidth="1"/>
    <col min="10277" max="10278" width="9" style="58"/>
    <col min="10279" max="10279" width="9.85546875" style="58" bestFit="1" customWidth="1"/>
    <col min="10280" max="10515" width="9" style="58"/>
    <col min="10516" max="10516" width="4.140625" style="58" bestFit="1" customWidth="1"/>
    <col min="10517" max="10517" width="22" style="58" customWidth="1"/>
    <col min="10518" max="10518" width="9.140625" style="58" customWidth="1"/>
    <col min="10519" max="10526" width="8" style="58" customWidth="1"/>
    <col min="10527" max="10530" width="9" style="58"/>
    <col min="10531" max="10531" width="8.7109375" style="58" customWidth="1"/>
    <col min="10532" max="10532" width="9" style="58" customWidth="1"/>
    <col min="10533" max="10534" width="9" style="58"/>
    <col min="10535" max="10535" width="9.85546875" style="58" bestFit="1" customWidth="1"/>
    <col min="10536" max="10771" width="9" style="58"/>
    <col min="10772" max="10772" width="4.140625" style="58" bestFit="1" customWidth="1"/>
    <col min="10773" max="10773" width="22" style="58" customWidth="1"/>
    <col min="10774" max="10774" width="9.140625" style="58" customWidth="1"/>
    <col min="10775" max="10782" width="8" style="58" customWidth="1"/>
    <col min="10783" max="10786" width="9" style="58"/>
    <col min="10787" max="10787" width="8.7109375" style="58" customWidth="1"/>
    <col min="10788" max="10788" width="9" style="58" customWidth="1"/>
    <col min="10789" max="10790" width="9" style="58"/>
    <col min="10791" max="10791" width="9.85546875" style="58" bestFit="1" customWidth="1"/>
    <col min="10792" max="11027" width="9" style="58"/>
    <col min="11028" max="11028" width="4.140625" style="58" bestFit="1" customWidth="1"/>
    <col min="11029" max="11029" width="22" style="58" customWidth="1"/>
    <col min="11030" max="11030" width="9.140625" style="58" customWidth="1"/>
    <col min="11031" max="11038" width="8" style="58" customWidth="1"/>
    <col min="11039" max="11042" width="9" style="58"/>
    <col min="11043" max="11043" width="8.7109375" style="58" customWidth="1"/>
    <col min="11044" max="11044" width="9" style="58" customWidth="1"/>
    <col min="11045" max="11046" width="9" style="58"/>
    <col min="11047" max="11047" width="9.85546875" style="58" bestFit="1" customWidth="1"/>
    <col min="11048" max="11283" width="9" style="58"/>
    <col min="11284" max="11284" width="4.140625" style="58" bestFit="1" customWidth="1"/>
    <col min="11285" max="11285" width="22" style="58" customWidth="1"/>
    <col min="11286" max="11286" width="9.140625" style="58" customWidth="1"/>
    <col min="11287" max="11294" width="8" style="58" customWidth="1"/>
    <col min="11295" max="11298" width="9" style="58"/>
    <col min="11299" max="11299" width="8.7109375" style="58" customWidth="1"/>
    <col min="11300" max="11300" width="9" style="58" customWidth="1"/>
    <col min="11301" max="11302" width="9" style="58"/>
    <col min="11303" max="11303" width="9.85546875" style="58" bestFit="1" customWidth="1"/>
    <col min="11304" max="11539" width="9" style="58"/>
    <col min="11540" max="11540" width="4.140625" style="58" bestFit="1" customWidth="1"/>
    <col min="11541" max="11541" width="22" style="58" customWidth="1"/>
    <col min="11542" max="11542" width="9.140625" style="58" customWidth="1"/>
    <col min="11543" max="11550" width="8" style="58" customWidth="1"/>
    <col min="11551" max="11554" width="9" style="58"/>
    <col min="11555" max="11555" width="8.7109375" style="58" customWidth="1"/>
    <col min="11556" max="11556" width="9" style="58" customWidth="1"/>
    <col min="11557" max="11558" width="9" style="58"/>
    <col min="11559" max="11559" width="9.85546875" style="58" bestFit="1" customWidth="1"/>
    <col min="11560" max="11795" width="9" style="58"/>
    <col min="11796" max="11796" width="4.140625" style="58" bestFit="1" customWidth="1"/>
    <col min="11797" max="11797" width="22" style="58" customWidth="1"/>
    <col min="11798" max="11798" width="9.140625" style="58" customWidth="1"/>
    <col min="11799" max="11806" width="8" style="58" customWidth="1"/>
    <col min="11807" max="11810" width="9" style="58"/>
    <col min="11811" max="11811" width="8.7109375" style="58" customWidth="1"/>
    <col min="11812" max="11812" width="9" style="58" customWidth="1"/>
    <col min="11813" max="11814" width="9" style="58"/>
    <col min="11815" max="11815" width="9.85546875" style="58" bestFit="1" customWidth="1"/>
    <col min="11816" max="12051" width="9" style="58"/>
    <col min="12052" max="12052" width="4.140625" style="58" bestFit="1" customWidth="1"/>
    <col min="12053" max="12053" width="22" style="58" customWidth="1"/>
    <col min="12054" max="12054" width="9.140625" style="58" customWidth="1"/>
    <col min="12055" max="12062" width="8" style="58" customWidth="1"/>
    <col min="12063" max="12066" width="9" style="58"/>
    <col min="12067" max="12067" width="8.7109375" style="58" customWidth="1"/>
    <col min="12068" max="12068" width="9" style="58" customWidth="1"/>
    <col min="12069" max="12070" width="9" style="58"/>
    <col min="12071" max="12071" width="9.85546875" style="58" bestFit="1" customWidth="1"/>
    <col min="12072" max="12307" width="9" style="58"/>
    <col min="12308" max="12308" width="4.140625" style="58" bestFit="1" customWidth="1"/>
    <col min="12309" max="12309" width="22" style="58" customWidth="1"/>
    <col min="12310" max="12310" width="9.140625" style="58" customWidth="1"/>
    <col min="12311" max="12318" width="8" style="58" customWidth="1"/>
    <col min="12319" max="12322" width="9" style="58"/>
    <col min="12323" max="12323" width="8.7109375" style="58" customWidth="1"/>
    <col min="12324" max="12324" width="9" style="58" customWidth="1"/>
    <col min="12325" max="12326" width="9" style="58"/>
    <col min="12327" max="12327" width="9.85546875" style="58" bestFit="1" customWidth="1"/>
    <col min="12328" max="12563" width="9" style="58"/>
    <col min="12564" max="12564" width="4.140625" style="58" bestFit="1" customWidth="1"/>
    <col min="12565" max="12565" width="22" style="58" customWidth="1"/>
    <col min="12566" max="12566" width="9.140625" style="58" customWidth="1"/>
    <col min="12567" max="12574" width="8" style="58" customWidth="1"/>
    <col min="12575" max="12578" width="9" style="58"/>
    <col min="12579" max="12579" width="8.7109375" style="58" customWidth="1"/>
    <col min="12580" max="12580" width="9" style="58" customWidth="1"/>
    <col min="12581" max="12582" width="9" style="58"/>
    <col min="12583" max="12583" width="9.85546875" style="58" bestFit="1" customWidth="1"/>
    <col min="12584" max="12819" width="9" style="58"/>
    <col min="12820" max="12820" width="4.140625" style="58" bestFit="1" customWidth="1"/>
    <col min="12821" max="12821" width="22" style="58" customWidth="1"/>
    <col min="12822" max="12822" width="9.140625" style="58" customWidth="1"/>
    <col min="12823" max="12830" width="8" style="58" customWidth="1"/>
    <col min="12831" max="12834" width="9" style="58"/>
    <col min="12835" max="12835" width="8.7109375" style="58" customWidth="1"/>
    <col min="12836" max="12836" width="9" style="58" customWidth="1"/>
    <col min="12837" max="12838" width="9" style="58"/>
    <col min="12839" max="12839" width="9.85546875" style="58" bestFit="1" customWidth="1"/>
    <col min="12840" max="13075" width="9" style="58"/>
    <col min="13076" max="13076" width="4.140625" style="58" bestFit="1" customWidth="1"/>
    <col min="13077" max="13077" width="22" style="58" customWidth="1"/>
    <col min="13078" max="13078" width="9.140625" style="58" customWidth="1"/>
    <col min="13079" max="13086" width="8" style="58" customWidth="1"/>
    <col min="13087" max="13090" width="9" style="58"/>
    <col min="13091" max="13091" width="8.7109375" style="58" customWidth="1"/>
    <col min="13092" max="13092" width="9" style="58" customWidth="1"/>
    <col min="13093" max="13094" width="9" style="58"/>
    <col min="13095" max="13095" width="9.85546875" style="58" bestFit="1" customWidth="1"/>
    <col min="13096" max="13331" width="9" style="58"/>
    <col min="13332" max="13332" width="4.140625" style="58" bestFit="1" customWidth="1"/>
    <col min="13333" max="13333" width="22" style="58" customWidth="1"/>
    <col min="13334" max="13334" width="9.140625" style="58" customWidth="1"/>
    <col min="13335" max="13342" width="8" style="58" customWidth="1"/>
    <col min="13343" max="13346" width="9" style="58"/>
    <col min="13347" max="13347" width="8.7109375" style="58" customWidth="1"/>
    <col min="13348" max="13348" width="9" style="58" customWidth="1"/>
    <col min="13349" max="13350" width="9" style="58"/>
    <col min="13351" max="13351" width="9.85546875" style="58" bestFit="1" customWidth="1"/>
    <col min="13352" max="13587" width="9" style="58"/>
    <col min="13588" max="13588" width="4.140625" style="58" bestFit="1" customWidth="1"/>
    <col min="13589" max="13589" width="22" style="58" customWidth="1"/>
    <col min="13590" max="13590" width="9.140625" style="58" customWidth="1"/>
    <col min="13591" max="13598" width="8" style="58" customWidth="1"/>
    <col min="13599" max="13602" width="9" style="58"/>
    <col min="13603" max="13603" width="8.7109375" style="58" customWidth="1"/>
    <col min="13604" max="13604" width="9" style="58" customWidth="1"/>
    <col min="13605" max="13606" width="9" style="58"/>
    <col min="13607" max="13607" width="9.85546875" style="58" bestFit="1" customWidth="1"/>
    <col min="13608" max="13843" width="9" style="58"/>
    <col min="13844" max="13844" width="4.140625" style="58" bestFit="1" customWidth="1"/>
    <col min="13845" max="13845" width="22" style="58" customWidth="1"/>
    <col min="13846" max="13846" width="9.140625" style="58" customWidth="1"/>
    <col min="13847" max="13854" width="8" style="58" customWidth="1"/>
    <col min="13855" max="13858" width="9" style="58"/>
    <col min="13859" max="13859" width="8.7109375" style="58" customWidth="1"/>
    <col min="13860" max="13860" width="9" style="58" customWidth="1"/>
    <col min="13861" max="13862" width="9" style="58"/>
    <col min="13863" max="13863" width="9.85546875" style="58" bestFit="1" customWidth="1"/>
    <col min="13864" max="14099" width="9" style="58"/>
    <col min="14100" max="14100" width="4.140625" style="58" bestFit="1" customWidth="1"/>
    <col min="14101" max="14101" width="22" style="58" customWidth="1"/>
    <col min="14102" max="14102" width="9.140625" style="58" customWidth="1"/>
    <col min="14103" max="14110" width="8" style="58" customWidth="1"/>
    <col min="14111" max="14114" width="9" style="58"/>
    <col min="14115" max="14115" width="8.7109375" style="58" customWidth="1"/>
    <col min="14116" max="14116" width="9" style="58" customWidth="1"/>
    <col min="14117" max="14118" width="9" style="58"/>
    <col min="14119" max="14119" width="9.85546875" style="58" bestFit="1" customWidth="1"/>
    <col min="14120" max="14355" width="9" style="58"/>
    <col min="14356" max="14356" width="4.140625" style="58" bestFit="1" customWidth="1"/>
    <col min="14357" max="14357" width="22" style="58" customWidth="1"/>
    <col min="14358" max="14358" width="9.140625" style="58" customWidth="1"/>
    <col min="14359" max="14366" width="8" style="58" customWidth="1"/>
    <col min="14367" max="14370" width="9" style="58"/>
    <col min="14371" max="14371" width="8.7109375" style="58" customWidth="1"/>
    <col min="14372" max="14372" width="9" style="58" customWidth="1"/>
    <col min="14373" max="14374" width="9" style="58"/>
    <col min="14375" max="14375" width="9.85546875" style="58" bestFit="1" customWidth="1"/>
    <col min="14376" max="14611" width="9" style="58"/>
    <col min="14612" max="14612" width="4.140625" style="58" bestFit="1" customWidth="1"/>
    <col min="14613" max="14613" width="22" style="58" customWidth="1"/>
    <col min="14614" max="14614" width="9.140625" style="58" customWidth="1"/>
    <col min="14615" max="14622" width="8" style="58" customWidth="1"/>
    <col min="14623" max="14626" width="9" style="58"/>
    <col min="14627" max="14627" width="8.7109375" style="58" customWidth="1"/>
    <col min="14628" max="14628" width="9" style="58" customWidth="1"/>
    <col min="14629" max="14630" width="9" style="58"/>
    <col min="14631" max="14631" width="9.85546875" style="58" bestFit="1" customWidth="1"/>
    <col min="14632" max="14867" width="9" style="58"/>
    <col min="14868" max="14868" width="4.140625" style="58" bestFit="1" customWidth="1"/>
    <col min="14869" max="14869" width="22" style="58" customWidth="1"/>
    <col min="14870" max="14870" width="9.140625" style="58" customWidth="1"/>
    <col min="14871" max="14878" width="8" style="58" customWidth="1"/>
    <col min="14879" max="14882" width="9" style="58"/>
    <col min="14883" max="14883" width="8.7109375" style="58" customWidth="1"/>
    <col min="14884" max="14884" width="9" style="58" customWidth="1"/>
    <col min="14885" max="14886" width="9" style="58"/>
    <col min="14887" max="14887" width="9.85546875" style="58" bestFit="1" customWidth="1"/>
    <col min="14888" max="15123" width="9" style="58"/>
    <col min="15124" max="15124" width="4.140625" style="58" bestFit="1" customWidth="1"/>
    <col min="15125" max="15125" width="22" style="58" customWidth="1"/>
    <col min="15126" max="15126" width="9.140625" style="58" customWidth="1"/>
    <col min="15127" max="15134" width="8" style="58" customWidth="1"/>
    <col min="15135" max="15138" width="9" style="58"/>
    <col min="15139" max="15139" width="8.7109375" style="58" customWidth="1"/>
    <col min="15140" max="15140" width="9" style="58" customWidth="1"/>
    <col min="15141" max="15142" width="9" style="58"/>
    <col min="15143" max="15143" width="9.85546875" style="58" bestFit="1" customWidth="1"/>
    <col min="15144" max="15379" width="9" style="58"/>
    <col min="15380" max="15380" width="4.140625" style="58" bestFit="1" customWidth="1"/>
    <col min="15381" max="15381" width="22" style="58" customWidth="1"/>
    <col min="15382" max="15382" width="9.140625" style="58" customWidth="1"/>
    <col min="15383" max="15390" width="8" style="58" customWidth="1"/>
    <col min="15391" max="15394" width="9" style="58"/>
    <col min="15395" max="15395" width="8.7109375" style="58" customWidth="1"/>
    <col min="15396" max="15396" width="9" style="58" customWidth="1"/>
    <col min="15397" max="15398" width="9" style="58"/>
    <col min="15399" max="15399" width="9.85546875" style="58" bestFit="1" customWidth="1"/>
    <col min="15400" max="15635" width="9" style="58"/>
    <col min="15636" max="15636" width="4.140625" style="58" bestFit="1" customWidth="1"/>
    <col min="15637" max="15637" width="22" style="58" customWidth="1"/>
    <col min="15638" max="15638" width="9.140625" style="58" customWidth="1"/>
    <col min="15639" max="15646" width="8" style="58" customWidth="1"/>
    <col min="15647" max="15650" width="9" style="58"/>
    <col min="15651" max="15651" width="8.7109375" style="58" customWidth="1"/>
    <col min="15652" max="15652" width="9" style="58" customWidth="1"/>
    <col min="15653" max="15654" width="9" style="58"/>
    <col min="15655" max="15655" width="9.85546875" style="58" bestFit="1" customWidth="1"/>
    <col min="15656" max="15891" width="9" style="58"/>
    <col min="15892" max="15892" width="4.140625" style="58" bestFit="1" customWidth="1"/>
    <col min="15893" max="15893" width="22" style="58" customWidth="1"/>
    <col min="15894" max="15894" width="9.140625" style="58" customWidth="1"/>
    <col min="15895" max="15902" width="8" style="58" customWidth="1"/>
    <col min="15903" max="15906" width="9" style="58"/>
    <col min="15907" max="15907" width="8.7109375" style="58" customWidth="1"/>
    <col min="15908" max="15908" width="9" style="58" customWidth="1"/>
    <col min="15909" max="15910" width="9" style="58"/>
    <col min="15911" max="15911" width="9.85546875" style="58" bestFit="1" customWidth="1"/>
    <col min="15912" max="16147" width="9" style="58"/>
    <col min="16148" max="16148" width="4.140625" style="58" bestFit="1" customWidth="1"/>
    <col min="16149" max="16149" width="22" style="58" customWidth="1"/>
    <col min="16150" max="16150" width="9.140625" style="58" customWidth="1"/>
    <col min="16151" max="16158" width="8" style="58" customWidth="1"/>
    <col min="16159" max="16162" width="9" style="58"/>
    <col min="16163" max="16163" width="8.7109375" style="58" customWidth="1"/>
    <col min="16164" max="16164" width="9" style="58" customWidth="1"/>
    <col min="16165" max="16166" width="9" style="58"/>
    <col min="16167" max="16167" width="9.85546875" style="58" bestFit="1" customWidth="1"/>
    <col min="16168" max="16384" width="9" style="58"/>
  </cols>
  <sheetData>
    <row r="2" spans="1:116">
      <c r="D2" s="58" t="s">
        <v>562</v>
      </c>
      <c r="E2" s="444">
        <f>C173+D173+E173+F173+H173</f>
        <v>9522</v>
      </c>
      <c r="G2" s="58" t="s">
        <v>650</v>
      </c>
      <c r="H2" s="446">
        <f>C285+D285+F285+H285</f>
        <v>3863</v>
      </c>
      <c r="J2" s="58" t="s">
        <v>637</v>
      </c>
    </row>
    <row r="3" spans="1:116" s="61" customFormat="1" ht="20.25">
      <c r="B3" s="304"/>
      <c r="C3" s="304"/>
      <c r="D3" s="58" t="s">
        <v>594</v>
      </c>
      <c r="E3" s="445">
        <f>C227+E227</f>
        <v>1898</v>
      </c>
      <c r="F3" s="304"/>
      <c r="G3" s="58" t="s">
        <v>634</v>
      </c>
      <c r="H3" s="455">
        <f>C431+D431+E431+F431+G431+H431</f>
        <v>11409</v>
      </c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</row>
    <row r="5" spans="1:116">
      <c r="A5" s="305" t="s">
        <v>233</v>
      </c>
      <c r="B5" s="306" t="s">
        <v>5</v>
      </c>
      <c r="C5" s="1086" t="s">
        <v>30</v>
      </c>
      <c r="D5" s="1087"/>
      <c r="E5" s="1087"/>
      <c r="F5" s="1087"/>
      <c r="G5" s="1087"/>
      <c r="H5" s="1087"/>
      <c r="I5" s="1087"/>
      <c r="J5" s="1087"/>
      <c r="K5" s="1087"/>
      <c r="L5" s="1087"/>
      <c r="M5" s="1087"/>
      <c r="N5" s="1087"/>
      <c r="O5" s="1087"/>
      <c r="P5" s="1087"/>
      <c r="Q5" s="1087"/>
      <c r="R5" s="1087"/>
      <c r="S5" s="1087"/>
      <c r="T5" s="1088"/>
      <c r="U5" s="1086" t="s">
        <v>32</v>
      </c>
      <c r="V5" s="1087"/>
      <c r="W5" s="1087"/>
      <c r="X5" s="1087"/>
      <c r="Y5" s="1087"/>
      <c r="Z5" s="1087"/>
      <c r="AA5" s="1087"/>
      <c r="AB5" s="1087"/>
      <c r="AC5" s="1087"/>
      <c r="AD5" s="1087"/>
      <c r="AE5" s="1087"/>
      <c r="AF5" s="1087"/>
      <c r="AG5" s="1087"/>
      <c r="AH5" s="1087"/>
      <c r="AI5" s="1087"/>
      <c r="AJ5" s="1087"/>
      <c r="AK5" s="1087"/>
      <c r="AL5" s="1087"/>
      <c r="AM5" s="1088"/>
      <c r="AN5" s="1083" t="s">
        <v>232</v>
      </c>
      <c r="AO5" s="1085"/>
      <c r="AP5" s="1084"/>
      <c r="AQ5" s="307" t="s">
        <v>231</v>
      </c>
      <c r="AR5" s="1083" t="s">
        <v>37</v>
      </c>
      <c r="AS5" s="1085"/>
      <c r="AT5" s="1085"/>
      <c r="AU5" s="1085"/>
      <c r="AV5" s="1084"/>
      <c r="AW5" s="1083" t="s">
        <v>230</v>
      </c>
      <c r="AX5" s="1085"/>
      <c r="AY5" s="1084"/>
      <c r="AZ5" s="1083" t="s">
        <v>229</v>
      </c>
      <c r="BA5" s="1085"/>
      <c r="BB5" s="1085"/>
      <c r="BC5" s="1085"/>
      <c r="BD5" s="1085"/>
      <c r="BE5" s="1085"/>
      <c r="BF5" s="1085"/>
      <c r="BG5" s="1085"/>
      <c r="BH5" s="1085"/>
      <c r="BI5" s="1085"/>
      <c r="BJ5" s="1085"/>
      <c r="BK5" s="1085"/>
      <c r="BL5" s="1085"/>
      <c r="BM5" s="1085"/>
      <c r="BN5" s="1085"/>
      <c r="BO5" s="1085"/>
      <c r="BP5" s="1085"/>
      <c r="BQ5" s="1085"/>
      <c r="BR5" s="1085"/>
      <c r="BS5" s="1085"/>
      <c r="BT5" s="1085"/>
      <c r="BU5" s="1085"/>
      <c r="BV5" s="1085"/>
      <c r="BW5" s="1085"/>
      <c r="BX5" s="1085"/>
      <c r="BY5" s="1085"/>
      <c r="BZ5" s="1085"/>
      <c r="CA5" s="1085"/>
      <c r="CB5" s="1085"/>
      <c r="CC5" s="1085"/>
      <c r="CD5" s="1085"/>
      <c r="CE5" s="1085"/>
      <c r="CF5" s="1085"/>
      <c r="CG5" s="1085"/>
      <c r="CH5" s="1085"/>
      <c r="CI5" s="1085"/>
      <c r="CJ5" s="1085"/>
      <c r="CK5" s="1085"/>
      <c r="CL5" s="1085"/>
      <c r="CM5" s="1085"/>
      <c r="CN5" s="1085"/>
      <c r="CO5" s="1085"/>
      <c r="CP5" s="1085"/>
      <c r="CQ5" s="1084"/>
      <c r="CR5" s="470"/>
      <c r="CS5" s="470"/>
      <c r="CT5" s="1080" t="s">
        <v>250</v>
      </c>
      <c r="CU5" s="1081"/>
      <c r="CV5" s="1081"/>
      <c r="CW5" s="1081"/>
      <c r="CX5" s="1081"/>
      <c r="CY5" s="1081"/>
      <c r="CZ5" s="1081"/>
      <c r="DA5" s="1081"/>
      <c r="DB5" s="1081"/>
      <c r="DC5" s="1082"/>
    </row>
    <row r="6" spans="1:116" ht="18">
      <c r="A6" s="308"/>
      <c r="B6" s="309"/>
      <c r="C6" s="310" t="s">
        <v>19</v>
      </c>
      <c r="D6" s="310" t="s">
        <v>228</v>
      </c>
      <c r="E6" s="310" t="s">
        <v>21</v>
      </c>
      <c r="F6" s="310" t="s">
        <v>22</v>
      </c>
      <c r="G6" s="310" t="s">
        <v>23</v>
      </c>
      <c r="H6" s="310" t="s">
        <v>24</v>
      </c>
      <c r="I6" s="310" t="s">
        <v>25</v>
      </c>
      <c r="J6" s="310" t="s">
        <v>227</v>
      </c>
      <c r="K6" s="310" t="s">
        <v>226</v>
      </c>
      <c r="L6" s="310" t="s">
        <v>225</v>
      </c>
      <c r="M6" s="310" t="s">
        <v>224</v>
      </c>
      <c r="N6" s="310" t="s">
        <v>223</v>
      </c>
      <c r="O6" s="310" t="s">
        <v>222</v>
      </c>
      <c r="P6" s="310" t="s">
        <v>244</v>
      </c>
      <c r="Q6" s="310" t="s">
        <v>245</v>
      </c>
      <c r="R6" s="310" t="s">
        <v>246</v>
      </c>
      <c r="S6" s="310" t="s">
        <v>247</v>
      </c>
      <c r="T6" s="305" t="s">
        <v>221</v>
      </c>
      <c r="U6" s="1083" t="s">
        <v>220</v>
      </c>
      <c r="V6" s="1084"/>
      <c r="W6" s="305" t="s">
        <v>219</v>
      </c>
      <c r="X6" s="311" t="s">
        <v>218</v>
      </c>
      <c r="Y6" s="312" t="s">
        <v>217</v>
      </c>
      <c r="Z6" s="1083" t="s">
        <v>510</v>
      </c>
      <c r="AA6" s="1084"/>
      <c r="AB6" s="313" t="s">
        <v>214</v>
      </c>
      <c r="AC6" s="313" t="s">
        <v>214</v>
      </c>
      <c r="AD6" s="305" t="s">
        <v>216</v>
      </c>
      <c r="AE6" s="313" t="s">
        <v>213</v>
      </c>
      <c r="AF6" s="313" t="s">
        <v>213</v>
      </c>
      <c r="AG6" s="313" t="s">
        <v>213</v>
      </c>
      <c r="AH6" s="314" t="s">
        <v>216</v>
      </c>
      <c r="AI6" s="314" t="s">
        <v>215</v>
      </c>
      <c r="AJ6" s="313" t="s">
        <v>214</v>
      </c>
      <c r="AK6" s="313" t="s">
        <v>214</v>
      </c>
      <c r="AL6" s="313" t="s">
        <v>213</v>
      </c>
      <c r="AM6" s="313" t="s">
        <v>212</v>
      </c>
      <c r="AN6" s="315" t="s">
        <v>211</v>
      </c>
      <c r="AO6" s="316" t="s">
        <v>210</v>
      </c>
      <c r="AP6" s="316" t="s">
        <v>209</v>
      </c>
      <c r="AQ6" s="317"/>
      <c r="AR6" s="318" t="s">
        <v>111</v>
      </c>
      <c r="AS6" s="318" t="s">
        <v>208</v>
      </c>
      <c r="AT6" s="318" t="s">
        <v>110</v>
      </c>
      <c r="AU6" s="318" t="s">
        <v>108</v>
      </c>
      <c r="AV6" s="318" t="s">
        <v>106</v>
      </c>
      <c r="AW6" s="306" t="s">
        <v>207</v>
      </c>
      <c r="AX6" s="305" t="s">
        <v>206</v>
      </c>
      <c r="AY6" s="305" t="s">
        <v>205</v>
      </c>
      <c r="AZ6" s="319" t="s">
        <v>204</v>
      </c>
      <c r="BA6" s="319" t="s">
        <v>203</v>
      </c>
      <c r="BB6" s="319" t="s">
        <v>202</v>
      </c>
      <c r="BC6" s="319" t="s">
        <v>201</v>
      </c>
      <c r="BD6" s="319" t="s">
        <v>432</v>
      </c>
      <c r="BE6" s="319" t="s">
        <v>433</v>
      </c>
      <c r="BF6" s="319" t="s">
        <v>712</v>
      </c>
      <c r="BG6" s="319" t="s">
        <v>434</v>
      </c>
      <c r="BH6" s="319" t="s">
        <v>435</v>
      </c>
      <c r="BI6" s="319" t="s">
        <v>436</v>
      </c>
      <c r="BJ6" s="319" t="s">
        <v>437</v>
      </c>
      <c r="BK6" s="319" t="s">
        <v>438</v>
      </c>
      <c r="BL6" s="319" t="s">
        <v>439</v>
      </c>
      <c r="BM6" s="319" t="s">
        <v>440</v>
      </c>
      <c r="BN6" s="319" t="s">
        <v>441</v>
      </c>
      <c r="BO6" s="319" t="s">
        <v>459</v>
      </c>
      <c r="BP6" s="319" t="s">
        <v>713</v>
      </c>
      <c r="BQ6" s="319" t="s">
        <v>460</v>
      </c>
      <c r="BR6" s="319" t="s">
        <v>461</v>
      </c>
      <c r="BS6" s="320" t="s">
        <v>462</v>
      </c>
      <c r="BT6" s="320" t="s">
        <v>708</v>
      </c>
      <c r="BU6" s="320" t="s">
        <v>709</v>
      </c>
      <c r="BV6" s="320"/>
      <c r="BW6" s="307" t="s">
        <v>200</v>
      </c>
      <c r="BX6" s="307" t="s">
        <v>722</v>
      </c>
      <c r="BY6" s="307" t="s">
        <v>199</v>
      </c>
      <c r="BZ6" s="307" t="s">
        <v>198</v>
      </c>
      <c r="CA6" s="307" t="s">
        <v>197</v>
      </c>
      <c r="CB6" s="307" t="s">
        <v>196</v>
      </c>
      <c r="CC6" s="307" t="s">
        <v>723</v>
      </c>
      <c r="CD6" s="307" t="s">
        <v>195</v>
      </c>
      <c r="CE6" s="307" t="s">
        <v>724</v>
      </c>
      <c r="CF6" s="307" t="s">
        <v>194</v>
      </c>
      <c r="CG6" s="307" t="s">
        <v>725</v>
      </c>
      <c r="CH6" s="307" t="s">
        <v>193</v>
      </c>
      <c r="CI6" s="307" t="s">
        <v>192</v>
      </c>
      <c r="CJ6" s="307" t="s">
        <v>191</v>
      </c>
      <c r="CK6" s="307" t="s">
        <v>726</v>
      </c>
      <c r="CL6" s="307" t="s">
        <v>727</v>
      </c>
      <c r="CM6" s="307" t="s">
        <v>190</v>
      </c>
      <c r="CN6" s="307" t="s">
        <v>189</v>
      </c>
      <c r="CO6" s="307" t="s">
        <v>188</v>
      </c>
      <c r="CP6" s="307" t="s">
        <v>187</v>
      </c>
      <c r="CQ6" s="313" t="s">
        <v>186</v>
      </c>
      <c r="CR6" s="313" t="s">
        <v>710</v>
      </c>
      <c r="CS6" s="313" t="s">
        <v>711</v>
      </c>
      <c r="CT6" s="321" t="s">
        <v>465</v>
      </c>
      <c r="CU6" s="321" t="s">
        <v>466</v>
      </c>
      <c r="CV6" s="321" t="s">
        <v>466</v>
      </c>
      <c r="CW6" s="321" t="s">
        <v>585</v>
      </c>
      <c r="CX6" s="321" t="s">
        <v>466</v>
      </c>
      <c r="CY6" s="321" t="s">
        <v>466</v>
      </c>
      <c r="CZ6" s="321" t="s">
        <v>468</v>
      </c>
      <c r="DA6" s="321" t="s">
        <v>467</v>
      </c>
      <c r="DB6" s="321" t="s">
        <v>469</v>
      </c>
      <c r="DC6" s="322" t="s">
        <v>654</v>
      </c>
    </row>
    <row r="7" spans="1:116" ht="19.5" customHeight="1">
      <c r="A7" s="308"/>
      <c r="B7" s="309"/>
      <c r="C7" s="323" t="s">
        <v>178</v>
      </c>
      <c r="D7" s="323" t="s">
        <v>178</v>
      </c>
      <c r="E7" s="323" t="s">
        <v>454</v>
      </c>
      <c r="F7" s="323" t="s">
        <v>451</v>
      </c>
      <c r="G7" s="324" t="s">
        <v>453</v>
      </c>
      <c r="H7" s="323" t="s">
        <v>178</v>
      </c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17" t="s">
        <v>185</v>
      </c>
      <c r="U7" s="325" t="s">
        <v>507</v>
      </c>
      <c r="V7" s="325" t="s">
        <v>508</v>
      </c>
      <c r="W7" s="317"/>
      <c r="X7" s="326"/>
      <c r="Y7" s="327"/>
      <c r="Z7" s="307">
        <v>1</v>
      </c>
      <c r="AA7" s="307">
        <v>2</v>
      </c>
      <c r="AB7" s="314" t="s">
        <v>178</v>
      </c>
      <c r="AC7" s="313" t="s">
        <v>511</v>
      </c>
      <c r="AD7" s="307" t="s">
        <v>512</v>
      </c>
      <c r="AE7" s="313"/>
      <c r="AF7" s="313"/>
      <c r="AG7" s="313"/>
      <c r="AH7" s="313"/>
      <c r="AI7" s="313"/>
      <c r="AJ7" s="313"/>
      <c r="AK7" s="313"/>
      <c r="AL7" s="313"/>
      <c r="AM7" s="313"/>
      <c r="AN7" s="308"/>
      <c r="AO7" s="309"/>
      <c r="AP7" s="309"/>
      <c r="AQ7" s="308"/>
      <c r="AR7" s="317" t="s">
        <v>184</v>
      </c>
      <c r="AS7" s="317" t="s">
        <v>183</v>
      </c>
      <c r="AT7" s="317" t="s">
        <v>182</v>
      </c>
      <c r="AU7" s="317"/>
      <c r="AV7" s="317"/>
      <c r="AW7" s="325" t="s">
        <v>513</v>
      </c>
      <c r="AX7" s="317" t="s">
        <v>514</v>
      </c>
      <c r="AY7" s="317"/>
      <c r="AZ7" s="315">
        <f>4.15*2.85</f>
        <v>11.827500000000001</v>
      </c>
      <c r="BA7" s="305">
        <f>5.4*2.85</f>
        <v>15.390000000000002</v>
      </c>
      <c r="BB7" s="305">
        <f>5.4*2.85</f>
        <v>15.390000000000002</v>
      </c>
      <c r="BC7" s="305">
        <f>2.1*2.85</f>
        <v>5.9850000000000003</v>
      </c>
      <c r="BD7" s="305">
        <f>0.8*2.05</f>
        <v>1.64</v>
      </c>
      <c r="BE7" s="305">
        <f>2.1*2.85</f>
        <v>5.9850000000000003</v>
      </c>
      <c r="BF7" s="305">
        <f>2.1*2.5</f>
        <v>5.25</v>
      </c>
      <c r="BG7" s="305">
        <f>2*2.1</f>
        <v>4.2</v>
      </c>
      <c r="BH7" s="305">
        <f>7.4*2.85</f>
        <v>21.090000000000003</v>
      </c>
      <c r="BI7" s="305">
        <f>2.1*2.85</f>
        <v>5.9850000000000003</v>
      </c>
      <c r="BJ7" s="305">
        <f>1.1*2.05</f>
        <v>2.2549999999999999</v>
      </c>
      <c r="BK7" s="305">
        <f>1.1*2.5</f>
        <v>2.75</v>
      </c>
      <c r="BL7" s="305">
        <f>1*2.5</f>
        <v>2.5</v>
      </c>
      <c r="BM7" s="305">
        <f>1.1*2.05</f>
        <v>2.2549999999999999</v>
      </c>
      <c r="BN7" s="305">
        <f>1.1*2.5</f>
        <v>2.75</v>
      </c>
      <c r="BO7" s="305">
        <f>(2*2.85)</f>
        <v>5.7</v>
      </c>
      <c r="BP7" s="305">
        <f>(2*2.5)</f>
        <v>5</v>
      </c>
      <c r="BQ7" s="305">
        <f>7*2.5</f>
        <v>17.5</v>
      </c>
      <c r="BR7" s="305">
        <f>23.33*2.85</f>
        <v>66.490499999999997</v>
      </c>
      <c r="BS7" s="305"/>
      <c r="BT7" s="305"/>
      <c r="BU7" s="305"/>
      <c r="BV7" s="305"/>
      <c r="BW7" s="315">
        <f>1.65*5.1</f>
        <v>8.4149999999999991</v>
      </c>
      <c r="BX7" s="315">
        <f>5.1*3.75</f>
        <v>19.125</v>
      </c>
      <c r="BY7" s="305">
        <f>5.4*2.35</f>
        <v>12.690000000000001</v>
      </c>
      <c r="BZ7" s="315">
        <f>2.6*2.35</f>
        <v>6.11</v>
      </c>
      <c r="CA7" s="315">
        <f>5.1*0.4</f>
        <v>2.04</v>
      </c>
      <c r="CB7" s="305">
        <f>1.75*1.65</f>
        <v>2.8874999999999997</v>
      </c>
      <c r="CC7" s="305">
        <f>1.75*3.75</f>
        <v>6.5625</v>
      </c>
      <c r="CD7" s="305">
        <f>0.65*2.3</f>
        <v>1.4949999999999999</v>
      </c>
      <c r="CE7" s="305">
        <f>0.85*2.3</f>
        <v>1.9549999999999998</v>
      </c>
      <c r="CF7" s="315">
        <f>1.7*0.65</f>
        <v>1.105</v>
      </c>
      <c r="CG7" s="315">
        <f>1.7*0.85</f>
        <v>1.4449999999999998</v>
      </c>
      <c r="CH7" s="315">
        <f>3.42*1.65</f>
        <v>5.6429999999999998</v>
      </c>
      <c r="CI7" s="305">
        <f>3.8*0.5</f>
        <v>1.9</v>
      </c>
      <c r="CJ7" s="305">
        <f>1.9*3.75</f>
        <v>7.125</v>
      </c>
      <c r="CK7" s="305">
        <f>1.9*1.65</f>
        <v>3.1349999999999998</v>
      </c>
      <c r="CL7" s="305">
        <f>1.9*1.05</f>
        <v>1.9949999999999999</v>
      </c>
      <c r="CM7" s="315">
        <f>5.4*0.5</f>
        <v>2.7</v>
      </c>
      <c r="CN7" s="315">
        <f>7.5*2.85</f>
        <v>21.375</v>
      </c>
      <c r="CO7" s="315">
        <f>4.26*1.65</f>
        <v>7.028999999999999</v>
      </c>
      <c r="CP7" s="315">
        <f>2*1.65</f>
        <v>3.3</v>
      </c>
      <c r="CQ7" s="315">
        <f>7.4*2.1</f>
        <v>15.540000000000001</v>
      </c>
      <c r="CR7" s="315">
        <f>7.2*2.35</f>
        <v>16.920000000000002</v>
      </c>
      <c r="CS7" s="315">
        <f>0.89*1.65</f>
        <v>1.4684999999999999</v>
      </c>
      <c r="CT7" s="328"/>
      <c r="CU7" s="305" t="s">
        <v>583</v>
      </c>
      <c r="CV7" s="305" t="s">
        <v>578</v>
      </c>
      <c r="CW7" s="328"/>
      <c r="CX7" s="305" t="s">
        <v>586</v>
      </c>
      <c r="CY7" s="305" t="s">
        <v>589</v>
      </c>
      <c r="CZ7" s="328"/>
      <c r="DA7" s="328"/>
      <c r="DB7" s="328"/>
      <c r="DC7" s="328"/>
    </row>
    <row r="8" spans="1:116">
      <c r="A8" s="308"/>
      <c r="B8" s="309"/>
      <c r="C8" s="317" t="s">
        <v>456</v>
      </c>
      <c r="D8" s="317" t="s">
        <v>457</v>
      </c>
      <c r="E8" s="317" t="s">
        <v>455</v>
      </c>
      <c r="F8" s="317"/>
      <c r="G8" s="329" t="s">
        <v>452</v>
      </c>
      <c r="H8" s="317" t="s">
        <v>487</v>
      </c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08"/>
      <c r="U8" s="325" t="s">
        <v>509</v>
      </c>
      <c r="V8" s="325" t="s">
        <v>515</v>
      </c>
      <c r="W8" s="317"/>
      <c r="X8" s="330"/>
      <c r="Y8" s="317"/>
      <c r="Z8" s="317" t="s">
        <v>180</v>
      </c>
      <c r="AA8" s="317" t="s">
        <v>181</v>
      </c>
      <c r="AB8" s="305"/>
      <c r="AC8" s="305"/>
      <c r="AD8" s="305"/>
      <c r="AE8" s="305"/>
      <c r="AF8" s="305"/>
      <c r="AG8" s="305"/>
      <c r="AH8" s="317"/>
      <c r="AI8" s="317"/>
      <c r="AJ8" s="305"/>
      <c r="AK8" s="305"/>
      <c r="AL8" s="305"/>
      <c r="AM8" s="305"/>
      <c r="AN8" s="308"/>
      <c r="AO8" s="309"/>
      <c r="AP8" s="309"/>
      <c r="AQ8" s="308"/>
      <c r="AR8" s="317"/>
      <c r="AS8" s="317" t="s">
        <v>179</v>
      </c>
      <c r="AT8" s="317" t="s">
        <v>178</v>
      </c>
      <c r="AU8" s="317"/>
      <c r="AV8" s="317"/>
      <c r="AW8" s="325"/>
      <c r="AX8" s="317"/>
      <c r="AY8" s="317"/>
      <c r="AZ8" s="317">
        <v>4.1500000000000004</v>
      </c>
      <c r="BA8" s="317">
        <v>5.4</v>
      </c>
      <c r="BB8" s="317">
        <v>6.4</v>
      </c>
      <c r="BC8" s="317">
        <v>2.1</v>
      </c>
      <c r="BD8" s="317">
        <v>0.8</v>
      </c>
      <c r="BE8" s="317">
        <v>2.1</v>
      </c>
      <c r="BF8" s="317">
        <v>2.1</v>
      </c>
      <c r="BG8" s="317">
        <v>2</v>
      </c>
      <c r="BH8" s="317">
        <v>7.4</v>
      </c>
      <c r="BI8" s="317">
        <v>2.1</v>
      </c>
      <c r="BJ8" s="317">
        <v>1.1000000000000001</v>
      </c>
      <c r="BK8" s="317">
        <v>2.1</v>
      </c>
      <c r="BL8" s="317">
        <v>1</v>
      </c>
      <c r="BM8" s="317">
        <v>1.1000000000000001</v>
      </c>
      <c r="BN8" s="317">
        <v>1.1000000000000001</v>
      </c>
      <c r="BO8" s="317">
        <v>2</v>
      </c>
      <c r="BP8" s="317">
        <v>2</v>
      </c>
      <c r="BQ8" s="317">
        <v>7</v>
      </c>
      <c r="BR8" s="317">
        <v>23.33</v>
      </c>
      <c r="BS8" s="317"/>
      <c r="BT8" s="317"/>
      <c r="BU8" s="317"/>
      <c r="BV8" s="317"/>
      <c r="BW8" s="331">
        <f>5.1*2</f>
        <v>10.199999999999999</v>
      </c>
      <c r="BX8" s="331">
        <f>5.1*2</f>
        <v>10.199999999999999</v>
      </c>
      <c r="BY8" s="317">
        <f>5.4*2</f>
        <v>10.8</v>
      </c>
      <c r="BZ8" s="331">
        <f>2.6*2</f>
        <v>5.2</v>
      </c>
      <c r="CA8" s="331">
        <f>5.1*2</f>
        <v>10.199999999999999</v>
      </c>
      <c r="CB8" s="317">
        <f>1.75*2</f>
        <v>3.5</v>
      </c>
      <c r="CC8" s="317">
        <f>1.75*2</f>
        <v>3.5</v>
      </c>
      <c r="CD8" s="317">
        <f>2.3*2</f>
        <v>4.5999999999999996</v>
      </c>
      <c r="CE8" s="317">
        <f>2.3*2</f>
        <v>4.5999999999999996</v>
      </c>
      <c r="CF8" s="331">
        <f>1.7*2</f>
        <v>3.4</v>
      </c>
      <c r="CG8" s="331">
        <f>1.7*2</f>
        <v>3.4</v>
      </c>
      <c r="CH8" s="331">
        <f>3.42*2</f>
        <v>6.84</v>
      </c>
      <c r="CI8" s="317">
        <f>3.8*2</f>
        <v>7.6</v>
      </c>
      <c r="CJ8" s="317">
        <f>1.9*2</f>
        <v>3.8</v>
      </c>
      <c r="CK8" s="317">
        <f>1.9*2</f>
        <v>3.8</v>
      </c>
      <c r="CL8" s="317">
        <f>1.9*2</f>
        <v>3.8</v>
      </c>
      <c r="CM8" s="331">
        <f>5.4*2</f>
        <v>10.8</v>
      </c>
      <c r="CN8" s="331">
        <f>7.5*2</f>
        <v>15</v>
      </c>
      <c r="CO8" s="331">
        <f>4.26*2</f>
        <v>8.52</v>
      </c>
      <c r="CP8" s="317">
        <f>2*2</f>
        <v>4</v>
      </c>
      <c r="CQ8" s="317">
        <f>7.4*2</f>
        <v>14.8</v>
      </c>
      <c r="CR8" s="317">
        <f>7.2*2</f>
        <v>14.4</v>
      </c>
      <c r="CS8" s="317">
        <f>0.89*2</f>
        <v>1.78</v>
      </c>
      <c r="CT8" s="308"/>
      <c r="CU8" s="308"/>
      <c r="CV8" s="308"/>
      <c r="CW8" s="308"/>
      <c r="CX8" s="308"/>
      <c r="CY8" s="308"/>
      <c r="CZ8" s="308"/>
      <c r="DA8" s="308"/>
      <c r="DB8" s="308"/>
      <c r="DC8" s="308"/>
    </row>
    <row r="9" spans="1:116">
      <c r="A9" s="308"/>
      <c r="B9" s="309"/>
      <c r="C9" s="317"/>
      <c r="D9" s="317"/>
      <c r="E9" s="317" t="s">
        <v>458</v>
      </c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08"/>
      <c r="U9" s="325"/>
      <c r="V9" s="325"/>
      <c r="W9" s="317"/>
      <c r="X9" s="330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08"/>
      <c r="AO9" s="309"/>
      <c r="AP9" s="309"/>
      <c r="AQ9" s="308"/>
      <c r="AR9" s="317"/>
      <c r="AS9" s="317"/>
      <c r="AT9" s="317"/>
      <c r="AU9" s="317"/>
      <c r="AV9" s="317"/>
      <c r="AW9" s="325"/>
      <c r="AX9" s="317"/>
      <c r="AY9" s="317"/>
      <c r="AZ9" s="317">
        <f>2.85*2</f>
        <v>5.7</v>
      </c>
      <c r="BA9" s="317">
        <f>2.85*2</f>
        <v>5.7</v>
      </c>
      <c r="BB9" s="317">
        <f>2.85*2</f>
        <v>5.7</v>
      </c>
      <c r="BC9" s="317">
        <f t="shared" ref="BC9:BE9" si="0">2.85*2</f>
        <v>5.7</v>
      </c>
      <c r="BD9" s="317">
        <f>2.05*2</f>
        <v>4.0999999999999996</v>
      </c>
      <c r="BE9" s="317">
        <f t="shared" si="0"/>
        <v>5.7</v>
      </c>
      <c r="BF9" s="317">
        <f>2.5*2</f>
        <v>5</v>
      </c>
      <c r="BG9" s="317">
        <f>2.1*2</f>
        <v>4.2</v>
      </c>
      <c r="BH9" s="317">
        <f>2.85*2</f>
        <v>5.7</v>
      </c>
      <c r="BI9" s="317">
        <f t="shared" ref="BI9" si="1">2.85*2</f>
        <v>5.7</v>
      </c>
      <c r="BJ9" s="317">
        <f>2.05*2</f>
        <v>4.0999999999999996</v>
      </c>
      <c r="BK9" s="317">
        <f>2.5*2</f>
        <v>5</v>
      </c>
      <c r="BL9" s="317">
        <f>2.5*2</f>
        <v>5</v>
      </c>
      <c r="BM9" s="317">
        <f>2.05*2</f>
        <v>4.0999999999999996</v>
      </c>
      <c r="BN9" s="317">
        <f>2.5*2</f>
        <v>5</v>
      </c>
      <c r="BO9" s="317">
        <f>2.85*2</f>
        <v>5.7</v>
      </c>
      <c r="BP9" s="317">
        <f>2.5*2</f>
        <v>5</v>
      </c>
      <c r="BQ9" s="317">
        <f>2.5*2</f>
        <v>5</v>
      </c>
      <c r="BR9" s="317">
        <f>2.85*2</f>
        <v>5.7</v>
      </c>
      <c r="BS9" s="317">
        <f>2.5*2</f>
        <v>5</v>
      </c>
      <c r="BT9" s="317"/>
      <c r="BU9" s="317"/>
      <c r="BV9" s="317"/>
      <c r="BW9" s="331">
        <f>1.65*2</f>
        <v>3.3</v>
      </c>
      <c r="BX9" s="331">
        <f>3.75*2</f>
        <v>7.5</v>
      </c>
      <c r="BY9" s="331">
        <f>2.35*2</f>
        <v>4.7</v>
      </c>
      <c r="BZ9" s="331">
        <f>2.35*2</f>
        <v>4.7</v>
      </c>
      <c r="CA9" s="331">
        <f>0.4*2</f>
        <v>0.8</v>
      </c>
      <c r="CB9" s="317">
        <f>1.65*2</f>
        <v>3.3</v>
      </c>
      <c r="CC9" s="317">
        <f>3.75*2</f>
        <v>7.5</v>
      </c>
      <c r="CD9" s="317">
        <f>0.65*2</f>
        <v>1.3</v>
      </c>
      <c r="CE9" s="317">
        <f>0.85*2</f>
        <v>1.7</v>
      </c>
      <c r="CF9" s="331">
        <f>0.65*2</f>
        <v>1.3</v>
      </c>
      <c r="CG9" s="331">
        <f>0.85*2</f>
        <v>1.7</v>
      </c>
      <c r="CH9" s="331">
        <f>1.65*2</f>
        <v>3.3</v>
      </c>
      <c r="CI9" s="317">
        <f>0.5*2</f>
        <v>1</v>
      </c>
      <c r="CJ9" s="331">
        <f>3.75*2</f>
        <v>7.5</v>
      </c>
      <c r="CK9" s="331">
        <f>1.65*2</f>
        <v>3.3</v>
      </c>
      <c r="CL9" s="331">
        <f>1.05*2</f>
        <v>2.1</v>
      </c>
      <c r="CM9" s="331">
        <f>0.5*2</f>
        <v>1</v>
      </c>
      <c r="CN9" s="331">
        <f>2.85*2</f>
        <v>5.7</v>
      </c>
      <c r="CO9" s="331">
        <f>1.65*2</f>
        <v>3.3</v>
      </c>
      <c r="CP9" s="331">
        <f>1.65*2</f>
        <v>3.3</v>
      </c>
      <c r="CQ9" s="331">
        <f>2.1*2</f>
        <v>4.2</v>
      </c>
      <c r="CR9" s="331">
        <f>2.35*2</f>
        <v>4.7</v>
      </c>
      <c r="CS9" s="331">
        <f>1.65*2</f>
        <v>3.3</v>
      </c>
      <c r="CT9" s="308"/>
      <c r="CU9" s="308"/>
      <c r="CV9" s="308"/>
      <c r="CW9" s="308"/>
      <c r="CX9" s="308"/>
      <c r="CY9" s="308"/>
      <c r="CZ9" s="308"/>
      <c r="DA9" s="308"/>
      <c r="DB9" s="308"/>
      <c r="DC9" s="308"/>
    </row>
    <row r="10" spans="1:116">
      <c r="A10" s="332"/>
      <c r="B10" s="309" t="s">
        <v>651</v>
      </c>
      <c r="C10" s="321" t="s">
        <v>176</v>
      </c>
      <c r="D10" s="321" t="s">
        <v>176</v>
      </c>
      <c r="E10" s="321" t="s">
        <v>176</v>
      </c>
      <c r="F10" s="321" t="s">
        <v>176</v>
      </c>
      <c r="G10" s="321" t="s">
        <v>176</v>
      </c>
      <c r="H10" s="321" t="s">
        <v>176</v>
      </c>
      <c r="I10" s="321" t="s">
        <v>176</v>
      </c>
      <c r="J10" s="321" t="s">
        <v>176</v>
      </c>
      <c r="K10" s="321" t="s">
        <v>176</v>
      </c>
      <c r="L10" s="321" t="s">
        <v>176</v>
      </c>
      <c r="M10" s="321" t="s">
        <v>176</v>
      </c>
      <c r="N10" s="321" t="s">
        <v>176</v>
      </c>
      <c r="O10" s="321" t="s">
        <v>176</v>
      </c>
      <c r="P10" s="321" t="s">
        <v>176</v>
      </c>
      <c r="Q10" s="321" t="s">
        <v>176</v>
      </c>
      <c r="R10" s="321" t="s">
        <v>176</v>
      </c>
      <c r="S10" s="321" t="s">
        <v>176</v>
      </c>
      <c r="T10" s="321" t="s">
        <v>176</v>
      </c>
      <c r="U10" s="333" t="s">
        <v>176</v>
      </c>
      <c r="V10" s="333" t="s">
        <v>176</v>
      </c>
      <c r="W10" s="333" t="s">
        <v>176</v>
      </c>
      <c r="X10" s="334" t="s">
        <v>176</v>
      </c>
      <c r="Y10" s="321" t="s">
        <v>176</v>
      </c>
      <c r="Z10" s="321" t="s">
        <v>176</v>
      </c>
      <c r="AA10" s="321" t="s">
        <v>176</v>
      </c>
      <c r="AB10" s="321" t="s">
        <v>176</v>
      </c>
      <c r="AC10" s="321" t="s">
        <v>176</v>
      </c>
      <c r="AD10" s="321" t="s">
        <v>176</v>
      </c>
      <c r="AE10" s="321" t="s">
        <v>176</v>
      </c>
      <c r="AF10" s="321" t="s">
        <v>176</v>
      </c>
      <c r="AG10" s="321" t="s">
        <v>176</v>
      </c>
      <c r="AH10" s="321" t="s">
        <v>176</v>
      </c>
      <c r="AI10" s="321" t="s">
        <v>176</v>
      </c>
      <c r="AJ10" s="321" t="s">
        <v>176</v>
      </c>
      <c r="AK10" s="321" t="s">
        <v>176</v>
      </c>
      <c r="AL10" s="321" t="s">
        <v>176</v>
      </c>
      <c r="AM10" s="321" t="s">
        <v>176</v>
      </c>
      <c r="AN10" s="321" t="s">
        <v>177</v>
      </c>
      <c r="AO10" s="333" t="s">
        <v>177</v>
      </c>
      <c r="AP10" s="333" t="s">
        <v>177</v>
      </c>
      <c r="AQ10" s="321" t="s">
        <v>177</v>
      </c>
      <c r="AR10" s="321" t="s">
        <v>176</v>
      </c>
      <c r="AS10" s="321" t="s">
        <v>176</v>
      </c>
      <c r="AT10" s="321" t="s">
        <v>176</v>
      </c>
      <c r="AU10" s="321" t="s">
        <v>176</v>
      </c>
      <c r="AV10" s="321" t="s">
        <v>176</v>
      </c>
      <c r="AW10" s="333" t="s">
        <v>176</v>
      </c>
      <c r="AX10" s="321" t="s">
        <v>176</v>
      </c>
      <c r="AY10" s="321" t="s">
        <v>176</v>
      </c>
      <c r="AZ10" s="321" t="s">
        <v>175</v>
      </c>
      <c r="BA10" s="321" t="s">
        <v>175</v>
      </c>
      <c r="BB10" s="321" t="s">
        <v>175</v>
      </c>
      <c r="BC10" s="321" t="s">
        <v>175</v>
      </c>
      <c r="BD10" s="321" t="s">
        <v>175</v>
      </c>
      <c r="BE10" s="321" t="s">
        <v>175</v>
      </c>
      <c r="BF10" s="321" t="s">
        <v>175</v>
      </c>
      <c r="BG10" s="321" t="s">
        <v>175</v>
      </c>
      <c r="BH10" s="321" t="s">
        <v>175</v>
      </c>
      <c r="BI10" s="321" t="s">
        <v>175</v>
      </c>
      <c r="BJ10" s="321" t="s">
        <v>175</v>
      </c>
      <c r="BK10" s="321" t="s">
        <v>175</v>
      </c>
      <c r="BL10" s="321" t="s">
        <v>175</v>
      </c>
      <c r="BM10" s="321" t="s">
        <v>175</v>
      </c>
      <c r="BN10" s="321" t="s">
        <v>175</v>
      </c>
      <c r="BO10" s="321" t="s">
        <v>175</v>
      </c>
      <c r="BP10" s="321" t="s">
        <v>175</v>
      </c>
      <c r="BQ10" s="321" t="s">
        <v>175</v>
      </c>
      <c r="BR10" s="321" t="s">
        <v>175</v>
      </c>
      <c r="BS10" s="321" t="s">
        <v>175</v>
      </c>
      <c r="BT10" s="321" t="s">
        <v>175</v>
      </c>
      <c r="BU10" s="321" t="s">
        <v>175</v>
      </c>
      <c r="BV10" s="321"/>
      <c r="BW10" s="321" t="s">
        <v>175</v>
      </c>
      <c r="BX10" s="321" t="s">
        <v>175</v>
      </c>
      <c r="BY10" s="321" t="s">
        <v>175</v>
      </c>
      <c r="BZ10" s="321" t="s">
        <v>175</v>
      </c>
      <c r="CA10" s="321" t="s">
        <v>175</v>
      </c>
      <c r="CB10" s="321" t="s">
        <v>175</v>
      </c>
      <c r="CC10" s="321" t="s">
        <v>175</v>
      </c>
      <c r="CD10" s="321" t="s">
        <v>175</v>
      </c>
      <c r="CE10" s="321" t="s">
        <v>175</v>
      </c>
      <c r="CF10" s="321" t="s">
        <v>175</v>
      </c>
      <c r="CG10" s="321" t="s">
        <v>175</v>
      </c>
      <c r="CH10" s="321" t="s">
        <v>175</v>
      </c>
      <c r="CI10" s="321" t="s">
        <v>175</v>
      </c>
      <c r="CJ10" s="321" t="s">
        <v>175</v>
      </c>
      <c r="CK10" s="321" t="s">
        <v>175</v>
      </c>
      <c r="CL10" s="321" t="s">
        <v>175</v>
      </c>
      <c r="CM10" s="321" t="s">
        <v>175</v>
      </c>
      <c r="CN10" s="321" t="s">
        <v>175</v>
      </c>
      <c r="CO10" s="321" t="s">
        <v>175</v>
      </c>
      <c r="CP10" s="321" t="s">
        <v>175</v>
      </c>
      <c r="CQ10" s="321" t="s">
        <v>175</v>
      </c>
      <c r="CR10" s="321" t="s">
        <v>175</v>
      </c>
      <c r="CS10" s="321" t="s">
        <v>175</v>
      </c>
      <c r="CT10" s="321" t="s">
        <v>176</v>
      </c>
      <c r="CU10" s="321" t="s">
        <v>177</v>
      </c>
      <c r="CV10" s="321" t="s">
        <v>177</v>
      </c>
      <c r="CW10" s="321" t="s">
        <v>176</v>
      </c>
      <c r="CX10" s="321" t="s">
        <v>177</v>
      </c>
      <c r="CY10" s="321"/>
      <c r="CZ10" s="321" t="s">
        <v>177</v>
      </c>
      <c r="DA10" s="321" t="s">
        <v>177</v>
      </c>
      <c r="DB10" s="321" t="s">
        <v>176</v>
      </c>
      <c r="DC10" s="321" t="s">
        <v>176</v>
      </c>
    </row>
    <row r="11" spans="1:116" s="61" customFormat="1" ht="20.25">
      <c r="A11" s="335"/>
      <c r="B11" s="336"/>
      <c r="C11" s="337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9"/>
      <c r="Q11" s="339"/>
      <c r="R11" s="339"/>
      <c r="S11" s="339"/>
      <c r="T11" s="340"/>
      <c r="U11" s="341"/>
      <c r="V11" s="341"/>
      <c r="W11" s="341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42"/>
      <c r="AQ11" s="343"/>
      <c r="AR11" s="341"/>
      <c r="AS11" s="337"/>
      <c r="AT11" s="337"/>
      <c r="AU11" s="337"/>
      <c r="AV11" s="343"/>
      <c r="AW11" s="341"/>
      <c r="AX11" s="337"/>
      <c r="AY11" s="343"/>
      <c r="AZ11" s="344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5"/>
      <c r="CC11" s="346"/>
      <c r="CD11" s="346"/>
      <c r="CE11" s="346"/>
      <c r="CF11" s="346"/>
      <c r="CG11" s="346"/>
      <c r="CH11" s="346"/>
      <c r="CI11" s="346"/>
      <c r="CJ11" s="346"/>
      <c r="CK11" s="346"/>
      <c r="CL11" s="346"/>
      <c r="CM11" s="346"/>
      <c r="CN11" s="346"/>
      <c r="CO11" s="346"/>
      <c r="CP11" s="346"/>
      <c r="CQ11" s="346"/>
      <c r="CR11" s="346"/>
      <c r="CS11" s="346"/>
      <c r="CT11" s="346"/>
      <c r="CU11" s="346"/>
      <c r="CV11" s="346"/>
      <c r="CW11" s="346"/>
      <c r="CX11" s="346"/>
      <c r="CY11" s="346"/>
      <c r="CZ11" s="346"/>
      <c r="DA11" s="346"/>
      <c r="DB11" s="346"/>
      <c r="DC11" s="340"/>
    </row>
    <row r="12" spans="1:116">
      <c r="A12" s="347"/>
      <c r="B12" s="348" t="s">
        <v>174</v>
      </c>
      <c r="C12" s="349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1"/>
      <c r="Q12" s="351"/>
      <c r="R12" s="351"/>
      <c r="S12" s="351"/>
      <c r="T12" s="352"/>
      <c r="U12" s="353"/>
      <c r="V12" s="353"/>
      <c r="W12" s="353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54"/>
      <c r="AQ12" s="352"/>
      <c r="AR12" s="355"/>
      <c r="AS12" s="356"/>
      <c r="AT12" s="356"/>
      <c r="AU12" s="356"/>
      <c r="AV12" s="357"/>
      <c r="AW12" s="355"/>
      <c r="AX12" s="356"/>
      <c r="AY12" s="357"/>
      <c r="AZ12" s="358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  <c r="BS12" s="350"/>
      <c r="BT12" s="350"/>
      <c r="BU12" s="350"/>
      <c r="BV12" s="350"/>
      <c r="BW12" s="350"/>
      <c r="BX12" s="350"/>
      <c r="BY12" s="350"/>
      <c r="BZ12" s="350"/>
      <c r="CA12" s="350"/>
      <c r="CB12" s="350"/>
      <c r="CC12" s="351"/>
      <c r="CD12" s="351"/>
      <c r="CE12" s="351"/>
      <c r="CF12" s="351"/>
      <c r="CG12" s="351"/>
      <c r="CH12" s="351"/>
      <c r="CI12" s="351"/>
      <c r="CJ12" s="351"/>
      <c r="CK12" s="351"/>
      <c r="CL12" s="351"/>
      <c r="CM12" s="351"/>
      <c r="CN12" s="351"/>
      <c r="CO12" s="351"/>
      <c r="CP12" s="351"/>
      <c r="CQ12" s="351"/>
      <c r="CR12" s="351"/>
      <c r="CS12" s="351"/>
      <c r="CT12" s="351"/>
      <c r="CU12" s="351"/>
      <c r="CV12" s="351"/>
      <c r="CW12" s="351"/>
      <c r="CX12" s="351"/>
      <c r="CY12" s="351"/>
      <c r="CZ12" s="351"/>
      <c r="DA12" s="351"/>
      <c r="DB12" s="351"/>
      <c r="DC12" s="359"/>
    </row>
    <row r="13" spans="1:116">
      <c r="A13" s="347"/>
      <c r="B13" s="358"/>
      <c r="C13" s="349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1"/>
      <c r="Q13" s="351"/>
      <c r="R13" s="351"/>
      <c r="S13" s="351"/>
      <c r="T13" s="352"/>
      <c r="U13" s="353"/>
      <c r="V13" s="353"/>
      <c r="W13" s="353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  <c r="AH13" s="349"/>
      <c r="AI13" s="349"/>
      <c r="AJ13" s="349"/>
      <c r="AK13" s="349"/>
      <c r="AL13" s="349"/>
      <c r="AM13" s="349"/>
      <c r="AN13" s="349"/>
      <c r="AO13" s="349"/>
      <c r="AP13" s="354"/>
      <c r="AQ13" s="352"/>
      <c r="AR13" s="355"/>
      <c r="AS13" s="356"/>
      <c r="AT13" s="356"/>
      <c r="AU13" s="356"/>
      <c r="AV13" s="357"/>
      <c r="AW13" s="355"/>
      <c r="AX13" s="356"/>
      <c r="AY13" s="357"/>
      <c r="AZ13" s="358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  <c r="BS13" s="350"/>
      <c r="BT13" s="350"/>
      <c r="BU13" s="350"/>
      <c r="BV13" s="350"/>
      <c r="BW13" s="350"/>
      <c r="BX13" s="350"/>
      <c r="BY13" s="350"/>
      <c r="BZ13" s="350"/>
      <c r="CA13" s="350"/>
      <c r="CB13" s="350"/>
      <c r="CC13" s="351"/>
      <c r="CD13" s="351"/>
      <c r="CE13" s="351"/>
      <c r="CF13" s="351"/>
      <c r="CG13" s="351"/>
      <c r="CH13" s="351"/>
      <c r="CI13" s="351"/>
      <c r="CJ13" s="351"/>
      <c r="CK13" s="351"/>
      <c r="CL13" s="351"/>
      <c r="CM13" s="351"/>
      <c r="CN13" s="351"/>
      <c r="CO13" s="351"/>
      <c r="CP13" s="351"/>
      <c r="CQ13" s="351"/>
      <c r="CR13" s="351"/>
      <c r="CS13" s="351"/>
      <c r="CT13" s="351"/>
      <c r="CU13" s="351"/>
      <c r="CV13" s="351"/>
      <c r="CW13" s="351"/>
      <c r="CX13" s="351"/>
      <c r="CY13" s="351"/>
      <c r="CZ13" s="351"/>
      <c r="DA13" s="351"/>
      <c r="DB13" s="351"/>
      <c r="DC13" s="359"/>
      <c r="DD13" s="330" t="s">
        <v>733</v>
      </c>
      <c r="DE13" s="330" t="s">
        <v>734</v>
      </c>
      <c r="DF13" s="330" t="s">
        <v>735</v>
      </c>
      <c r="DG13" s="330"/>
      <c r="DH13" s="330"/>
    </row>
    <row r="14" spans="1:116">
      <c r="A14" s="347"/>
      <c r="B14" s="360" t="s">
        <v>427</v>
      </c>
      <c r="C14" s="349"/>
      <c r="D14" s="350"/>
      <c r="E14" s="361"/>
      <c r="F14" s="361">
        <f>ROUNDUP(25+41.2,0)</f>
        <v>67</v>
      </c>
      <c r="G14" s="350"/>
      <c r="H14" s="350"/>
      <c r="I14" s="350"/>
      <c r="J14" s="361"/>
      <c r="K14" s="350"/>
      <c r="L14" s="350"/>
      <c r="M14" s="350"/>
      <c r="N14" s="350"/>
      <c r="O14" s="350"/>
      <c r="P14" s="351"/>
      <c r="Q14" s="351"/>
      <c r="R14" s="351"/>
      <c r="S14" s="351"/>
      <c r="T14" s="352"/>
      <c r="U14" s="353"/>
      <c r="V14" s="353"/>
      <c r="W14" s="353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  <c r="AL14" s="349"/>
      <c r="AM14" s="349"/>
      <c r="AN14" s="349"/>
      <c r="AO14" s="349"/>
      <c r="AP14" s="354"/>
      <c r="AQ14" s="352"/>
      <c r="AR14" s="355"/>
      <c r="AS14" s="356"/>
      <c r="AT14" s="362">
        <f>F14</f>
        <v>67</v>
      </c>
      <c r="AU14" s="356"/>
      <c r="AV14" s="357"/>
      <c r="AW14" s="355"/>
      <c r="AX14" s="356"/>
      <c r="AY14" s="357"/>
      <c r="AZ14" s="363">
        <v>1</v>
      </c>
      <c r="BA14" s="350"/>
      <c r="BB14" s="350"/>
      <c r="BC14" s="350"/>
      <c r="BD14" s="350"/>
      <c r="BE14" s="350"/>
      <c r="BF14" s="350"/>
      <c r="BG14" s="350"/>
      <c r="BH14" s="373">
        <v>1</v>
      </c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  <c r="CB14" s="350"/>
      <c r="CC14" s="351"/>
      <c r="CD14" s="351"/>
      <c r="CE14" s="351"/>
      <c r="CF14" s="351"/>
      <c r="CG14" s="351"/>
      <c r="CH14" s="351"/>
      <c r="CI14" s="351"/>
      <c r="CJ14" s="351"/>
      <c r="CK14" s="351"/>
      <c r="CL14" s="351"/>
      <c r="CM14" s="351"/>
      <c r="CN14" s="351"/>
      <c r="CO14" s="351"/>
      <c r="CP14" s="351"/>
      <c r="CQ14" s="351"/>
      <c r="CR14" s="351"/>
      <c r="CS14" s="351"/>
      <c r="CT14" s="351"/>
      <c r="CU14" s="351"/>
      <c r="CV14" s="351"/>
      <c r="CW14" s="351"/>
      <c r="CX14" s="351"/>
      <c r="CY14" s="351"/>
      <c r="CZ14" s="351"/>
      <c r="DA14" s="351"/>
      <c r="DB14" s="351"/>
      <c r="DC14" s="359"/>
      <c r="DD14" s="58">
        <v>1</v>
      </c>
      <c r="DI14" s="58">
        <v>1</v>
      </c>
      <c r="DJ14" s="58" t="s">
        <v>45</v>
      </c>
      <c r="DL14" s="364">
        <f>ROUNDUP(AZ7*2500,0)</f>
        <v>29569</v>
      </c>
    </row>
    <row r="15" spans="1:116" s="59" customFormat="1">
      <c r="A15" s="365"/>
      <c r="B15" s="366" t="s">
        <v>428</v>
      </c>
      <c r="C15" s="349"/>
      <c r="D15" s="367"/>
      <c r="E15" s="349"/>
      <c r="F15" s="349"/>
      <c r="G15" s="349"/>
      <c r="H15" s="367">
        <f>ROUNDUP(330.72+26.39+86.41+43.19,0)</f>
        <v>487</v>
      </c>
      <c r="I15" s="349"/>
      <c r="J15" s="349"/>
      <c r="K15" s="367"/>
      <c r="L15" s="349"/>
      <c r="M15" s="349"/>
      <c r="N15" s="349"/>
      <c r="O15" s="349"/>
      <c r="P15" s="354"/>
      <c r="Q15" s="354"/>
      <c r="R15" s="354"/>
      <c r="S15" s="354"/>
      <c r="T15" s="352"/>
      <c r="U15" s="353"/>
      <c r="V15" s="353"/>
      <c r="W15" s="353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54"/>
      <c r="AQ15" s="352"/>
      <c r="AR15" s="353"/>
      <c r="AS15" s="349"/>
      <c r="AT15" s="367"/>
      <c r="AU15" s="349"/>
      <c r="AV15" s="352"/>
      <c r="AW15" s="353"/>
      <c r="AX15" s="349"/>
      <c r="AY15" s="352"/>
      <c r="AZ15" s="353"/>
      <c r="BA15" s="349"/>
      <c r="BB15" s="349"/>
      <c r="BC15" s="349"/>
      <c r="BD15" s="349"/>
      <c r="BE15" s="349"/>
      <c r="BF15" s="349"/>
      <c r="BG15" s="349"/>
      <c r="BH15" s="349"/>
      <c r="BI15" s="349"/>
      <c r="BJ15" s="349"/>
      <c r="BK15" s="349"/>
      <c r="BL15" s="349"/>
      <c r="BM15" s="349"/>
      <c r="BN15" s="349"/>
      <c r="BO15" s="349"/>
      <c r="BP15" s="349"/>
      <c r="BQ15" s="349"/>
      <c r="BR15" s="349"/>
      <c r="BS15" s="349"/>
      <c r="BT15" s="349"/>
      <c r="BU15" s="349"/>
      <c r="BV15" s="349"/>
      <c r="BW15" s="349"/>
      <c r="BX15" s="349"/>
      <c r="BY15" s="349"/>
      <c r="BZ15" s="349"/>
      <c r="CA15" s="349"/>
      <c r="CB15" s="349"/>
      <c r="CC15" s="354"/>
      <c r="CD15" s="354"/>
      <c r="CE15" s="354"/>
      <c r="CF15" s="354"/>
      <c r="CG15" s="354"/>
      <c r="CH15" s="354"/>
      <c r="CI15" s="354"/>
      <c r="CJ15" s="354"/>
      <c r="CK15" s="354"/>
      <c r="CL15" s="354"/>
      <c r="CM15" s="354"/>
      <c r="CN15" s="354"/>
      <c r="CO15" s="354"/>
      <c r="CP15" s="354"/>
      <c r="CQ15" s="354"/>
      <c r="CR15" s="354"/>
      <c r="CS15" s="354"/>
      <c r="CT15" s="354"/>
      <c r="CU15" s="354"/>
      <c r="CV15" s="354"/>
      <c r="CW15" s="354"/>
      <c r="CX15" s="354"/>
      <c r="CY15" s="354"/>
      <c r="CZ15" s="354"/>
      <c r="DA15" s="354"/>
      <c r="DB15" s="354"/>
      <c r="DC15" s="352"/>
      <c r="DD15" s="59">
        <v>3</v>
      </c>
      <c r="DI15" s="59">
        <v>3</v>
      </c>
      <c r="DJ15" s="58" t="s">
        <v>253</v>
      </c>
      <c r="DL15" s="364">
        <f>ROUNDUP(BA7*4500,0)</f>
        <v>69255</v>
      </c>
    </row>
    <row r="16" spans="1:116" s="59" customFormat="1">
      <c r="A16" s="368"/>
      <c r="B16" s="360" t="s">
        <v>486</v>
      </c>
      <c r="C16" s="367">
        <f>ROUNDUP(25.78,0)</f>
        <v>26</v>
      </c>
      <c r="D16" s="367"/>
      <c r="E16" s="349"/>
      <c r="F16" s="349"/>
      <c r="G16" s="349"/>
      <c r="H16" s="367"/>
      <c r="I16" s="349"/>
      <c r="J16" s="349"/>
      <c r="K16" s="367"/>
      <c r="L16" s="349"/>
      <c r="M16" s="349"/>
      <c r="N16" s="349"/>
      <c r="O16" s="349"/>
      <c r="P16" s="354"/>
      <c r="Q16" s="354"/>
      <c r="R16" s="354"/>
      <c r="S16" s="354"/>
      <c r="T16" s="352"/>
      <c r="U16" s="353">
        <f>ROUNDUP(((5.8*2)*4.7)-BJ7,0)</f>
        <v>53</v>
      </c>
      <c r="V16" s="353">
        <f>ROUNDUP((3.11*2)*4.7,0)</f>
        <v>30</v>
      </c>
      <c r="W16" s="353"/>
      <c r="X16" s="349"/>
      <c r="Y16" s="349"/>
      <c r="Z16" s="349">
        <f>ROUNDUP((11.3*4.7)-(BJ7+CB7),0)</f>
        <v>48</v>
      </c>
      <c r="AA16" s="349">
        <f>ROUNDUP((U16/2)+(V16*2),0)</f>
        <v>87</v>
      </c>
      <c r="AB16" s="349"/>
      <c r="AC16" s="349"/>
      <c r="AD16" s="349"/>
      <c r="AE16" s="349"/>
      <c r="AF16" s="349"/>
      <c r="AG16" s="349"/>
      <c r="AH16" s="349"/>
      <c r="AI16" s="349"/>
      <c r="AJ16" s="349"/>
      <c r="AK16" s="349"/>
      <c r="AL16" s="349"/>
      <c r="AM16" s="349"/>
      <c r="AN16" s="349">
        <f>ROUNDUP((3*4.7)+BJ9,0)</f>
        <v>19</v>
      </c>
      <c r="AO16" s="349"/>
      <c r="AP16" s="354"/>
      <c r="AQ16" s="352">
        <f>BJ8</f>
        <v>1.1000000000000001</v>
      </c>
      <c r="AR16" s="353"/>
      <c r="AS16" s="349"/>
      <c r="AT16" s="367">
        <f>C16</f>
        <v>26</v>
      </c>
      <c r="AU16" s="349"/>
      <c r="AV16" s="352"/>
      <c r="AW16" s="353">
        <f t="shared" ref="AW16:AW25" si="2">AA16</f>
        <v>87</v>
      </c>
      <c r="AX16" s="349">
        <f t="shared" ref="AX16:AX22" si="3">Z16</f>
        <v>48</v>
      </c>
      <c r="AY16" s="352"/>
      <c r="AZ16" s="353"/>
      <c r="BA16" s="349"/>
      <c r="BB16" s="349"/>
      <c r="BC16" s="349"/>
      <c r="BD16" s="349"/>
      <c r="BE16" s="349"/>
      <c r="BF16" s="349"/>
      <c r="BG16" s="349"/>
      <c r="BH16" s="349"/>
      <c r="BI16" s="349"/>
      <c r="BJ16" s="367">
        <v>1</v>
      </c>
      <c r="BK16" s="349"/>
      <c r="BL16" s="349"/>
      <c r="BM16" s="349"/>
      <c r="BN16" s="349"/>
      <c r="BO16" s="349"/>
      <c r="BP16" s="349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  <c r="CB16" s="349"/>
      <c r="CC16" s="354"/>
      <c r="CD16" s="354"/>
      <c r="CE16" s="354"/>
      <c r="CF16" s="354"/>
      <c r="CG16" s="354"/>
      <c r="CH16" s="354"/>
      <c r="CI16" s="354"/>
      <c r="CJ16" s="354"/>
      <c r="CK16" s="354"/>
      <c r="CL16" s="354"/>
      <c r="CM16" s="354"/>
      <c r="CN16" s="354"/>
      <c r="CO16" s="354"/>
      <c r="CP16" s="354"/>
      <c r="CQ16" s="354"/>
      <c r="CR16" s="354"/>
      <c r="CS16" s="354"/>
      <c r="CT16" s="354"/>
      <c r="CU16" s="354"/>
      <c r="CV16" s="354"/>
      <c r="CW16" s="354"/>
      <c r="CX16" s="354"/>
      <c r="CY16" s="354"/>
      <c r="CZ16" s="354"/>
      <c r="DA16" s="354"/>
      <c r="DB16" s="354"/>
      <c r="DC16" s="352"/>
      <c r="DD16" s="59">
        <v>1</v>
      </c>
      <c r="DI16" s="59">
        <v>1</v>
      </c>
      <c r="DJ16" s="58" t="s">
        <v>46</v>
      </c>
      <c r="DL16" s="364">
        <f>ROUNDUP(BB7*2500,0)</f>
        <v>38475</v>
      </c>
    </row>
    <row r="17" spans="1:116" s="59" customFormat="1">
      <c r="A17" s="365"/>
      <c r="B17" s="366" t="s">
        <v>241</v>
      </c>
      <c r="C17" s="349"/>
      <c r="D17" s="367">
        <f>ROUNDUP(1335.83+73.44,0)</f>
        <v>1410</v>
      </c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54"/>
      <c r="Q17" s="354"/>
      <c r="R17" s="354"/>
      <c r="S17" s="354"/>
      <c r="T17" s="352"/>
      <c r="U17" s="353">
        <f>ROUNDUP(((68.74+2.5+7.2+2)*4.7)-(AZ7+(BA7*3)+BB7+(BC7*2)+BG7+(BY7*5)+BZ7),0)</f>
        <v>219</v>
      </c>
      <c r="V17" s="353"/>
      <c r="W17" s="353"/>
      <c r="X17" s="349"/>
      <c r="Y17" s="349"/>
      <c r="Z17" s="349">
        <f>ROUNDUP(U17-((2.5+7.2)*4.7),0)</f>
        <v>174</v>
      </c>
      <c r="AA17" s="349">
        <f>ROUNDUP(((5.4+0.3+3.3+17.9+2.5+12.32+13.8+6.3+2+68.7+5.5+4.95+1.9+2.5+2+2.3+0.3+7.2+0.3+0.7+11.6+3.5)*4.7)-(AZ7+(BA7*3)+BB7+BC7+(BG7*3)+(BK7*4)+BL7+(BW7*2)+(BY7*5)+BZ7+(CA7*2)+CB7),0)</f>
        <v>625</v>
      </c>
      <c r="AB17" s="349"/>
      <c r="AC17" s="349"/>
      <c r="AD17" s="349"/>
      <c r="AE17" s="349"/>
      <c r="AF17" s="349"/>
      <c r="AG17" s="349"/>
      <c r="AH17" s="349"/>
      <c r="AI17" s="349"/>
      <c r="AJ17" s="349"/>
      <c r="AK17" s="349"/>
      <c r="AL17" s="349"/>
      <c r="AM17" s="349"/>
      <c r="AN17" s="349">
        <f>ROUNDUP((AZ9+(BA9*3)+BB9+(BC9*2)+BG9+(BY9*5)+BZ9),0)</f>
        <v>73</v>
      </c>
      <c r="AO17" s="349"/>
      <c r="AP17" s="354"/>
      <c r="AQ17" s="352">
        <f>ROUNDUP((AZ8+(BA8*3)+BB8+(BC8*2)+BG8+(BY8*2)+BZ8),0)</f>
        <v>60</v>
      </c>
      <c r="AR17" s="366">
        <f>D17</f>
        <v>1410</v>
      </c>
      <c r="AS17" s="349"/>
      <c r="AT17" s="349"/>
      <c r="AU17" s="349"/>
      <c r="AV17" s="352"/>
      <c r="AW17" s="353">
        <f t="shared" si="2"/>
        <v>625</v>
      </c>
      <c r="AX17" s="349">
        <f t="shared" si="3"/>
        <v>174</v>
      </c>
      <c r="AY17" s="369">
        <f t="shared" ref="AY17:AY25" si="4">AR17</f>
        <v>1410</v>
      </c>
      <c r="AZ17" s="353"/>
      <c r="BA17" s="349"/>
      <c r="BB17" s="349"/>
      <c r="BC17" s="349"/>
      <c r="BD17" s="349"/>
      <c r="BE17" s="367"/>
      <c r="BF17" s="367"/>
      <c r="BG17" s="367">
        <v>1</v>
      </c>
      <c r="BH17" s="349"/>
      <c r="BI17" s="349"/>
      <c r="BJ17" s="349"/>
      <c r="BK17" s="349"/>
      <c r="BL17" s="349"/>
      <c r="BM17" s="349"/>
      <c r="BN17" s="349"/>
      <c r="BO17" s="367"/>
      <c r="BP17" s="367"/>
      <c r="BQ17" s="349"/>
      <c r="BR17" s="349"/>
      <c r="BS17" s="349"/>
      <c r="BT17" s="349"/>
      <c r="BU17" s="349"/>
      <c r="BV17" s="349"/>
      <c r="BW17" s="349"/>
      <c r="BX17" s="349"/>
      <c r="BY17" s="349"/>
      <c r="BZ17" s="349"/>
      <c r="CA17" s="349"/>
      <c r="CB17" s="349"/>
      <c r="CC17" s="354"/>
      <c r="CD17" s="354"/>
      <c r="CE17" s="354"/>
      <c r="CF17" s="354"/>
      <c r="CG17" s="354"/>
      <c r="CH17" s="354"/>
      <c r="CI17" s="354"/>
      <c r="CJ17" s="354"/>
      <c r="CK17" s="354"/>
      <c r="CL17" s="354"/>
      <c r="CM17" s="354"/>
      <c r="CN17" s="354"/>
      <c r="CO17" s="354"/>
      <c r="CP17" s="354"/>
      <c r="CQ17" s="354"/>
      <c r="CR17" s="354"/>
      <c r="CS17" s="354"/>
      <c r="CT17" s="354"/>
      <c r="CU17" s="354"/>
      <c r="CV17" s="354"/>
      <c r="CW17" s="354"/>
      <c r="CX17" s="354"/>
      <c r="CY17" s="354"/>
      <c r="CZ17" s="354"/>
      <c r="DA17" s="354"/>
      <c r="DB17" s="354"/>
      <c r="DC17" s="352"/>
      <c r="DD17" s="59">
        <v>1</v>
      </c>
      <c r="DI17" s="59">
        <v>1</v>
      </c>
      <c r="DJ17" s="58" t="s">
        <v>47</v>
      </c>
      <c r="DL17" s="364">
        <f>ROUNDUP(BC7*4500,0)</f>
        <v>26933</v>
      </c>
    </row>
    <row r="18" spans="1:116" s="59" customFormat="1">
      <c r="A18" s="365"/>
      <c r="B18" s="366" t="s">
        <v>429</v>
      </c>
      <c r="C18" s="349"/>
      <c r="D18" s="367">
        <f>ROUNDUP(206.99+104.4,0)</f>
        <v>312</v>
      </c>
      <c r="E18" s="367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54"/>
      <c r="Q18" s="354"/>
      <c r="R18" s="354"/>
      <c r="S18" s="354"/>
      <c r="T18" s="352"/>
      <c r="U18" s="353">
        <f>ROUNDUP((89.57*4.7)-((BA7*2)+BC7+(BW7*6)+(BY7*2)),0)</f>
        <v>309</v>
      </c>
      <c r="V18" s="353"/>
      <c r="W18" s="353"/>
      <c r="X18" s="349"/>
      <c r="Y18" s="349"/>
      <c r="Z18" s="349">
        <f>ROUNDUP(((6+8.8+36.4+8.7)*4.7)-((BA7*2)+BC7+(BW7*6)+(BY7*2)),0)</f>
        <v>169</v>
      </c>
      <c r="AA18" s="349">
        <f>U18</f>
        <v>309</v>
      </c>
      <c r="AB18" s="349"/>
      <c r="AC18" s="349"/>
      <c r="AD18" s="349"/>
      <c r="AE18" s="349"/>
      <c r="AF18" s="349"/>
      <c r="AG18" s="349"/>
      <c r="AH18" s="349"/>
      <c r="AI18" s="349"/>
      <c r="AJ18" s="349"/>
      <c r="AK18" s="349"/>
      <c r="AL18" s="349"/>
      <c r="AM18" s="349"/>
      <c r="AN18" s="349">
        <f>ROUNDUP((BA9*2)+BC9+(BW8*6)+(BY8*2),0)</f>
        <v>100</v>
      </c>
      <c r="AO18" s="349"/>
      <c r="AP18" s="354"/>
      <c r="AQ18" s="352">
        <f>ROUNDUP((BA8*2)+BC8+(BW8*6)+(BY8*2),0)</f>
        <v>96</v>
      </c>
      <c r="AR18" s="366">
        <f>D18</f>
        <v>312</v>
      </c>
      <c r="AS18" s="349"/>
      <c r="AT18" s="349"/>
      <c r="AU18" s="349"/>
      <c r="AV18" s="352"/>
      <c r="AW18" s="353">
        <f t="shared" si="2"/>
        <v>309</v>
      </c>
      <c r="AX18" s="349">
        <f t="shared" si="3"/>
        <v>169</v>
      </c>
      <c r="AY18" s="369">
        <f t="shared" si="4"/>
        <v>312</v>
      </c>
      <c r="AZ18" s="353"/>
      <c r="BA18" s="367">
        <v>2</v>
      </c>
      <c r="BB18" s="367"/>
      <c r="BC18" s="367">
        <v>1</v>
      </c>
      <c r="BD18" s="349"/>
      <c r="BE18" s="349"/>
      <c r="BF18" s="349"/>
      <c r="BG18" s="349"/>
      <c r="BH18" s="349"/>
      <c r="BI18" s="349"/>
      <c r="BJ18" s="349"/>
      <c r="BK18" s="349"/>
      <c r="BL18" s="349"/>
      <c r="BM18" s="349"/>
      <c r="BN18" s="349"/>
      <c r="BO18" s="349"/>
      <c r="BP18" s="349"/>
      <c r="BQ18" s="349"/>
      <c r="BR18" s="349"/>
      <c r="BS18" s="349"/>
      <c r="BT18" s="349"/>
      <c r="BU18" s="349"/>
      <c r="BV18" s="349"/>
      <c r="BW18" s="367">
        <v>6</v>
      </c>
      <c r="BX18" s="367"/>
      <c r="BY18" s="367">
        <v>2</v>
      </c>
      <c r="BZ18" s="349"/>
      <c r="CA18" s="349"/>
      <c r="CB18" s="349"/>
      <c r="CC18" s="354"/>
      <c r="CD18" s="354"/>
      <c r="CE18" s="354"/>
      <c r="CF18" s="354"/>
      <c r="CG18" s="354"/>
      <c r="CH18" s="354"/>
      <c r="CI18" s="354"/>
      <c r="CJ18" s="354"/>
      <c r="CK18" s="354"/>
      <c r="CL18" s="354"/>
      <c r="CM18" s="354"/>
      <c r="CN18" s="354"/>
      <c r="CO18" s="354"/>
      <c r="CP18" s="354"/>
      <c r="CQ18" s="354"/>
      <c r="CR18" s="354"/>
      <c r="CS18" s="354"/>
      <c r="CT18" s="354"/>
      <c r="CU18" s="354"/>
      <c r="CV18" s="354"/>
      <c r="CW18" s="354"/>
      <c r="CX18" s="354"/>
      <c r="CY18" s="354"/>
      <c r="CZ18" s="354"/>
      <c r="DA18" s="354"/>
      <c r="DB18" s="354"/>
      <c r="DC18" s="352"/>
      <c r="DD18" s="59">
        <v>1</v>
      </c>
      <c r="DE18" s="59">
        <v>1</v>
      </c>
      <c r="DF18" s="59">
        <v>1</v>
      </c>
      <c r="DI18" s="59">
        <v>3</v>
      </c>
      <c r="DJ18" s="58" t="s">
        <v>517</v>
      </c>
      <c r="DL18" s="364">
        <f>ROUNDUP(BD7*4500,0)</f>
        <v>7380</v>
      </c>
    </row>
    <row r="19" spans="1:116" s="59" customFormat="1">
      <c r="A19" s="365"/>
      <c r="B19" s="366" t="s">
        <v>430</v>
      </c>
      <c r="C19" s="349"/>
      <c r="D19" s="367">
        <f>ROUNDUP(68.66,0)</f>
        <v>69</v>
      </c>
      <c r="E19" s="367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54"/>
      <c r="Q19" s="354"/>
      <c r="R19" s="354"/>
      <c r="S19" s="354"/>
      <c r="T19" s="352"/>
      <c r="U19" s="353">
        <f>ROUNDUP((35.49*4.8)-(BB7+(BW7*2)+BY7),0)</f>
        <v>126</v>
      </c>
      <c r="V19" s="353"/>
      <c r="W19" s="353"/>
      <c r="X19" s="349"/>
      <c r="Y19" s="349"/>
      <c r="Z19" s="349">
        <f>ROUNDUP(((5.82+12.25)*4.8)-(BW7*2),0)</f>
        <v>70</v>
      </c>
      <c r="AA19" s="349">
        <f>U19</f>
        <v>126</v>
      </c>
      <c r="AB19" s="349"/>
      <c r="AC19" s="349"/>
      <c r="AD19" s="349"/>
      <c r="AE19" s="349"/>
      <c r="AF19" s="349"/>
      <c r="AG19" s="349"/>
      <c r="AH19" s="349"/>
      <c r="AI19" s="349"/>
      <c r="AJ19" s="349"/>
      <c r="AK19" s="349"/>
      <c r="AL19" s="349"/>
      <c r="AM19" s="349"/>
      <c r="AN19" s="349">
        <f>ROUNDUP((BB9+(BW9*2)+BY9),0)</f>
        <v>17</v>
      </c>
      <c r="AO19" s="349"/>
      <c r="AP19" s="354"/>
      <c r="AQ19" s="352">
        <f>ROUNDUP((BB8+(BW8*2)+BY8),0)</f>
        <v>38</v>
      </c>
      <c r="AR19" s="366">
        <f t="shared" ref="AR19:AR21" si="5">D19</f>
        <v>69</v>
      </c>
      <c r="AS19" s="349"/>
      <c r="AT19" s="349"/>
      <c r="AU19" s="349"/>
      <c r="AV19" s="352"/>
      <c r="AW19" s="353">
        <f t="shared" si="2"/>
        <v>126</v>
      </c>
      <c r="AX19" s="349">
        <f t="shared" si="3"/>
        <v>70</v>
      </c>
      <c r="AY19" s="369">
        <f t="shared" si="4"/>
        <v>69</v>
      </c>
      <c r="AZ19" s="353"/>
      <c r="BA19" s="349"/>
      <c r="BB19" s="367">
        <v>1</v>
      </c>
      <c r="BC19" s="349"/>
      <c r="BD19" s="349"/>
      <c r="BE19" s="349"/>
      <c r="BF19" s="349"/>
      <c r="BG19" s="349"/>
      <c r="BH19" s="349"/>
      <c r="BI19" s="349"/>
      <c r="BJ19" s="349"/>
      <c r="BK19" s="349"/>
      <c r="BL19" s="349"/>
      <c r="BM19" s="349"/>
      <c r="BN19" s="349"/>
      <c r="BO19" s="349"/>
      <c r="BP19" s="349"/>
      <c r="BQ19" s="349"/>
      <c r="BR19" s="349"/>
      <c r="BS19" s="349"/>
      <c r="BT19" s="349"/>
      <c r="BU19" s="349"/>
      <c r="BV19" s="349"/>
      <c r="BW19" s="367">
        <v>2</v>
      </c>
      <c r="BX19" s="367"/>
      <c r="BY19" s="367">
        <v>1</v>
      </c>
      <c r="BZ19" s="349"/>
      <c r="CA19" s="349"/>
      <c r="CB19" s="349"/>
      <c r="CC19" s="354"/>
      <c r="CD19" s="354"/>
      <c r="CE19" s="354"/>
      <c r="CF19" s="354"/>
      <c r="CG19" s="354"/>
      <c r="CH19" s="354"/>
      <c r="CI19" s="354"/>
      <c r="CJ19" s="354"/>
      <c r="CK19" s="354"/>
      <c r="CL19" s="354"/>
      <c r="CM19" s="354"/>
      <c r="CN19" s="354"/>
      <c r="CO19" s="354"/>
      <c r="CP19" s="354"/>
      <c r="CQ19" s="354"/>
      <c r="CR19" s="354"/>
      <c r="CS19" s="354"/>
      <c r="CT19" s="354"/>
      <c r="CU19" s="354"/>
      <c r="CV19" s="354"/>
      <c r="CW19" s="354"/>
      <c r="CX19" s="354"/>
      <c r="CY19" s="354"/>
      <c r="CZ19" s="354"/>
      <c r="DA19" s="354"/>
      <c r="DB19" s="354"/>
      <c r="DC19" s="352"/>
      <c r="DD19" s="59">
        <v>2</v>
      </c>
      <c r="DI19" s="59">
        <v>2</v>
      </c>
      <c r="DJ19" s="58" t="s">
        <v>518</v>
      </c>
      <c r="DL19" s="364">
        <f>ROUNDUP(BE7*3500,0)</f>
        <v>20948</v>
      </c>
    </row>
    <row r="20" spans="1:116" s="59" customFormat="1">
      <c r="A20" s="474"/>
      <c r="B20" s="475"/>
      <c r="C20" s="349"/>
      <c r="D20" s="367"/>
      <c r="E20" s="367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54"/>
      <c r="Q20" s="354"/>
      <c r="R20" s="354"/>
      <c r="S20" s="354"/>
      <c r="T20" s="352"/>
      <c r="U20" s="476"/>
      <c r="V20" s="476"/>
      <c r="W20" s="476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/>
      <c r="AP20" s="354"/>
      <c r="AQ20" s="352"/>
      <c r="AR20" s="475"/>
      <c r="AS20" s="349"/>
      <c r="AT20" s="349"/>
      <c r="AU20" s="349"/>
      <c r="AV20" s="352"/>
      <c r="AW20" s="476"/>
      <c r="AX20" s="349"/>
      <c r="AY20" s="369"/>
      <c r="AZ20" s="476"/>
      <c r="BA20" s="349"/>
      <c r="BB20" s="367"/>
      <c r="BC20" s="349"/>
      <c r="BD20" s="349"/>
      <c r="BE20" s="349"/>
      <c r="BF20" s="349"/>
      <c r="BG20" s="349"/>
      <c r="BH20" s="349"/>
      <c r="BI20" s="349"/>
      <c r="BJ20" s="349"/>
      <c r="BK20" s="349"/>
      <c r="BL20" s="349"/>
      <c r="BM20" s="349"/>
      <c r="BN20" s="349"/>
      <c r="BO20" s="349"/>
      <c r="BP20" s="349"/>
      <c r="BQ20" s="349"/>
      <c r="BR20" s="349"/>
      <c r="BS20" s="349"/>
      <c r="BT20" s="349"/>
      <c r="BU20" s="349"/>
      <c r="BV20" s="349"/>
      <c r="BW20" s="367"/>
      <c r="BX20" s="367"/>
      <c r="BY20" s="367"/>
      <c r="BZ20" s="349"/>
      <c r="CA20" s="349"/>
      <c r="CB20" s="349"/>
      <c r="CC20" s="354"/>
      <c r="CD20" s="354"/>
      <c r="CE20" s="354"/>
      <c r="CF20" s="354"/>
      <c r="CG20" s="354"/>
      <c r="CH20" s="354"/>
      <c r="CI20" s="354"/>
      <c r="CJ20" s="354"/>
      <c r="CK20" s="354"/>
      <c r="CL20" s="354"/>
      <c r="CM20" s="354"/>
      <c r="CN20" s="354"/>
      <c r="CO20" s="354"/>
      <c r="CP20" s="354"/>
      <c r="CQ20" s="354"/>
      <c r="CR20" s="354"/>
      <c r="CS20" s="354"/>
      <c r="CT20" s="354"/>
      <c r="CU20" s="354"/>
      <c r="CV20" s="354"/>
      <c r="CW20" s="354"/>
      <c r="CX20" s="354"/>
      <c r="CY20" s="354"/>
      <c r="CZ20" s="354"/>
      <c r="DA20" s="354"/>
      <c r="DB20" s="354"/>
      <c r="DC20" s="352"/>
      <c r="DE20" s="59">
        <v>1</v>
      </c>
      <c r="DF20" s="59">
        <v>1</v>
      </c>
      <c r="DI20" s="59">
        <v>2</v>
      </c>
      <c r="DJ20" s="58" t="s">
        <v>714</v>
      </c>
      <c r="DL20" s="364">
        <f>BF7*3500</f>
        <v>18375</v>
      </c>
    </row>
    <row r="21" spans="1:116" s="59" customFormat="1">
      <c r="A21" s="365"/>
      <c r="B21" s="366" t="s">
        <v>431</v>
      </c>
      <c r="C21" s="349"/>
      <c r="D21" s="367">
        <f>ROUNDUP(114.99,0)</f>
        <v>115</v>
      </c>
      <c r="E21" s="367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54"/>
      <c r="Q21" s="354"/>
      <c r="R21" s="354"/>
      <c r="S21" s="354"/>
      <c r="T21" s="352"/>
      <c r="U21" s="353">
        <f>ROUNDUP(((43.94+5.23+0.3+0.72+1.75)*4.8)-(BA7+(BW7*3)+(BY7*2)+BZ7),0)</f>
        <v>178</v>
      </c>
      <c r="V21" s="353"/>
      <c r="W21" s="353"/>
      <c r="X21" s="349"/>
      <c r="Y21" s="349"/>
      <c r="Z21" s="349">
        <f>ROUNDUP(((6.01+19.25)*4.8)-(BW7*3),0)</f>
        <v>97</v>
      </c>
      <c r="AA21" s="349">
        <f>U21</f>
        <v>178</v>
      </c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>
        <f>ROUNDUP(BA9+(BW9*3)+(BY9*2)+BZ9,0)</f>
        <v>30</v>
      </c>
      <c r="AO21" s="349">
        <v>4.8</v>
      </c>
      <c r="AP21" s="354"/>
      <c r="AQ21" s="352">
        <f>ROUNDUP(BA8+(BW8*3)+(BY8*2)+BZ8,0)</f>
        <v>63</v>
      </c>
      <c r="AR21" s="366">
        <f t="shared" si="5"/>
        <v>115</v>
      </c>
      <c r="AS21" s="349"/>
      <c r="AT21" s="349"/>
      <c r="AU21" s="349"/>
      <c r="AV21" s="352"/>
      <c r="AW21" s="353">
        <f t="shared" si="2"/>
        <v>178</v>
      </c>
      <c r="AX21" s="349">
        <f t="shared" si="3"/>
        <v>97</v>
      </c>
      <c r="AY21" s="369">
        <f t="shared" si="4"/>
        <v>115</v>
      </c>
      <c r="AZ21" s="353"/>
      <c r="BA21" s="367">
        <v>1</v>
      </c>
      <c r="BB21" s="349"/>
      <c r="BC21" s="349"/>
      <c r="BD21" s="349"/>
      <c r="BE21" s="349"/>
      <c r="BF21" s="349"/>
      <c r="BG21" s="349"/>
      <c r="BH21" s="349"/>
      <c r="BI21" s="349"/>
      <c r="BJ21" s="349"/>
      <c r="BK21" s="349"/>
      <c r="BL21" s="349"/>
      <c r="BM21" s="349"/>
      <c r="BN21" s="349"/>
      <c r="BO21" s="349"/>
      <c r="BP21" s="349"/>
      <c r="BQ21" s="349"/>
      <c r="BR21" s="349"/>
      <c r="BS21" s="349"/>
      <c r="BT21" s="349"/>
      <c r="BU21" s="349"/>
      <c r="BV21" s="349"/>
      <c r="BW21" s="367">
        <v>3</v>
      </c>
      <c r="BX21" s="367"/>
      <c r="BY21" s="367">
        <v>2</v>
      </c>
      <c r="BZ21" s="367">
        <v>1</v>
      </c>
      <c r="CA21" s="349"/>
      <c r="CB21" s="349"/>
      <c r="CC21" s="354"/>
      <c r="CD21" s="354"/>
      <c r="CE21" s="354"/>
      <c r="CF21" s="354"/>
      <c r="CG21" s="354"/>
      <c r="CH21" s="354"/>
      <c r="CI21" s="354"/>
      <c r="CJ21" s="354"/>
      <c r="CK21" s="354"/>
      <c r="CL21" s="354"/>
      <c r="CM21" s="354"/>
      <c r="CN21" s="354"/>
      <c r="CO21" s="354"/>
      <c r="CP21" s="354"/>
      <c r="CQ21" s="354"/>
      <c r="CR21" s="354"/>
      <c r="CS21" s="354"/>
      <c r="CT21" s="354"/>
      <c r="CU21" s="354"/>
      <c r="CV21" s="354"/>
      <c r="CW21" s="354"/>
      <c r="CX21" s="354"/>
      <c r="CY21" s="354"/>
      <c r="CZ21" s="354"/>
      <c r="DA21" s="354"/>
      <c r="DB21" s="354"/>
      <c r="DC21" s="352"/>
      <c r="DD21" s="59">
        <v>4</v>
      </c>
      <c r="DI21" s="59">
        <v>2</v>
      </c>
      <c r="DJ21" s="58" t="s">
        <v>519</v>
      </c>
      <c r="DL21" s="364">
        <f>ROUNDUP(BG7*3500,0)</f>
        <v>14700</v>
      </c>
    </row>
    <row r="22" spans="1:116" s="59" customFormat="1">
      <c r="A22" s="368"/>
      <c r="B22" s="366" t="s">
        <v>442</v>
      </c>
      <c r="C22" s="367">
        <f>ROUNDUP(29.67,0)</f>
        <v>30</v>
      </c>
      <c r="D22" s="367"/>
      <c r="E22" s="367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54"/>
      <c r="Q22" s="354"/>
      <c r="R22" s="354"/>
      <c r="S22" s="354"/>
      <c r="T22" s="352"/>
      <c r="U22" s="353">
        <f>ROUNDUP((21.83*4.7)-(BG7+CA7),0)</f>
        <v>97</v>
      </c>
      <c r="V22" s="353"/>
      <c r="W22" s="353"/>
      <c r="X22" s="349"/>
      <c r="Y22" s="349"/>
      <c r="Z22" s="349">
        <f>ROUNDUP(((6+3.3)*4.7)-BW7,0)</f>
        <v>36</v>
      </c>
      <c r="AA22" s="349">
        <f>U22</f>
        <v>97</v>
      </c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/>
      <c r="AM22" s="349"/>
      <c r="AN22" s="349">
        <f>ROUNDUP(BG9+BW9,0)</f>
        <v>8</v>
      </c>
      <c r="AO22" s="349"/>
      <c r="AP22" s="354"/>
      <c r="AQ22" s="352">
        <f>ROUNDUP(BG8+BW8,0)</f>
        <v>13</v>
      </c>
      <c r="AR22" s="366">
        <f>C22</f>
        <v>30</v>
      </c>
      <c r="AS22" s="349"/>
      <c r="AT22" s="349"/>
      <c r="AU22" s="349"/>
      <c r="AV22" s="352"/>
      <c r="AW22" s="353">
        <f t="shared" si="2"/>
        <v>97</v>
      </c>
      <c r="AX22" s="349">
        <f t="shared" si="3"/>
        <v>36</v>
      </c>
      <c r="AY22" s="369">
        <f t="shared" si="4"/>
        <v>30</v>
      </c>
      <c r="AZ22" s="353"/>
      <c r="BA22" s="349"/>
      <c r="BB22" s="349"/>
      <c r="BC22" s="349"/>
      <c r="BD22" s="349"/>
      <c r="BE22" s="349"/>
      <c r="BF22" s="349"/>
      <c r="BG22" s="367">
        <v>1</v>
      </c>
      <c r="BH22" s="349"/>
      <c r="BI22" s="349"/>
      <c r="BJ22" s="349"/>
      <c r="BK22" s="349"/>
      <c r="BL22" s="349"/>
      <c r="BM22" s="349"/>
      <c r="BN22" s="349"/>
      <c r="BO22" s="349"/>
      <c r="BP22" s="349"/>
      <c r="BQ22" s="349"/>
      <c r="BR22" s="349"/>
      <c r="BS22" s="349"/>
      <c r="BT22" s="349"/>
      <c r="BU22" s="349"/>
      <c r="BV22" s="349"/>
      <c r="BW22" s="367">
        <v>1</v>
      </c>
      <c r="BX22" s="367"/>
      <c r="BY22" s="349"/>
      <c r="BZ22" s="349"/>
      <c r="CA22" s="349"/>
      <c r="CB22" s="349"/>
      <c r="CC22" s="354"/>
      <c r="CD22" s="354"/>
      <c r="CE22" s="354"/>
      <c r="CF22" s="354"/>
      <c r="CG22" s="354"/>
      <c r="CH22" s="354"/>
      <c r="CI22" s="354"/>
      <c r="CJ22" s="354"/>
      <c r="CK22" s="354"/>
      <c r="CL22" s="354"/>
      <c r="CM22" s="354"/>
      <c r="CN22" s="354"/>
      <c r="CO22" s="354"/>
      <c r="CP22" s="354"/>
      <c r="CQ22" s="354"/>
      <c r="CR22" s="354"/>
      <c r="CS22" s="354"/>
      <c r="CT22" s="354"/>
      <c r="CU22" s="354"/>
      <c r="CV22" s="354"/>
      <c r="CW22" s="354"/>
      <c r="CX22" s="354"/>
      <c r="CY22" s="354"/>
      <c r="CZ22" s="354"/>
      <c r="DA22" s="354"/>
      <c r="DB22" s="354"/>
      <c r="DC22" s="352"/>
      <c r="DD22" s="59">
        <v>1</v>
      </c>
      <c r="DI22" s="59">
        <v>1</v>
      </c>
      <c r="DJ22" s="58" t="s">
        <v>520</v>
      </c>
      <c r="DL22" s="364">
        <f>ROUNDUP(BH7*4500,0)</f>
        <v>94905</v>
      </c>
    </row>
    <row r="23" spans="1:116" s="59" customFormat="1">
      <c r="A23" s="365"/>
      <c r="B23" s="366" t="s">
        <v>443</v>
      </c>
      <c r="C23" s="367">
        <f>ROUNDUP(35.76,0)</f>
        <v>36</v>
      </c>
      <c r="D23" s="367"/>
      <c r="E23" s="367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54"/>
      <c r="Q23" s="354"/>
      <c r="R23" s="354"/>
      <c r="S23" s="354"/>
      <c r="T23" s="352"/>
      <c r="U23" s="353">
        <f>ROUNDUP((21.05*4.7)-(BG7+CA7),0)</f>
        <v>93</v>
      </c>
      <c r="V23" s="353">
        <f>ROUNDUP((4.25*4.7),0)</f>
        <v>20</v>
      </c>
      <c r="W23" s="353"/>
      <c r="X23" s="349"/>
      <c r="Y23" s="349"/>
      <c r="Z23" s="349"/>
      <c r="AA23" s="349">
        <f>ROUNDUP((25.3*4.7)-(BG7+CA7),0)</f>
        <v>113</v>
      </c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>
        <f>ROUNDUP(BG9+CA9,0)</f>
        <v>5</v>
      </c>
      <c r="AO23" s="349"/>
      <c r="AP23" s="354"/>
      <c r="AQ23" s="352">
        <f>ROUNDUP(BG8+CA8,0)</f>
        <v>13</v>
      </c>
      <c r="AR23" s="366">
        <f t="shared" ref="AR23:AR25" si="6">C23</f>
        <v>36</v>
      </c>
      <c r="AS23" s="349"/>
      <c r="AT23" s="349"/>
      <c r="AU23" s="349"/>
      <c r="AV23" s="352"/>
      <c r="AW23" s="353">
        <f t="shared" si="2"/>
        <v>113</v>
      </c>
      <c r="AX23" s="349"/>
      <c r="AY23" s="369">
        <f t="shared" si="4"/>
        <v>36</v>
      </c>
      <c r="AZ23" s="353"/>
      <c r="BA23" s="349"/>
      <c r="BB23" s="349"/>
      <c r="BC23" s="349"/>
      <c r="BD23" s="349"/>
      <c r="BE23" s="349"/>
      <c r="BF23" s="349"/>
      <c r="BG23" s="367">
        <v>1</v>
      </c>
      <c r="BH23" s="349"/>
      <c r="BI23" s="349"/>
      <c r="BJ23" s="349"/>
      <c r="BK23" s="349"/>
      <c r="BL23" s="349"/>
      <c r="BM23" s="349"/>
      <c r="BN23" s="349"/>
      <c r="BO23" s="349"/>
      <c r="BP23" s="349"/>
      <c r="BQ23" s="349"/>
      <c r="BR23" s="349"/>
      <c r="BS23" s="349"/>
      <c r="BT23" s="349"/>
      <c r="BU23" s="349"/>
      <c r="BV23" s="349"/>
      <c r="BW23" s="349"/>
      <c r="BX23" s="349"/>
      <c r="BY23" s="349"/>
      <c r="BZ23" s="349"/>
      <c r="CA23" s="349"/>
      <c r="CB23" s="349"/>
      <c r="CC23" s="354"/>
      <c r="CD23" s="354"/>
      <c r="CE23" s="354"/>
      <c r="CF23" s="354"/>
      <c r="CG23" s="354"/>
      <c r="CH23" s="354"/>
      <c r="CI23" s="354"/>
      <c r="CJ23" s="354"/>
      <c r="CK23" s="354"/>
      <c r="CL23" s="354"/>
      <c r="CM23" s="354"/>
      <c r="CN23" s="354"/>
      <c r="CO23" s="354"/>
      <c r="CP23" s="354"/>
      <c r="CQ23" s="354"/>
      <c r="CR23" s="354"/>
      <c r="CS23" s="354"/>
      <c r="CT23" s="354"/>
      <c r="CU23" s="354"/>
      <c r="CV23" s="354"/>
      <c r="CW23" s="354"/>
      <c r="CX23" s="354"/>
      <c r="CY23" s="354"/>
      <c r="CZ23" s="354"/>
      <c r="DA23" s="354"/>
      <c r="DB23" s="354"/>
      <c r="DC23" s="352"/>
      <c r="DD23" s="59">
        <v>1</v>
      </c>
      <c r="DE23" s="59">
        <v>1</v>
      </c>
      <c r="DF23" s="59">
        <v>1</v>
      </c>
      <c r="DI23" s="59">
        <v>3</v>
      </c>
      <c r="DJ23" s="58" t="s">
        <v>521</v>
      </c>
      <c r="DL23" s="364">
        <f>ROUNDUP(BI7*6500,0)</f>
        <v>38903</v>
      </c>
    </row>
    <row r="24" spans="1:116" s="59" customFormat="1">
      <c r="A24" s="365"/>
      <c r="B24" s="366" t="s">
        <v>444</v>
      </c>
      <c r="C24" s="367">
        <f>ROUNDUP(35.7,0)</f>
        <v>36</v>
      </c>
      <c r="D24" s="367"/>
      <c r="E24" s="367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54"/>
      <c r="Q24" s="354"/>
      <c r="R24" s="354"/>
      <c r="S24" s="354"/>
      <c r="T24" s="352"/>
      <c r="U24" s="353">
        <f>ROUNDUP((21.75*4.7)-BG7,0)</f>
        <v>99</v>
      </c>
      <c r="V24" s="353">
        <f>ROUNDUP((3.55*4.7),0)</f>
        <v>17</v>
      </c>
      <c r="W24" s="353"/>
      <c r="X24" s="349"/>
      <c r="Y24" s="349"/>
      <c r="Z24" s="349">
        <f>ROUNDUP((6*4.7)-BG7,0)</f>
        <v>24</v>
      </c>
      <c r="AA24" s="349">
        <f>ROUNDUP((25.3*4.7)-BG7,0)</f>
        <v>115</v>
      </c>
      <c r="AB24" s="349"/>
      <c r="AC24" s="349"/>
      <c r="AD24" s="349"/>
      <c r="AE24" s="349"/>
      <c r="AF24" s="349"/>
      <c r="AG24" s="349"/>
      <c r="AH24" s="349"/>
      <c r="AI24" s="349"/>
      <c r="AJ24" s="349"/>
      <c r="AK24" s="349"/>
      <c r="AL24" s="349"/>
      <c r="AM24" s="349"/>
      <c r="AN24" s="349">
        <f>BG9</f>
        <v>4.2</v>
      </c>
      <c r="AO24" s="349"/>
      <c r="AP24" s="354"/>
      <c r="AQ24" s="352">
        <f>BG8</f>
        <v>2</v>
      </c>
      <c r="AR24" s="366">
        <f t="shared" si="6"/>
        <v>36</v>
      </c>
      <c r="AS24" s="349"/>
      <c r="AT24" s="349"/>
      <c r="AU24" s="349"/>
      <c r="AV24" s="352"/>
      <c r="AW24" s="353">
        <f t="shared" si="2"/>
        <v>115</v>
      </c>
      <c r="AX24" s="349">
        <f>Z24</f>
        <v>24</v>
      </c>
      <c r="AY24" s="369">
        <f t="shared" si="4"/>
        <v>36</v>
      </c>
      <c r="AZ24" s="353"/>
      <c r="BA24" s="349"/>
      <c r="BB24" s="349"/>
      <c r="BC24" s="349"/>
      <c r="BD24" s="349"/>
      <c r="BE24" s="349"/>
      <c r="BF24" s="349"/>
      <c r="BG24" s="367">
        <v>1</v>
      </c>
      <c r="BH24" s="349"/>
      <c r="BI24" s="349"/>
      <c r="BJ24" s="349"/>
      <c r="BK24" s="349"/>
      <c r="BL24" s="349"/>
      <c r="BM24" s="349"/>
      <c r="BN24" s="349"/>
      <c r="BO24" s="349"/>
      <c r="BP24" s="349"/>
      <c r="BQ24" s="349"/>
      <c r="BR24" s="349"/>
      <c r="BS24" s="349"/>
      <c r="BT24" s="349"/>
      <c r="BU24" s="349"/>
      <c r="BV24" s="349"/>
      <c r="BW24" s="349"/>
      <c r="BX24" s="349"/>
      <c r="BY24" s="349"/>
      <c r="BZ24" s="349"/>
      <c r="CA24" s="349"/>
      <c r="CB24" s="349"/>
      <c r="CC24" s="354"/>
      <c r="CD24" s="354"/>
      <c r="CE24" s="354"/>
      <c r="CF24" s="354"/>
      <c r="CG24" s="354"/>
      <c r="CH24" s="354"/>
      <c r="CI24" s="354"/>
      <c r="CJ24" s="354"/>
      <c r="CK24" s="354"/>
      <c r="CL24" s="354"/>
      <c r="CM24" s="354"/>
      <c r="CN24" s="354"/>
      <c r="CO24" s="354"/>
      <c r="CP24" s="354"/>
      <c r="CQ24" s="354"/>
      <c r="CR24" s="354"/>
      <c r="CS24" s="354"/>
      <c r="CT24" s="354"/>
      <c r="CU24" s="354"/>
      <c r="CV24" s="354"/>
      <c r="CW24" s="354"/>
      <c r="CX24" s="354"/>
      <c r="CY24" s="354"/>
      <c r="CZ24" s="354"/>
      <c r="DA24" s="354"/>
      <c r="DB24" s="354"/>
      <c r="DC24" s="352"/>
      <c r="DD24" s="59">
        <v>1</v>
      </c>
      <c r="DE24" s="59">
        <v>1</v>
      </c>
      <c r="DF24" s="59">
        <v>1</v>
      </c>
      <c r="DI24" s="59">
        <v>3</v>
      </c>
      <c r="DJ24" s="58" t="s">
        <v>522</v>
      </c>
      <c r="DL24" s="364">
        <f>ROUNDUP(BJ7*6500,0)</f>
        <v>14658</v>
      </c>
    </row>
    <row r="25" spans="1:116" s="59" customFormat="1">
      <c r="A25" s="365"/>
      <c r="B25" s="366" t="s">
        <v>445</v>
      </c>
      <c r="C25" s="367">
        <f>ROUNDUP(30.45,0)</f>
        <v>31</v>
      </c>
      <c r="D25" s="367"/>
      <c r="E25" s="367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54"/>
      <c r="Q25" s="354"/>
      <c r="R25" s="354"/>
      <c r="S25" s="354"/>
      <c r="T25" s="352"/>
      <c r="U25" s="353">
        <f>ROUNDUP((22.2*4.7)-(BG7+CA7),0)</f>
        <v>99</v>
      </c>
      <c r="V25" s="353"/>
      <c r="W25" s="353"/>
      <c r="X25" s="349"/>
      <c r="Y25" s="349"/>
      <c r="Z25" s="349">
        <f>ROUNDUP((7.2*4.7)+(BG7*2),0)</f>
        <v>43</v>
      </c>
      <c r="AA25" s="349">
        <f>U25</f>
        <v>99</v>
      </c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>
        <f>ROUNDUP(BG9+CA9,0)</f>
        <v>5</v>
      </c>
      <c r="AO25" s="349"/>
      <c r="AP25" s="354"/>
      <c r="AQ25" s="352">
        <f>ROUNDUP(BG8+CA8,0)</f>
        <v>13</v>
      </c>
      <c r="AR25" s="366">
        <f t="shared" si="6"/>
        <v>31</v>
      </c>
      <c r="AS25" s="349"/>
      <c r="AT25" s="349"/>
      <c r="AU25" s="349"/>
      <c r="AV25" s="352"/>
      <c r="AW25" s="353">
        <f t="shared" si="2"/>
        <v>99</v>
      </c>
      <c r="AX25" s="349">
        <f>Z25</f>
        <v>43</v>
      </c>
      <c r="AY25" s="369">
        <f t="shared" si="4"/>
        <v>31</v>
      </c>
      <c r="AZ25" s="353"/>
      <c r="BA25" s="349"/>
      <c r="BB25" s="349"/>
      <c r="BC25" s="349"/>
      <c r="BD25" s="349"/>
      <c r="BE25" s="349"/>
      <c r="BF25" s="349"/>
      <c r="BG25" s="367">
        <v>1</v>
      </c>
      <c r="BH25" s="349"/>
      <c r="BI25" s="349"/>
      <c r="BJ25" s="349"/>
      <c r="BK25" s="349"/>
      <c r="BL25" s="349"/>
      <c r="BM25" s="349"/>
      <c r="BN25" s="349"/>
      <c r="BO25" s="349"/>
      <c r="BP25" s="349"/>
      <c r="BQ25" s="349"/>
      <c r="BR25" s="349"/>
      <c r="BS25" s="349"/>
      <c r="BT25" s="349"/>
      <c r="BU25" s="349"/>
      <c r="BV25" s="349"/>
      <c r="BW25" s="349"/>
      <c r="BX25" s="349"/>
      <c r="BY25" s="349"/>
      <c r="BZ25" s="349"/>
      <c r="CA25" s="349"/>
      <c r="CB25" s="349"/>
      <c r="CC25" s="354"/>
      <c r="CD25" s="354"/>
      <c r="CE25" s="354"/>
      <c r="CF25" s="354"/>
      <c r="CG25" s="354"/>
      <c r="CH25" s="354"/>
      <c r="CI25" s="354"/>
      <c r="CJ25" s="354"/>
      <c r="CK25" s="354"/>
      <c r="CL25" s="354"/>
      <c r="CM25" s="354"/>
      <c r="CN25" s="354"/>
      <c r="CO25" s="354"/>
      <c r="CP25" s="354"/>
      <c r="CQ25" s="354"/>
      <c r="CR25" s="354"/>
      <c r="CS25" s="354"/>
      <c r="CT25" s="354"/>
      <c r="CU25" s="354"/>
      <c r="CV25" s="354"/>
      <c r="CW25" s="354"/>
      <c r="CX25" s="354"/>
      <c r="CY25" s="354"/>
      <c r="CZ25" s="354"/>
      <c r="DA25" s="354"/>
      <c r="DB25" s="354"/>
      <c r="DC25" s="352"/>
      <c r="DD25" s="59">
        <v>4</v>
      </c>
      <c r="DE25" s="59">
        <v>4</v>
      </c>
      <c r="DF25" s="59">
        <v>4</v>
      </c>
      <c r="DI25" s="59">
        <v>12</v>
      </c>
      <c r="DJ25" s="58" t="s">
        <v>523</v>
      </c>
      <c r="DL25" s="364">
        <f>ROUNDUP(BK7*6500,0)</f>
        <v>17875</v>
      </c>
    </row>
    <row r="26" spans="1:116" s="59" customFormat="1">
      <c r="A26" s="365"/>
      <c r="B26" s="366" t="s">
        <v>446</v>
      </c>
      <c r="C26" s="349"/>
      <c r="D26" s="349"/>
      <c r="E26" s="367">
        <f>ROUNDUP(29.72,0)</f>
        <v>30</v>
      </c>
      <c r="F26" s="349"/>
      <c r="G26" s="349"/>
      <c r="H26" s="367"/>
      <c r="I26" s="349"/>
      <c r="J26" s="349"/>
      <c r="K26" s="349"/>
      <c r="L26" s="349"/>
      <c r="M26" s="349"/>
      <c r="N26" s="349"/>
      <c r="O26" s="349"/>
      <c r="P26" s="354"/>
      <c r="Q26" s="354"/>
      <c r="R26" s="354"/>
      <c r="S26" s="354"/>
      <c r="T26" s="352">
        <f t="shared" ref="T26:T32" si="7">SUM(C26:O26)</f>
        <v>30</v>
      </c>
      <c r="U26" s="353">
        <f>ROUNDUP((((1.4+4.95+4.6+5.6+4+4)*4.7)+(4.6*0.7)+(3.2*1.38))-(BK7+(CD7*2)),0)</f>
        <v>118</v>
      </c>
      <c r="V26" s="353"/>
      <c r="W26" s="353"/>
      <c r="X26" s="349"/>
      <c r="Y26" s="349"/>
      <c r="Z26" s="349"/>
      <c r="AA26" s="349">
        <f>ROUNDUP(((1.4+4.95+4.6+0.3+0.7+5.6+4.1+0.1+4.1+3.9+1.1)*4.7)-(BK7+(CD7*2)),0)</f>
        <v>140</v>
      </c>
      <c r="AB26" s="349"/>
      <c r="AC26" s="349"/>
      <c r="AD26" s="349">
        <f>AA26</f>
        <v>140</v>
      </c>
      <c r="AE26" s="349"/>
      <c r="AF26" s="349"/>
      <c r="AG26" s="349"/>
      <c r="AH26" s="349"/>
      <c r="AI26" s="349"/>
      <c r="AJ26" s="349"/>
      <c r="AK26" s="349"/>
      <c r="AL26" s="349"/>
      <c r="AM26" s="349"/>
      <c r="AN26" s="349">
        <f>ROUNDUP((6*4.7)+BK9+(CD9*2),0)</f>
        <v>36</v>
      </c>
      <c r="AO26" s="349"/>
      <c r="AP26" s="354"/>
      <c r="AQ26" s="352">
        <f>ROUNDUP(BK8+(CD8*2),0)</f>
        <v>12</v>
      </c>
      <c r="AR26" s="353"/>
      <c r="AS26" s="367">
        <f>E26</f>
        <v>30</v>
      </c>
      <c r="AT26" s="349"/>
      <c r="AU26" s="349"/>
      <c r="AV26" s="352"/>
      <c r="AW26" s="353"/>
      <c r="AX26" s="349"/>
      <c r="AY26" s="369">
        <f t="shared" ref="AY26:AY32" si="8">AS26</f>
        <v>30</v>
      </c>
      <c r="AZ26" s="353"/>
      <c r="BA26" s="349"/>
      <c r="BB26" s="349"/>
      <c r="BC26" s="349"/>
      <c r="BD26" s="349"/>
      <c r="BE26" s="349"/>
      <c r="BF26" s="349"/>
      <c r="BG26" s="349"/>
      <c r="BH26" s="349"/>
      <c r="BI26" s="349"/>
      <c r="BJ26" s="349"/>
      <c r="BK26" s="367">
        <v>1</v>
      </c>
      <c r="BL26" s="367"/>
      <c r="BM26" s="349"/>
      <c r="BN26" s="349"/>
      <c r="BO26" s="349"/>
      <c r="BP26" s="349"/>
      <c r="BQ26" s="349"/>
      <c r="BR26" s="349"/>
      <c r="BS26" s="349"/>
      <c r="BT26" s="349"/>
      <c r="BU26" s="349"/>
      <c r="BV26" s="349"/>
      <c r="BW26" s="349"/>
      <c r="BX26" s="349"/>
      <c r="BY26" s="349"/>
      <c r="BZ26" s="349"/>
      <c r="CA26" s="349"/>
      <c r="CB26" s="349"/>
      <c r="CC26" s="354"/>
      <c r="CD26" s="370">
        <v>2</v>
      </c>
      <c r="CE26" s="370"/>
      <c r="CF26" s="354"/>
      <c r="CG26" s="354"/>
      <c r="CH26" s="354"/>
      <c r="CI26" s="354"/>
      <c r="CJ26" s="354"/>
      <c r="CK26" s="354"/>
      <c r="CL26" s="354"/>
      <c r="CM26" s="354"/>
      <c r="CN26" s="354"/>
      <c r="CO26" s="354"/>
      <c r="CP26" s="354"/>
      <c r="CQ26" s="354"/>
      <c r="CR26" s="354"/>
      <c r="CS26" s="354"/>
      <c r="CT26" s="354"/>
      <c r="CU26" s="354"/>
      <c r="CV26" s="354"/>
      <c r="CW26" s="354"/>
      <c r="CX26" s="354"/>
      <c r="CY26" s="354"/>
      <c r="CZ26" s="354"/>
      <c r="DA26" s="354"/>
      <c r="DB26" s="354"/>
      <c r="DC26" s="352"/>
      <c r="DD26" s="59">
        <v>1</v>
      </c>
      <c r="DE26" s="59">
        <v>1</v>
      </c>
      <c r="DF26" s="59">
        <v>1</v>
      </c>
      <c r="DI26" s="59">
        <v>3</v>
      </c>
      <c r="DJ26" s="58" t="s">
        <v>524</v>
      </c>
      <c r="DL26" s="364">
        <f>ROUNDUP(BL7*5500,0)</f>
        <v>13750</v>
      </c>
    </row>
    <row r="27" spans="1:116" s="59" customFormat="1">
      <c r="A27" s="365"/>
      <c r="B27" s="366" t="s">
        <v>447</v>
      </c>
      <c r="C27" s="349"/>
      <c r="D27" s="349"/>
      <c r="E27" s="367">
        <f>ROUNDUP(29.65,0)</f>
        <v>30</v>
      </c>
      <c r="F27" s="349"/>
      <c r="G27" s="349"/>
      <c r="H27" s="367"/>
      <c r="I27" s="349"/>
      <c r="J27" s="349"/>
      <c r="K27" s="349"/>
      <c r="L27" s="349"/>
      <c r="M27" s="349"/>
      <c r="N27" s="349"/>
      <c r="O27" s="349"/>
      <c r="P27" s="354"/>
      <c r="Q27" s="354"/>
      <c r="R27" s="354"/>
      <c r="S27" s="354"/>
      <c r="T27" s="352">
        <f t="shared" si="7"/>
        <v>30</v>
      </c>
      <c r="U27" s="353">
        <f>ROUNDUP((((1.4+4.95+4.6+5.6+4+4+1.7)*4.7)+(4.6*0.7)+(3.2*1.38))-(BK7+(CD7*2)),0)</f>
        <v>126</v>
      </c>
      <c r="V27" s="353"/>
      <c r="W27" s="353"/>
      <c r="X27" s="349"/>
      <c r="Y27" s="349"/>
      <c r="Z27" s="349"/>
      <c r="AA27" s="349">
        <f>ROUNDUP(((1.3+4.95+4.6+0.3+0.7+5.6+0.1+3.2+1.8+0.1+0.7)*4.7)-(BK7+(CD7*2)),0)</f>
        <v>105</v>
      </c>
      <c r="AB27" s="349"/>
      <c r="AC27" s="349"/>
      <c r="AD27" s="349">
        <f>AA27</f>
        <v>105</v>
      </c>
      <c r="AE27" s="349"/>
      <c r="AF27" s="349"/>
      <c r="AG27" s="349"/>
      <c r="AH27" s="349"/>
      <c r="AI27" s="349"/>
      <c r="AJ27" s="349"/>
      <c r="AK27" s="349"/>
      <c r="AL27" s="349"/>
      <c r="AM27" s="349"/>
      <c r="AN27" s="349">
        <f>ROUNDUP((5*4.7)+BK9+(CD9*2),0)</f>
        <v>32</v>
      </c>
      <c r="AO27" s="349"/>
      <c r="AP27" s="354"/>
      <c r="AQ27" s="352">
        <f>ROUNDUP(BK8+(CD8*2),0)</f>
        <v>12</v>
      </c>
      <c r="AR27" s="353"/>
      <c r="AS27" s="367">
        <f t="shared" ref="AS27:AS32" si="9">E27</f>
        <v>30</v>
      </c>
      <c r="AT27" s="349"/>
      <c r="AU27" s="349"/>
      <c r="AV27" s="352"/>
      <c r="AW27" s="353"/>
      <c r="AX27" s="349"/>
      <c r="AY27" s="369">
        <f t="shared" si="8"/>
        <v>30</v>
      </c>
      <c r="AZ27" s="353"/>
      <c r="BA27" s="349"/>
      <c r="BB27" s="349"/>
      <c r="BC27" s="349"/>
      <c r="BD27" s="349"/>
      <c r="BE27" s="349"/>
      <c r="BF27" s="349"/>
      <c r="BG27" s="349"/>
      <c r="BH27" s="349"/>
      <c r="BI27" s="349"/>
      <c r="BJ27" s="349"/>
      <c r="BK27" s="367">
        <v>1</v>
      </c>
      <c r="BL27" s="367"/>
      <c r="BM27" s="349"/>
      <c r="BN27" s="349"/>
      <c r="BO27" s="349"/>
      <c r="BP27" s="349"/>
      <c r="BQ27" s="349"/>
      <c r="BR27" s="349"/>
      <c r="BS27" s="349"/>
      <c r="BT27" s="349"/>
      <c r="BU27" s="349"/>
      <c r="BV27" s="349"/>
      <c r="BW27" s="349"/>
      <c r="BX27" s="349"/>
      <c r="BY27" s="349"/>
      <c r="BZ27" s="349"/>
      <c r="CA27" s="349"/>
      <c r="CB27" s="349"/>
      <c r="CC27" s="354"/>
      <c r="CD27" s="370">
        <v>2</v>
      </c>
      <c r="CE27" s="370"/>
      <c r="CF27" s="354"/>
      <c r="CG27" s="354"/>
      <c r="CH27" s="354"/>
      <c r="CI27" s="354"/>
      <c r="CJ27" s="354"/>
      <c r="CK27" s="354"/>
      <c r="CL27" s="354"/>
      <c r="CM27" s="354"/>
      <c r="CN27" s="354"/>
      <c r="CO27" s="354"/>
      <c r="CP27" s="354"/>
      <c r="CQ27" s="354"/>
      <c r="CR27" s="354"/>
      <c r="CS27" s="354"/>
      <c r="CT27" s="354"/>
      <c r="CU27" s="354"/>
      <c r="CV27" s="354"/>
      <c r="CW27" s="354"/>
      <c r="CX27" s="354"/>
      <c r="CY27" s="354"/>
      <c r="CZ27" s="354"/>
      <c r="DA27" s="354"/>
      <c r="DB27" s="354"/>
      <c r="DC27" s="352"/>
      <c r="DD27" s="59">
        <v>1</v>
      </c>
      <c r="DE27" s="59">
        <v>2</v>
      </c>
      <c r="DF27" s="59">
        <v>2</v>
      </c>
      <c r="DI27" s="59">
        <v>13</v>
      </c>
      <c r="DJ27" s="58" t="s">
        <v>525</v>
      </c>
      <c r="DL27" s="364">
        <f>ROUNDUP(BM7*6500,0)</f>
        <v>14658</v>
      </c>
    </row>
    <row r="28" spans="1:116" s="59" customFormat="1">
      <c r="A28" s="368"/>
      <c r="B28" s="366" t="s">
        <v>448</v>
      </c>
      <c r="C28" s="349"/>
      <c r="D28" s="349"/>
      <c r="E28" s="367">
        <f>ROUNDUP(9.9,0)</f>
        <v>10</v>
      </c>
      <c r="F28" s="349"/>
      <c r="G28" s="349"/>
      <c r="H28" s="367"/>
      <c r="I28" s="349"/>
      <c r="J28" s="349"/>
      <c r="K28" s="349"/>
      <c r="L28" s="349"/>
      <c r="M28" s="349"/>
      <c r="N28" s="349"/>
      <c r="O28" s="349"/>
      <c r="P28" s="354"/>
      <c r="Q28" s="354"/>
      <c r="R28" s="354"/>
      <c r="S28" s="354"/>
      <c r="T28" s="352">
        <f t="shared" si="7"/>
        <v>10</v>
      </c>
      <c r="U28" s="353">
        <f>ROUNDUP((12.83*4.7)-BL7,0)</f>
        <v>58</v>
      </c>
      <c r="V28" s="353"/>
      <c r="W28" s="353"/>
      <c r="X28" s="349"/>
      <c r="Y28" s="349"/>
      <c r="Z28" s="349"/>
      <c r="AA28" s="349">
        <f>U28</f>
        <v>58</v>
      </c>
      <c r="AB28" s="349"/>
      <c r="AC28" s="349"/>
      <c r="AD28" s="349">
        <f>AA28</f>
        <v>58</v>
      </c>
      <c r="AE28" s="349"/>
      <c r="AF28" s="349"/>
      <c r="AG28" s="349"/>
      <c r="AH28" s="349"/>
      <c r="AI28" s="349"/>
      <c r="AJ28" s="349"/>
      <c r="AK28" s="349"/>
      <c r="AL28" s="349"/>
      <c r="AM28" s="349"/>
      <c r="AN28" s="349">
        <f>BL9</f>
        <v>5</v>
      </c>
      <c r="AO28" s="349"/>
      <c r="AP28" s="354"/>
      <c r="AQ28" s="352">
        <f>BL8</f>
        <v>1</v>
      </c>
      <c r="AR28" s="353"/>
      <c r="AS28" s="367">
        <f t="shared" si="9"/>
        <v>10</v>
      </c>
      <c r="AT28" s="349"/>
      <c r="AU28" s="349"/>
      <c r="AV28" s="352"/>
      <c r="AW28" s="353"/>
      <c r="AX28" s="349"/>
      <c r="AY28" s="369">
        <f t="shared" si="8"/>
        <v>10</v>
      </c>
      <c r="AZ28" s="353"/>
      <c r="BA28" s="349"/>
      <c r="BB28" s="349"/>
      <c r="BC28" s="349"/>
      <c r="BD28" s="349"/>
      <c r="BE28" s="349"/>
      <c r="BF28" s="349"/>
      <c r="BG28" s="349"/>
      <c r="BH28" s="349"/>
      <c r="BI28" s="349"/>
      <c r="BJ28" s="349"/>
      <c r="BK28" s="367"/>
      <c r="BL28" s="367">
        <v>1</v>
      </c>
      <c r="BM28" s="349"/>
      <c r="BN28" s="349"/>
      <c r="BO28" s="349"/>
      <c r="BP28" s="349"/>
      <c r="BQ28" s="349"/>
      <c r="BR28" s="349"/>
      <c r="BS28" s="349"/>
      <c r="BT28" s="349"/>
      <c r="BU28" s="349"/>
      <c r="BV28" s="349"/>
      <c r="BW28" s="349"/>
      <c r="BX28" s="349"/>
      <c r="BY28" s="349"/>
      <c r="BZ28" s="349"/>
      <c r="CA28" s="349"/>
      <c r="CB28" s="349"/>
      <c r="CC28" s="354"/>
      <c r="CD28" s="370"/>
      <c r="CE28" s="370"/>
      <c r="CF28" s="354"/>
      <c r="CG28" s="354"/>
      <c r="CH28" s="354"/>
      <c r="CI28" s="354"/>
      <c r="CJ28" s="354"/>
      <c r="CK28" s="354"/>
      <c r="CL28" s="354"/>
      <c r="CM28" s="354"/>
      <c r="CN28" s="354"/>
      <c r="CO28" s="354"/>
      <c r="CP28" s="354"/>
      <c r="CQ28" s="354"/>
      <c r="CR28" s="354"/>
      <c r="CS28" s="354"/>
      <c r="CT28" s="354"/>
      <c r="CU28" s="354"/>
      <c r="CV28" s="354"/>
      <c r="CW28" s="354"/>
      <c r="CX28" s="354"/>
      <c r="CY28" s="354"/>
      <c r="CZ28" s="354"/>
      <c r="DA28" s="354"/>
      <c r="DB28" s="354"/>
      <c r="DC28" s="352"/>
      <c r="DE28" s="59">
        <v>16</v>
      </c>
      <c r="DF28" s="59">
        <v>28</v>
      </c>
      <c r="DI28" s="59">
        <v>44</v>
      </c>
      <c r="DJ28" s="58" t="s">
        <v>550</v>
      </c>
      <c r="DL28" s="364">
        <f>ROUNDUP(BN7*4500,0)</f>
        <v>12375</v>
      </c>
    </row>
    <row r="29" spans="1:116" s="59" customFormat="1">
      <c r="A29" s="368"/>
      <c r="B29" s="366" t="s">
        <v>449</v>
      </c>
      <c r="C29" s="349"/>
      <c r="D29" s="349"/>
      <c r="E29" s="367">
        <f>ROUNDUP(27.98,0)</f>
        <v>28</v>
      </c>
      <c r="F29" s="349"/>
      <c r="G29" s="349"/>
      <c r="H29" s="367"/>
      <c r="I29" s="349"/>
      <c r="J29" s="349"/>
      <c r="K29" s="349"/>
      <c r="L29" s="349"/>
      <c r="M29" s="349"/>
      <c r="N29" s="349"/>
      <c r="O29" s="349"/>
      <c r="P29" s="354"/>
      <c r="Q29" s="354"/>
      <c r="R29" s="354"/>
      <c r="S29" s="354"/>
      <c r="T29" s="352">
        <f t="shared" si="7"/>
        <v>28</v>
      </c>
      <c r="U29" s="353">
        <f>ROUNDUP(((3+0.61+1.6+5+0.82+1.8+0.2+1.2)*4.7)-(BK7+BM7),0)</f>
        <v>62</v>
      </c>
      <c r="V29" s="353"/>
      <c r="W29" s="353"/>
      <c r="X29" s="349"/>
      <c r="Y29" s="349"/>
      <c r="Z29" s="349"/>
      <c r="AA29" s="349">
        <f>ROUNDUP(((7.16+3.2+0.71+1.7+5+3.52+0.3+1.2)*4.7)-(BK7+BM7),0)</f>
        <v>103</v>
      </c>
      <c r="AB29" s="349"/>
      <c r="AC29" s="349"/>
      <c r="AD29" s="349">
        <f t="shared" ref="AD29:AD32" si="10">AA29</f>
        <v>103</v>
      </c>
      <c r="AE29" s="349"/>
      <c r="AF29" s="349"/>
      <c r="AG29" s="349"/>
      <c r="AH29" s="349"/>
      <c r="AI29" s="349"/>
      <c r="AJ29" s="349"/>
      <c r="AK29" s="349"/>
      <c r="AL29" s="349"/>
      <c r="AM29" s="349"/>
      <c r="AN29" s="349">
        <f>ROUNDUP((8*4.7)+BK9+BM9,0)</f>
        <v>47</v>
      </c>
      <c r="AO29" s="349"/>
      <c r="AP29" s="354"/>
      <c r="AQ29" s="352">
        <f>ROUNDUP(BK8+BM8,0)</f>
        <v>4</v>
      </c>
      <c r="AR29" s="353"/>
      <c r="AS29" s="367">
        <f t="shared" si="9"/>
        <v>28</v>
      </c>
      <c r="AT29" s="349"/>
      <c r="AU29" s="349"/>
      <c r="AV29" s="352"/>
      <c r="AW29" s="353"/>
      <c r="AX29" s="349"/>
      <c r="AY29" s="369">
        <f t="shared" si="8"/>
        <v>28</v>
      </c>
      <c r="AZ29" s="353"/>
      <c r="BA29" s="349"/>
      <c r="BB29" s="349"/>
      <c r="BC29" s="349"/>
      <c r="BD29" s="349"/>
      <c r="BE29" s="349"/>
      <c r="BF29" s="349"/>
      <c r="BG29" s="349"/>
      <c r="BH29" s="349"/>
      <c r="BI29" s="349"/>
      <c r="BJ29" s="349"/>
      <c r="BK29" s="367">
        <v>1</v>
      </c>
      <c r="BL29" s="367"/>
      <c r="BM29" s="349"/>
      <c r="BN29" s="349"/>
      <c r="BO29" s="349"/>
      <c r="BP29" s="349"/>
      <c r="BQ29" s="349"/>
      <c r="BR29" s="349"/>
      <c r="BS29" s="349"/>
      <c r="BT29" s="349"/>
      <c r="BU29" s="349"/>
      <c r="BV29" s="349"/>
      <c r="BW29" s="349"/>
      <c r="BX29" s="349"/>
      <c r="BY29" s="349"/>
      <c r="BZ29" s="349"/>
      <c r="CA29" s="349"/>
      <c r="CB29" s="349"/>
      <c r="CC29" s="354"/>
      <c r="CD29" s="370"/>
      <c r="CE29" s="370"/>
      <c r="CF29" s="354"/>
      <c r="CG29" s="354"/>
      <c r="CH29" s="354"/>
      <c r="CI29" s="354"/>
      <c r="CJ29" s="354"/>
      <c r="CK29" s="354"/>
      <c r="CL29" s="354"/>
      <c r="CM29" s="354"/>
      <c r="CN29" s="354"/>
      <c r="CO29" s="354"/>
      <c r="CP29" s="354"/>
      <c r="CQ29" s="354"/>
      <c r="CR29" s="354"/>
      <c r="CS29" s="354"/>
      <c r="CT29" s="354"/>
      <c r="CU29" s="354"/>
      <c r="CV29" s="354"/>
      <c r="CW29" s="354"/>
      <c r="CX29" s="354"/>
      <c r="CY29" s="354"/>
      <c r="CZ29" s="354"/>
      <c r="DA29" s="354"/>
      <c r="DB29" s="354"/>
      <c r="DC29" s="352"/>
      <c r="DD29" s="59">
        <v>1</v>
      </c>
      <c r="DI29" s="59">
        <v>1</v>
      </c>
      <c r="DJ29" s="58" t="s">
        <v>551</v>
      </c>
      <c r="DL29" s="364">
        <f>ROUNDUP(BO7*6500,0)</f>
        <v>37050</v>
      </c>
    </row>
    <row r="30" spans="1:116" s="59" customFormat="1">
      <c r="A30" s="474"/>
      <c r="B30" s="475"/>
      <c r="C30" s="349"/>
      <c r="D30" s="349"/>
      <c r="E30" s="367"/>
      <c r="F30" s="349"/>
      <c r="G30" s="349"/>
      <c r="H30" s="367"/>
      <c r="I30" s="349"/>
      <c r="J30" s="349"/>
      <c r="K30" s="349"/>
      <c r="L30" s="349"/>
      <c r="M30" s="349"/>
      <c r="N30" s="349"/>
      <c r="O30" s="349"/>
      <c r="P30" s="354"/>
      <c r="Q30" s="354"/>
      <c r="R30" s="354"/>
      <c r="S30" s="354"/>
      <c r="T30" s="352"/>
      <c r="U30" s="476"/>
      <c r="V30" s="476"/>
      <c r="W30" s="476"/>
      <c r="X30" s="349"/>
      <c r="Y30" s="349"/>
      <c r="Z30" s="349"/>
      <c r="AA30" s="349"/>
      <c r="AB30" s="349"/>
      <c r="AC30" s="349"/>
      <c r="AD30" s="349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/>
      <c r="AP30" s="354"/>
      <c r="AQ30" s="352"/>
      <c r="AR30" s="476"/>
      <c r="AS30" s="367"/>
      <c r="AT30" s="349"/>
      <c r="AU30" s="349"/>
      <c r="AV30" s="352"/>
      <c r="AW30" s="476"/>
      <c r="AX30" s="349"/>
      <c r="AY30" s="369"/>
      <c r="AZ30" s="476"/>
      <c r="BA30" s="349"/>
      <c r="BB30" s="349"/>
      <c r="BC30" s="349"/>
      <c r="BD30" s="349"/>
      <c r="BE30" s="349"/>
      <c r="BF30" s="349"/>
      <c r="BG30" s="349"/>
      <c r="BH30" s="349"/>
      <c r="BI30" s="349"/>
      <c r="BJ30" s="349"/>
      <c r="BK30" s="367"/>
      <c r="BL30" s="367"/>
      <c r="BM30" s="349"/>
      <c r="BN30" s="349"/>
      <c r="BO30" s="349"/>
      <c r="BP30" s="349"/>
      <c r="BQ30" s="349"/>
      <c r="BR30" s="349"/>
      <c r="BS30" s="349"/>
      <c r="BT30" s="349"/>
      <c r="BU30" s="349"/>
      <c r="BV30" s="349"/>
      <c r="BW30" s="349"/>
      <c r="BX30" s="349"/>
      <c r="BY30" s="349"/>
      <c r="BZ30" s="349"/>
      <c r="CA30" s="349"/>
      <c r="CB30" s="349"/>
      <c r="CC30" s="354"/>
      <c r="CD30" s="370"/>
      <c r="CE30" s="370"/>
      <c r="CF30" s="354"/>
      <c r="CG30" s="354"/>
      <c r="CH30" s="354"/>
      <c r="CI30" s="354"/>
      <c r="CJ30" s="354"/>
      <c r="CK30" s="354"/>
      <c r="CL30" s="354"/>
      <c r="CM30" s="354"/>
      <c r="CN30" s="354"/>
      <c r="CO30" s="354"/>
      <c r="CP30" s="354"/>
      <c r="CQ30" s="354"/>
      <c r="CR30" s="354"/>
      <c r="CS30" s="354"/>
      <c r="CT30" s="354"/>
      <c r="CU30" s="354"/>
      <c r="CV30" s="354"/>
      <c r="CW30" s="354"/>
      <c r="CX30" s="354"/>
      <c r="CY30" s="354"/>
      <c r="CZ30" s="354"/>
      <c r="DA30" s="354"/>
      <c r="DB30" s="354"/>
      <c r="DC30" s="352"/>
      <c r="DI30" s="59">
        <v>1</v>
      </c>
      <c r="DJ30" s="58" t="s">
        <v>715</v>
      </c>
      <c r="DL30" s="364">
        <f>BP7*3500</f>
        <v>17500</v>
      </c>
    </row>
    <row r="31" spans="1:116" s="59" customFormat="1">
      <c r="A31" s="368"/>
      <c r="B31" s="366" t="s">
        <v>516</v>
      </c>
      <c r="C31" s="349"/>
      <c r="D31" s="349"/>
      <c r="E31" s="367">
        <f>ROUNDUP(7.7,0)</f>
        <v>8</v>
      </c>
      <c r="F31" s="349"/>
      <c r="G31" s="349"/>
      <c r="H31" s="367"/>
      <c r="I31" s="349"/>
      <c r="J31" s="349"/>
      <c r="K31" s="349"/>
      <c r="L31" s="349"/>
      <c r="M31" s="349"/>
      <c r="N31" s="349"/>
      <c r="O31" s="349"/>
      <c r="P31" s="354"/>
      <c r="Q31" s="354"/>
      <c r="R31" s="354"/>
      <c r="S31" s="354"/>
      <c r="T31" s="352">
        <f t="shared" si="7"/>
        <v>8</v>
      </c>
      <c r="U31" s="353">
        <f>ROUNDUP((2.25*4.7)-CF7,0)</f>
        <v>10</v>
      </c>
      <c r="V31" s="353"/>
      <c r="W31" s="353"/>
      <c r="X31" s="349"/>
      <c r="Y31" s="349"/>
      <c r="Z31" s="349">
        <f>ROUNDUP(((2.39+0.7)*4.7)-CF7,0)</f>
        <v>14</v>
      </c>
      <c r="AA31" s="349">
        <f>ROUNDUP(((4+1.08+4.25+2.65)*4.7)-(BM7+CF7),0)</f>
        <v>53</v>
      </c>
      <c r="AB31" s="349"/>
      <c r="AC31" s="349"/>
      <c r="AD31" s="349">
        <f t="shared" si="10"/>
        <v>53</v>
      </c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49"/>
      <c r="AP31" s="354"/>
      <c r="AQ31" s="352">
        <f>CF8</f>
        <v>3.4</v>
      </c>
      <c r="AR31" s="353"/>
      <c r="AS31" s="367">
        <f t="shared" si="9"/>
        <v>8</v>
      </c>
      <c r="AT31" s="349"/>
      <c r="AU31" s="349"/>
      <c r="AV31" s="352"/>
      <c r="AW31" s="353"/>
      <c r="AX31" s="349">
        <f>Z31</f>
        <v>14</v>
      </c>
      <c r="AY31" s="369">
        <f t="shared" si="8"/>
        <v>8</v>
      </c>
      <c r="AZ31" s="353"/>
      <c r="BA31" s="349"/>
      <c r="BB31" s="349"/>
      <c r="BC31" s="349"/>
      <c r="BD31" s="349"/>
      <c r="BE31" s="349"/>
      <c r="BF31" s="349"/>
      <c r="BG31" s="349"/>
      <c r="BH31" s="349"/>
      <c r="BI31" s="349"/>
      <c r="BJ31" s="349"/>
      <c r="BK31" s="367"/>
      <c r="BL31" s="367"/>
      <c r="BM31" s="367">
        <v>1</v>
      </c>
      <c r="BN31" s="349"/>
      <c r="BO31" s="349"/>
      <c r="BP31" s="349"/>
      <c r="BQ31" s="349"/>
      <c r="BR31" s="349"/>
      <c r="BS31" s="349"/>
      <c r="BT31" s="349"/>
      <c r="BU31" s="349"/>
      <c r="BV31" s="349"/>
      <c r="BW31" s="349"/>
      <c r="BX31" s="349"/>
      <c r="BY31" s="349"/>
      <c r="BZ31" s="349"/>
      <c r="CA31" s="349"/>
      <c r="CB31" s="349"/>
      <c r="CC31" s="354"/>
      <c r="CD31" s="370"/>
      <c r="CE31" s="370"/>
      <c r="CF31" s="370">
        <v>1</v>
      </c>
      <c r="CG31" s="370"/>
      <c r="CH31" s="354"/>
      <c r="CI31" s="354"/>
      <c r="CJ31" s="354"/>
      <c r="CK31" s="354"/>
      <c r="CL31" s="354"/>
      <c r="CM31" s="354"/>
      <c r="CN31" s="354"/>
      <c r="CO31" s="354"/>
      <c r="CP31" s="354"/>
      <c r="CQ31" s="354"/>
      <c r="CR31" s="354"/>
      <c r="CS31" s="354"/>
      <c r="CT31" s="354"/>
      <c r="CU31" s="354"/>
      <c r="CV31" s="354"/>
      <c r="CW31" s="354"/>
      <c r="CX31" s="354"/>
      <c r="CY31" s="354"/>
      <c r="CZ31" s="354"/>
      <c r="DA31" s="354"/>
      <c r="DB31" s="354"/>
      <c r="DC31" s="352"/>
      <c r="DF31" s="59">
        <v>1</v>
      </c>
      <c r="DI31" s="59">
        <v>1</v>
      </c>
      <c r="DJ31" s="58" t="s">
        <v>552</v>
      </c>
      <c r="DL31" s="364">
        <f>ROUNDUP(BQ7*5500,0)</f>
        <v>96250</v>
      </c>
    </row>
    <row r="32" spans="1:116" s="59" customFormat="1">
      <c r="A32" s="368"/>
      <c r="B32" s="366" t="s">
        <v>450</v>
      </c>
      <c r="C32" s="367"/>
      <c r="D32" s="349"/>
      <c r="E32" s="367">
        <f>ROUNDUP(55.46,0)</f>
        <v>56</v>
      </c>
      <c r="F32" s="349"/>
      <c r="G32" s="349"/>
      <c r="H32" s="367"/>
      <c r="I32" s="349"/>
      <c r="J32" s="349"/>
      <c r="K32" s="349"/>
      <c r="L32" s="349"/>
      <c r="M32" s="349"/>
      <c r="N32" s="349"/>
      <c r="O32" s="349"/>
      <c r="P32" s="354"/>
      <c r="Q32" s="354"/>
      <c r="R32" s="354"/>
      <c r="S32" s="354"/>
      <c r="T32" s="352">
        <f t="shared" si="7"/>
        <v>56</v>
      </c>
      <c r="U32" s="353">
        <f>ROUNDUP(((1.9+1.4+7.2+5.6+7.2+1.4)*4.7)-(BK7+(CD7*2)),0)</f>
        <v>111</v>
      </c>
      <c r="V32" s="353"/>
      <c r="W32" s="353"/>
      <c r="X32" s="349"/>
      <c r="Y32" s="349"/>
      <c r="Z32" s="349"/>
      <c r="AA32" s="349">
        <f>ROUNDUP(((5.9+10.1+5.6+8.7+0.3+1.4)*4.7)-(BK7+(CD7*2)),0)</f>
        <v>145</v>
      </c>
      <c r="AB32" s="349"/>
      <c r="AC32" s="349"/>
      <c r="AD32" s="349">
        <f t="shared" si="10"/>
        <v>145</v>
      </c>
      <c r="AE32" s="349"/>
      <c r="AF32" s="349"/>
      <c r="AG32" s="349"/>
      <c r="AH32" s="349"/>
      <c r="AI32" s="349"/>
      <c r="AJ32" s="349"/>
      <c r="AK32" s="349"/>
      <c r="AL32" s="349"/>
      <c r="AM32" s="349"/>
      <c r="AN32" s="349">
        <f>ROUNDUP(((3*4.7)+BK9+(CD9*2)),0)</f>
        <v>22</v>
      </c>
      <c r="AO32" s="349"/>
      <c r="AP32" s="354"/>
      <c r="AQ32" s="352">
        <f>ROUNDUP(BK8+(CD8*2),0)</f>
        <v>12</v>
      </c>
      <c r="AR32" s="353"/>
      <c r="AS32" s="367">
        <f t="shared" si="9"/>
        <v>56</v>
      </c>
      <c r="AT32" s="349"/>
      <c r="AU32" s="349"/>
      <c r="AV32" s="352"/>
      <c r="AW32" s="353"/>
      <c r="AX32" s="349"/>
      <c r="AY32" s="369">
        <f t="shared" si="8"/>
        <v>56</v>
      </c>
      <c r="AZ32" s="353"/>
      <c r="BA32" s="349"/>
      <c r="BB32" s="349"/>
      <c r="BC32" s="349"/>
      <c r="BD32" s="349"/>
      <c r="BE32" s="349"/>
      <c r="BF32" s="349"/>
      <c r="BG32" s="349"/>
      <c r="BH32" s="349"/>
      <c r="BI32" s="349"/>
      <c r="BJ32" s="349"/>
      <c r="BK32" s="367">
        <v>1</v>
      </c>
      <c r="BL32" s="367"/>
      <c r="BM32" s="349"/>
      <c r="BN32" s="349"/>
      <c r="BO32" s="349"/>
      <c r="BP32" s="349"/>
      <c r="BQ32" s="349"/>
      <c r="BR32" s="349"/>
      <c r="BS32" s="349"/>
      <c r="BT32" s="349"/>
      <c r="BU32" s="349"/>
      <c r="BV32" s="349"/>
      <c r="BW32" s="349"/>
      <c r="BX32" s="349"/>
      <c r="BY32" s="349"/>
      <c r="BZ32" s="349"/>
      <c r="CA32" s="349"/>
      <c r="CB32" s="349"/>
      <c r="CC32" s="354"/>
      <c r="CD32" s="370">
        <v>2</v>
      </c>
      <c r="CE32" s="370"/>
      <c r="CF32" s="354"/>
      <c r="CG32" s="354"/>
      <c r="CH32" s="354"/>
      <c r="CI32" s="354"/>
      <c r="CJ32" s="354"/>
      <c r="CK32" s="354"/>
      <c r="CL32" s="354"/>
      <c r="CM32" s="354"/>
      <c r="CN32" s="354"/>
      <c r="CO32" s="354"/>
      <c r="CP32" s="354"/>
      <c r="CQ32" s="354"/>
      <c r="CR32" s="354"/>
      <c r="CS32" s="354"/>
      <c r="CT32" s="354"/>
      <c r="CU32" s="354"/>
      <c r="CV32" s="354"/>
      <c r="CW32" s="354"/>
      <c r="CX32" s="354"/>
      <c r="CY32" s="354"/>
      <c r="CZ32" s="354"/>
      <c r="DA32" s="354"/>
      <c r="DB32" s="354"/>
      <c r="DC32" s="352"/>
      <c r="DI32" s="59">
        <v>1</v>
      </c>
      <c r="DJ32" s="58" t="s">
        <v>553</v>
      </c>
      <c r="DL32" s="364">
        <f>ROUNDUP(BR7*4500,0)</f>
        <v>299208</v>
      </c>
    </row>
    <row r="33" spans="1:116" s="59" customFormat="1">
      <c r="A33" s="368"/>
      <c r="B33" s="366"/>
      <c r="C33" s="367"/>
      <c r="D33" s="349"/>
      <c r="E33" s="367"/>
      <c r="F33" s="349"/>
      <c r="G33" s="349"/>
      <c r="H33" s="367"/>
      <c r="I33" s="349"/>
      <c r="J33" s="349"/>
      <c r="K33" s="349"/>
      <c r="L33" s="349"/>
      <c r="M33" s="349"/>
      <c r="N33" s="349"/>
      <c r="O33" s="349"/>
      <c r="P33" s="354"/>
      <c r="Q33" s="354"/>
      <c r="R33" s="354"/>
      <c r="S33" s="354"/>
      <c r="T33" s="352"/>
      <c r="U33" s="353"/>
      <c r="V33" s="353"/>
      <c r="W33" s="353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/>
      <c r="AP33" s="354"/>
      <c r="AQ33" s="352"/>
      <c r="AR33" s="353"/>
      <c r="AS33" s="367"/>
      <c r="AT33" s="349"/>
      <c r="AU33" s="349"/>
      <c r="AV33" s="352"/>
      <c r="AW33" s="353"/>
      <c r="AX33" s="349"/>
      <c r="AY33" s="369"/>
      <c r="AZ33" s="353"/>
      <c r="BA33" s="349"/>
      <c r="BB33" s="349"/>
      <c r="BC33" s="349"/>
      <c r="BD33" s="349"/>
      <c r="BE33" s="349"/>
      <c r="BF33" s="349"/>
      <c r="BG33" s="349"/>
      <c r="BH33" s="349"/>
      <c r="BI33" s="349"/>
      <c r="BJ33" s="349"/>
      <c r="BK33" s="367"/>
      <c r="BL33" s="367"/>
      <c r="BM33" s="349"/>
      <c r="BN33" s="349"/>
      <c r="BO33" s="349"/>
      <c r="BP33" s="349"/>
      <c r="BQ33" s="349"/>
      <c r="BR33" s="349"/>
      <c r="BS33" s="349"/>
      <c r="BT33" s="349"/>
      <c r="BU33" s="349"/>
      <c r="BV33" s="349"/>
      <c r="BW33" s="349"/>
      <c r="BX33" s="349"/>
      <c r="BY33" s="349"/>
      <c r="BZ33" s="349"/>
      <c r="CA33" s="349"/>
      <c r="CB33" s="349"/>
      <c r="CC33" s="354"/>
      <c r="CD33" s="370"/>
      <c r="CE33" s="370"/>
      <c r="CF33" s="354"/>
      <c r="CG33" s="354"/>
      <c r="CH33" s="354"/>
      <c r="CI33" s="354"/>
      <c r="CJ33" s="354"/>
      <c r="CK33" s="354"/>
      <c r="CL33" s="354"/>
      <c r="CM33" s="354"/>
      <c r="CN33" s="354"/>
      <c r="CO33" s="354"/>
      <c r="CP33" s="354"/>
      <c r="CQ33" s="354"/>
      <c r="CR33" s="354"/>
      <c r="CS33" s="354"/>
      <c r="CT33" s="354"/>
      <c r="CU33" s="354"/>
      <c r="CV33" s="354"/>
      <c r="CW33" s="354"/>
      <c r="CX33" s="354"/>
      <c r="CY33" s="354"/>
      <c r="CZ33" s="354"/>
      <c r="DA33" s="354"/>
      <c r="DB33" s="354"/>
      <c r="DC33" s="352"/>
      <c r="DJ33" s="58" t="s">
        <v>554</v>
      </c>
      <c r="DL33" s="364"/>
    </row>
    <row r="34" spans="1:116" s="59" customFormat="1">
      <c r="A34" s="474"/>
      <c r="B34" s="475"/>
      <c r="C34" s="367"/>
      <c r="D34" s="349"/>
      <c r="E34" s="367"/>
      <c r="F34" s="349"/>
      <c r="G34" s="349"/>
      <c r="H34" s="367"/>
      <c r="I34" s="349"/>
      <c r="J34" s="349"/>
      <c r="K34" s="349"/>
      <c r="L34" s="349"/>
      <c r="M34" s="349"/>
      <c r="N34" s="349"/>
      <c r="O34" s="349"/>
      <c r="P34" s="354"/>
      <c r="Q34" s="354"/>
      <c r="R34" s="354"/>
      <c r="S34" s="354"/>
      <c r="T34" s="352"/>
      <c r="U34" s="476"/>
      <c r="V34" s="476"/>
      <c r="W34" s="476"/>
      <c r="X34" s="349"/>
      <c r="Y34" s="349"/>
      <c r="Z34" s="349"/>
      <c r="AA34" s="349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/>
      <c r="AP34" s="354"/>
      <c r="AQ34" s="352"/>
      <c r="AR34" s="476"/>
      <c r="AS34" s="367"/>
      <c r="AT34" s="349"/>
      <c r="AU34" s="349"/>
      <c r="AV34" s="352"/>
      <c r="AW34" s="476"/>
      <c r="AX34" s="349"/>
      <c r="AY34" s="369"/>
      <c r="AZ34" s="476"/>
      <c r="BA34" s="349"/>
      <c r="BB34" s="349"/>
      <c r="BC34" s="349"/>
      <c r="BD34" s="349"/>
      <c r="BE34" s="349"/>
      <c r="BF34" s="349"/>
      <c r="BG34" s="349"/>
      <c r="BH34" s="349"/>
      <c r="BI34" s="349"/>
      <c r="BJ34" s="349"/>
      <c r="BK34" s="367"/>
      <c r="BL34" s="367"/>
      <c r="BM34" s="349"/>
      <c r="BN34" s="349"/>
      <c r="BO34" s="349"/>
      <c r="BP34" s="349"/>
      <c r="BQ34" s="349"/>
      <c r="BR34" s="349"/>
      <c r="BS34" s="349"/>
      <c r="BT34" s="349"/>
      <c r="BU34" s="349"/>
      <c r="BV34" s="349"/>
      <c r="BW34" s="349"/>
      <c r="BX34" s="349"/>
      <c r="BY34" s="349"/>
      <c r="BZ34" s="349"/>
      <c r="CA34" s="349"/>
      <c r="CB34" s="349"/>
      <c r="CC34" s="354"/>
      <c r="CD34" s="370"/>
      <c r="CE34" s="370"/>
      <c r="CF34" s="354"/>
      <c r="CG34" s="354"/>
      <c r="CH34" s="354"/>
      <c r="CI34" s="354"/>
      <c r="CJ34" s="354"/>
      <c r="CK34" s="354"/>
      <c r="CL34" s="354"/>
      <c r="CM34" s="354"/>
      <c r="CN34" s="354"/>
      <c r="CO34" s="354"/>
      <c r="CP34" s="354"/>
      <c r="CQ34" s="354"/>
      <c r="CR34" s="354"/>
      <c r="CS34" s="354"/>
      <c r="CT34" s="354"/>
      <c r="CU34" s="354"/>
      <c r="CV34" s="354"/>
      <c r="CW34" s="354"/>
      <c r="CX34" s="354"/>
      <c r="CY34" s="354"/>
      <c r="CZ34" s="354"/>
      <c r="DA34" s="354"/>
      <c r="DB34" s="354"/>
      <c r="DC34" s="352"/>
      <c r="DJ34" s="58" t="s">
        <v>716</v>
      </c>
      <c r="DL34" s="364"/>
    </row>
    <row r="35" spans="1:116" s="59" customFormat="1">
      <c r="A35" s="474"/>
      <c r="B35" s="475"/>
      <c r="C35" s="367"/>
      <c r="D35" s="349"/>
      <c r="E35" s="367"/>
      <c r="F35" s="349"/>
      <c r="G35" s="349"/>
      <c r="H35" s="367"/>
      <c r="I35" s="349"/>
      <c r="J35" s="349"/>
      <c r="K35" s="349"/>
      <c r="L35" s="349"/>
      <c r="M35" s="349"/>
      <c r="N35" s="349"/>
      <c r="O35" s="349"/>
      <c r="P35" s="354"/>
      <c r="Q35" s="354"/>
      <c r="R35" s="354"/>
      <c r="S35" s="354"/>
      <c r="T35" s="352"/>
      <c r="U35" s="476"/>
      <c r="V35" s="476"/>
      <c r="W35" s="476"/>
      <c r="X35" s="349"/>
      <c r="Y35" s="349"/>
      <c r="Z35" s="349"/>
      <c r="AA35" s="349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54"/>
      <c r="AQ35" s="352"/>
      <c r="AR35" s="476"/>
      <c r="AS35" s="367"/>
      <c r="AT35" s="349"/>
      <c r="AU35" s="349"/>
      <c r="AV35" s="352"/>
      <c r="AW35" s="476"/>
      <c r="AX35" s="349"/>
      <c r="AY35" s="369"/>
      <c r="AZ35" s="476"/>
      <c r="BA35" s="349"/>
      <c r="BB35" s="349"/>
      <c r="BC35" s="349"/>
      <c r="BD35" s="349"/>
      <c r="BE35" s="349"/>
      <c r="BF35" s="349"/>
      <c r="BG35" s="349"/>
      <c r="BH35" s="349"/>
      <c r="BI35" s="349"/>
      <c r="BJ35" s="349"/>
      <c r="BK35" s="367"/>
      <c r="BL35" s="367"/>
      <c r="BM35" s="349"/>
      <c r="BN35" s="349"/>
      <c r="BO35" s="349"/>
      <c r="BP35" s="349"/>
      <c r="BQ35" s="349"/>
      <c r="BR35" s="349"/>
      <c r="BS35" s="349"/>
      <c r="BT35" s="349"/>
      <c r="BU35" s="349"/>
      <c r="BV35" s="349"/>
      <c r="BW35" s="349"/>
      <c r="BX35" s="349"/>
      <c r="BY35" s="349"/>
      <c r="BZ35" s="349"/>
      <c r="CA35" s="349"/>
      <c r="CB35" s="349"/>
      <c r="CC35" s="354"/>
      <c r="CD35" s="370"/>
      <c r="CE35" s="370"/>
      <c r="CF35" s="354"/>
      <c r="CG35" s="354"/>
      <c r="CH35" s="354"/>
      <c r="CI35" s="354"/>
      <c r="CJ35" s="354"/>
      <c r="CK35" s="354"/>
      <c r="CL35" s="354"/>
      <c r="CM35" s="354"/>
      <c r="CN35" s="354"/>
      <c r="CO35" s="354"/>
      <c r="CP35" s="354"/>
      <c r="CQ35" s="354"/>
      <c r="CR35" s="354"/>
      <c r="CS35" s="354"/>
      <c r="CT35" s="354"/>
      <c r="CU35" s="354"/>
      <c r="CV35" s="354"/>
      <c r="CW35" s="354"/>
      <c r="CX35" s="354"/>
      <c r="CY35" s="354"/>
      <c r="CZ35" s="354"/>
      <c r="DA35" s="354"/>
      <c r="DB35" s="354"/>
      <c r="DC35" s="352"/>
      <c r="DJ35" s="58" t="s">
        <v>717</v>
      </c>
      <c r="DL35" s="364"/>
    </row>
    <row r="36" spans="1:116" s="59" customFormat="1">
      <c r="A36" s="474"/>
      <c r="B36" s="475"/>
      <c r="C36" s="367"/>
      <c r="D36" s="349"/>
      <c r="E36" s="367"/>
      <c r="F36" s="349"/>
      <c r="G36" s="349"/>
      <c r="H36" s="367"/>
      <c r="I36" s="349"/>
      <c r="J36" s="349"/>
      <c r="K36" s="349"/>
      <c r="L36" s="349"/>
      <c r="M36" s="349"/>
      <c r="N36" s="349"/>
      <c r="O36" s="349"/>
      <c r="P36" s="354"/>
      <c r="Q36" s="354"/>
      <c r="R36" s="354"/>
      <c r="S36" s="354"/>
      <c r="T36" s="352"/>
      <c r="U36" s="476"/>
      <c r="V36" s="476"/>
      <c r="W36" s="476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/>
      <c r="AP36" s="354"/>
      <c r="AQ36" s="352"/>
      <c r="AR36" s="476"/>
      <c r="AS36" s="367"/>
      <c r="AT36" s="349"/>
      <c r="AU36" s="349"/>
      <c r="AV36" s="352"/>
      <c r="AW36" s="476"/>
      <c r="AX36" s="349"/>
      <c r="AY36" s="369"/>
      <c r="AZ36" s="476"/>
      <c r="BA36" s="349"/>
      <c r="BB36" s="349"/>
      <c r="BC36" s="349"/>
      <c r="BD36" s="349"/>
      <c r="BE36" s="349"/>
      <c r="BF36" s="349"/>
      <c r="BG36" s="349"/>
      <c r="BH36" s="349"/>
      <c r="BI36" s="349"/>
      <c r="BJ36" s="349"/>
      <c r="BK36" s="367"/>
      <c r="BL36" s="367"/>
      <c r="BM36" s="349"/>
      <c r="BN36" s="349"/>
      <c r="BO36" s="349"/>
      <c r="BP36" s="349"/>
      <c r="BQ36" s="349"/>
      <c r="BR36" s="349"/>
      <c r="BS36" s="349"/>
      <c r="BT36" s="349"/>
      <c r="BU36" s="349"/>
      <c r="BV36" s="349"/>
      <c r="BW36" s="349"/>
      <c r="BX36" s="349"/>
      <c r="BY36" s="349"/>
      <c r="BZ36" s="349"/>
      <c r="CA36" s="349"/>
      <c r="CB36" s="349"/>
      <c r="CC36" s="354"/>
      <c r="CD36" s="370"/>
      <c r="CE36" s="370"/>
      <c r="CF36" s="354"/>
      <c r="CG36" s="354"/>
      <c r="CH36" s="354"/>
      <c r="CI36" s="354"/>
      <c r="CJ36" s="354"/>
      <c r="CK36" s="354"/>
      <c r="CL36" s="354"/>
      <c r="CM36" s="354"/>
      <c r="CN36" s="354"/>
      <c r="CO36" s="354"/>
      <c r="CP36" s="354"/>
      <c r="CQ36" s="354"/>
      <c r="CR36" s="354"/>
      <c r="CS36" s="354"/>
      <c r="CT36" s="354"/>
      <c r="CU36" s="354"/>
      <c r="CV36" s="354"/>
      <c r="CW36" s="354"/>
      <c r="CX36" s="354"/>
      <c r="CY36" s="354"/>
      <c r="CZ36" s="354"/>
      <c r="DA36" s="354"/>
      <c r="DB36" s="354"/>
      <c r="DC36" s="352"/>
      <c r="DJ36" s="58" t="s">
        <v>718</v>
      </c>
      <c r="DL36" s="364"/>
    </row>
    <row r="37" spans="1:116" s="59" customFormat="1">
      <c r="A37" s="474"/>
      <c r="B37" s="475"/>
      <c r="C37" s="367"/>
      <c r="D37" s="349"/>
      <c r="E37" s="367"/>
      <c r="F37" s="349"/>
      <c r="G37" s="349"/>
      <c r="H37" s="367"/>
      <c r="I37" s="349"/>
      <c r="J37" s="349"/>
      <c r="K37" s="349"/>
      <c r="L37" s="349"/>
      <c r="M37" s="349"/>
      <c r="N37" s="349"/>
      <c r="O37" s="349"/>
      <c r="P37" s="354"/>
      <c r="Q37" s="354"/>
      <c r="R37" s="354"/>
      <c r="S37" s="354"/>
      <c r="T37" s="352"/>
      <c r="U37" s="476"/>
      <c r="V37" s="476"/>
      <c r="W37" s="476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54"/>
      <c r="AQ37" s="352"/>
      <c r="AR37" s="476"/>
      <c r="AS37" s="367"/>
      <c r="AT37" s="349"/>
      <c r="AU37" s="349"/>
      <c r="AV37" s="352"/>
      <c r="AW37" s="476"/>
      <c r="AX37" s="349"/>
      <c r="AY37" s="369"/>
      <c r="AZ37" s="476"/>
      <c r="BA37" s="349"/>
      <c r="BB37" s="349"/>
      <c r="BC37" s="349"/>
      <c r="BD37" s="349"/>
      <c r="BE37" s="349"/>
      <c r="BF37" s="349"/>
      <c r="BG37" s="349"/>
      <c r="BH37" s="349"/>
      <c r="BI37" s="349"/>
      <c r="BJ37" s="349"/>
      <c r="BK37" s="367"/>
      <c r="BL37" s="367"/>
      <c r="BM37" s="349"/>
      <c r="BN37" s="349"/>
      <c r="BO37" s="349"/>
      <c r="BP37" s="349"/>
      <c r="BQ37" s="349"/>
      <c r="BR37" s="349"/>
      <c r="BS37" s="349"/>
      <c r="BT37" s="349"/>
      <c r="BU37" s="349"/>
      <c r="BV37" s="349"/>
      <c r="BW37" s="349"/>
      <c r="BX37" s="349"/>
      <c r="BY37" s="349"/>
      <c r="BZ37" s="349"/>
      <c r="CA37" s="349"/>
      <c r="CB37" s="349"/>
      <c r="CC37" s="354"/>
      <c r="CD37" s="370"/>
      <c r="CE37" s="370"/>
      <c r="CF37" s="354"/>
      <c r="CG37" s="354"/>
      <c r="CH37" s="354"/>
      <c r="CI37" s="354"/>
      <c r="CJ37" s="354"/>
      <c r="CK37" s="354"/>
      <c r="CL37" s="354"/>
      <c r="CM37" s="354"/>
      <c r="CN37" s="354"/>
      <c r="CO37" s="354"/>
      <c r="CP37" s="354"/>
      <c r="CQ37" s="354"/>
      <c r="CR37" s="354"/>
      <c r="CS37" s="354"/>
      <c r="CT37" s="354"/>
      <c r="CU37" s="354"/>
      <c r="CV37" s="354"/>
      <c r="CW37" s="354"/>
      <c r="CX37" s="354"/>
      <c r="CY37" s="354"/>
      <c r="CZ37" s="354"/>
      <c r="DA37" s="354"/>
      <c r="DB37" s="354"/>
      <c r="DC37" s="352"/>
      <c r="DJ37" s="58" t="s">
        <v>719</v>
      </c>
      <c r="DL37" s="364"/>
    </row>
    <row r="38" spans="1:116" s="59" customFormat="1">
      <c r="A38" s="474"/>
      <c r="B38" s="475"/>
      <c r="C38" s="367"/>
      <c r="D38" s="349"/>
      <c r="E38" s="367"/>
      <c r="F38" s="349"/>
      <c r="G38" s="349"/>
      <c r="H38" s="367"/>
      <c r="I38" s="349"/>
      <c r="J38" s="349"/>
      <c r="K38" s="349"/>
      <c r="L38" s="349"/>
      <c r="M38" s="349"/>
      <c r="N38" s="349"/>
      <c r="O38" s="349"/>
      <c r="P38" s="354"/>
      <c r="Q38" s="354"/>
      <c r="R38" s="354"/>
      <c r="S38" s="354"/>
      <c r="T38" s="352"/>
      <c r="U38" s="476"/>
      <c r="V38" s="476"/>
      <c r="W38" s="476"/>
      <c r="X38" s="349"/>
      <c r="Y38" s="349"/>
      <c r="Z38" s="349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54"/>
      <c r="AQ38" s="352"/>
      <c r="AR38" s="476"/>
      <c r="AS38" s="367"/>
      <c r="AT38" s="349"/>
      <c r="AU38" s="349"/>
      <c r="AV38" s="352"/>
      <c r="AW38" s="476"/>
      <c r="AX38" s="349"/>
      <c r="AY38" s="369"/>
      <c r="AZ38" s="476"/>
      <c r="BA38" s="349"/>
      <c r="BB38" s="349"/>
      <c r="BC38" s="349"/>
      <c r="BD38" s="349"/>
      <c r="BE38" s="349"/>
      <c r="BF38" s="349"/>
      <c r="BG38" s="349"/>
      <c r="BH38" s="349"/>
      <c r="BI38" s="349"/>
      <c r="BJ38" s="349"/>
      <c r="BK38" s="367"/>
      <c r="BL38" s="367"/>
      <c r="BM38" s="349"/>
      <c r="BN38" s="349"/>
      <c r="BO38" s="349"/>
      <c r="BP38" s="349"/>
      <c r="BQ38" s="349"/>
      <c r="BR38" s="349"/>
      <c r="BS38" s="349"/>
      <c r="BT38" s="349"/>
      <c r="BU38" s="349"/>
      <c r="BV38" s="349"/>
      <c r="BW38" s="349"/>
      <c r="BX38" s="349"/>
      <c r="BY38" s="349"/>
      <c r="BZ38" s="349"/>
      <c r="CA38" s="349"/>
      <c r="CB38" s="349"/>
      <c r="CC38" s="354"/>
      <c r="CD38" s="370"/>
      <c r="CE38" s="370"/>
      <c r="CF38" s="354"/>
      <c r="CG38" s="354"/>
      <c r="CH38" s="354"/>
      <c r="CI38" s="354"/>
      <c r="CJ38" s="354"/>
      <c r="CK38" s="354"/>
      <c r="CL38" s="354"/>
      <c r="CM38" s="354"/>
      <c r="CN38" s="354"/>
      <c r="CO38" s="354"/>
      <c r="CP38" s="354"/>
      <c r="CQ38" s="354"/>
      <c r="CR38" s="354"/>
      <c r="CS38" s="354"/>
      <c r="CT38" s="354"/>
      <c r="CU38" s="354"/>
      <c r="CV38" s="354"/>
      <c r="CW38" s="354"/>
      <c r="CX38" s="354"/>
      <c r="CY38" s="354"/>
      <c r="CZ38" s="354"/>
      <c r="DA38" s="354"/>
      <c r="DB38" s="354"/>
      <c r="DC38" s="352"/>
      <c r="DJ38" s="58"/>
      <c r="DL38" s="364"/>
    </row>
    <row r="39" spans="1:116" s="59" customFormat="1">
      <c r="A39" s="368"/>
      <c r="B39" s="366" t="s">
        <v>549</v>
      </c>
      <c r="C39" s="367">
        <f>ROUNDUP(76,0)</f>
        <v>76</v>
      </c>
      <c r="D39" s="367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54"/>
      <c r="Q39" s="354"/>
      <c r="R39" s="354"/>
      <c r="S39" s="354"/>
      <c r="T39" s="352"/>
      <c r="U39" s="353"/>
      <c r="V39" s="353"/>
      <c r="W39" s="353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/>
      <c r="AP39" s="354"/>
      <c r="AQ39" s="352"/>
      <c r="AR39" s="366">
        <f>C39</f>
        <v>76</v>
      </c>
      <c r="AS39" s="349"/>
      <c r="AT39" s="349"/>
      <c r="AU39" s="349"/>
      <c r="AV39" s="352"/>
      <c r="AW39" s="353"/>
      <c r="AX39" s="349"/>
      <c r="AY39" s="369">
        <f>AR39</f>
        <v>76</v>
      </c>
      <c r="AZ39" s="353"/>
      <c r="BA39" s="349"/>
      <c r="BB39" s="349"/>
      <c r="BC39" s="349"/>
      <c r="BD39" s="349"/>
      <c r="BE39" s="349"/>
      <c r="BF39" s="349"/>
      <c r="BG39" s="349"/>
      <c r="BH39" s="349"/>
      <c r="BI39" s="349"/>
      <c r="BJ39" s="349"/>
      <c r="BK39" s="349"/>
      <c r="BL39" s="349"/>
      <c r="BM39" s="349"/>
      <c r="BN39" s="349"/>
      <c r="BO39" s="349"/>
      <c r="BP39" s="349"/>
      <c r="BQ39" s="349"/>
      <c r="BR39" s="349"/>
      <c r="BS39" s="349"/>
      <c r="BT39" s="349"/>
      <c r="BU39" s="349"/>
      <c r="BV39" s="349"/>
      <c r="BW39" s="349"/>
      <c r="BX39" s="349"/>
      <c r="BY39" s="349"/>
      <c r="BZ39" s="349"/>
      <c r="CA39" s="349"/>
      <c r="CB39" s="349"/>
      <c r="CC39" s="354"/>
      <c r="CD39" s="354"/>
      <c r="CE39" s="354"/>
      <c r="CF39" s="354"/>
      <c r="CG39" s="354"/>
      <c r="CH39" s="354"/>
      <c r="CI39" s="354"/>
      <c r="CJ39" s="354"/>
      <c r="CK39" s="354"/>
      <c r="CL39" s="354"/>
      <c r="CM39" s="354"/>
      <c r="CN39" s="354"/>
      <c r="CO39" s="354"/>
      <c r="CP39" s="354"/>
      <c r="CQ39" s="354"/>
      <c r="CR39" s="354"/>
      <c r="CS39" s="354"/>
      <c r="CT39" s="354"/>
      <c r="CU39" s="354"/>
      <c r="CV39" s="354"/>
      <c r="CW39" s="354"/>
      <c r="CX39" s="354"/>
      <c r="CY39" s="354"/>
      <c r="CZ39" s="354"/>
      <c r="DA39" s="354"/>
      <c r="DB39" s="354"/>
      <c r="DC39" s="352"/>
      <c r="DE39" s="59">
        <v>20</v>
      </c>
      <c r="DF39" s="59">
        <v>16</v>
      </c>
      <c r="DI39" s="59">
        <v>36</v>
      </c>
      <c r="DJ39" s="58" t="s">
        <v>397</v>
      </c>
      <c r="DL39" s="364">
        <f>ROUNDUP(BW7*3500,0)</f>
        <v>29453</v>
      </c>
    </row>
    <row r="40" spans="1:116" s="59" customFormat="1">
      <c r="A40" s="474"/>
      <c r="B40" s="475"/>
      <c r="C40" s="367"/>
      <c r="D40" s="367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54"/>
      <c r="Q40" s="354"/>
      <c r="R40" s="354"/>
      <c r="S40" s="354"/>
      <c r="T40" s="352"/>
      <c r="U40" s="476"/>
      <c r="V40" s="476"/>
      <c r="W40" s="476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49"/>
      <c r="AP40" s="354"/>
      <c r="AQ40" s="352"/>
      <c r="AR40" s="475"/>
      <c r="AS40" s="349"/>
      <c r="AT40" s="349"/>
      <c r="AU40" s="349"/>
      <c r="AV40" s="352"/>
      <c r="AW40" s="476"/>
      <c r="AX40" s="349"/>
      <c r="AY40" s="369"/>
      <c r="AZ40" s="476"/>
      <c r="BA40" s="349"/>
      <c r="BB40" s="349"/>
      <c r="BC40" s="349"/>
      <c r="BD40" s="349"/>
      <c r="BE40" s="349"/>
      <c r="BF40" s="349"/>
      <c r="BG40" s="349"/>
      <c r="BH40" s="349"/>
      <c r="BI40" s="349"/>
      <c r="BJ40" s="349"/>
      <c r="BK40" s="349"/>
      <c r="BL40" s="349"/>
      <c r="BM40" s="349"/>
      <c r="BN40" s="349"/>
      <c r="BO40" s="349"/>
      <c r="BP40" s="349"/>
      <c r="BQ40" s="349"/>
      <c r="BR40" s="349"/>
      <c r="BS40" s="349"/>
      <c r="BT40" s="349"/>
      <c r="BU40" s="349"/>
      <c r="BV40" s="349"/>
      <c r="BW40" s="349"/>
      <c r="BX40" s="349"/>
      <c r="BY40" s="349"/>
      <c r="BZ40" s="349"/>
      <c r="CA40" s="349"/>
      <c r="CB40" s="349"/>
      <c r="CC40" s="354"/>
      <c r="CD40" s="354"/>
      <c r="CE40" s="354"/>
      <c r="CF40" s="354"/>
      <c r="CG40" s="354"/>
      <c r="CH40" s="354"/>
      <c r="CI40" s="354"/>
      <c r="CJ40" s="354"/>
      <c r="CK40" s="354"/>
      <c r="CL40" s="354"/>
      <c r="CM40" s="354"/>
      <c r="CN40" s="354"/>
      <c r="CO40" s="354"/>
      <c r="CP40" s="354"/>
      <c r="CQ40" s="354"/>
      <c r="CR40" s="354"/>
      <c r="CS40" s="354"/>
      <c r="CT40" s="354"/>
      <c r="CU40" s="354"/>
      <c r="CV40" s="354"/>
      <c r="CW40" s="354"/>
      <c r="CX40" s="354"/>
      <c r="CY40" s="354"/>
      <c r="CZ40" s="354"/>
      <c r="DA40" s="354"/>
      <c r="DB40" s="354"/>
      <c r="DC40" s="352"/>
      <c r="DD40" s="59">
        <v>14</v>
      </c>
      <c r="DI40" s="59">
        <v>14</v>
      </c>
      <c r="DJ40" s="58" t="s">
        <v>736</v>
      </c>
      <c r="DL40" s="364">
        <f>BX7*3500</f>
        <v>66937.5</v>
      </c>
    </row>
    <row r="41" spans="1:116" s="59" customFormat="1">
      <c r="A41" s="368"/>
      <c r="B41" s="366" t="s">
        <v>548</v>
      </c>
      <c r="C41" s="367">
        <f>ROUNDUP(23.76*2,0)</f>
        <v>48</v>
      </c>
      <c r="D41" s="367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54"/>
      <c r="Q41" s="354"/>
      <c r="R41" s="354"/>
      <c r="S41" s="354"/>
      <c r="T41" s="352"/>
      <c r="U41" s="353"/>
      <c r="V41" s="353"/>
      <c r="W41" s="353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/>
      <c r="AP41" s="354"/>
      <c r="AQ41" s="352"/>
      <c r="AR41" s="366"/>
      <c r="AS41" s="349"/>
      <c r="AT41" s="349"/>
      <c r="AU41" s="349"/>
      <c r="AV41" s="352"/>
      <c r="AW41" s="353"/>
      <c r="AX41" s="349"/>
      <c r="AY41" s="369"/>
      <c r="AZ41" s="353"/>
      <c r="BA41" s="349"/>
      <c r="BB41" s="349"/>
      <c r="BC41" s="349"/>
      <c r="BD41" s="349"/>
      <c r="BE41" s="349"/>
      <c r="BF41" s="349"/>
      <c r="BG41" s="349"/>
      <c r="BH41" s="349"/>
      <c r="BI41" s="349"/>
      <c r="BJ41" s="349"/>
      <c r="BK41" s="349"/>
      <c r="BL41" s="349"/>
      <c r="BM41" s="349"/>
      <c r="BN41" s="349"/>
      <c r="BO41" s="349"/>
      <c r="BP41" s="349"/>
      <c r="BQ41" s="349"/>
      <c r="BR41" s="349"/>
      <c r="BS41" s="349"/>
      <c r="BT41" s="349"/>
      <c r="BU41" s="349"/>
      <c r="BV41" s="349"/>
      <c r="BW41" s="349"/>
      <c r="BX41" s="349"/>
      <c r="BY41" s="349"/>
      <c r="BZ41" s="349"/>
      <c r="CA41" s="349"/>
      <c r="CB41" s="349"/>
      <c r="CC41" s="354"/>
      <c r="CD41" s="354"/>
      <c r="CE41" s="354"/>
      <c r="CF41" s="354"/>
      <c r="CG41" s="354"/>
      <c r="CH41" s="354"/>
      <c r="CI41" s="354"/>
      <c r="CJ41" s="354"/>
      <c r="CK41" s="354"/>
      <c r="CL41" s="354"/>
      <c r="CM41" s="354"/>
      <c r="CN41" s="354"/>
      <c r="CO41" s="354"/>
      <c r="CP41" s="354"/>
      <c r="CQ41" s="354"/>
      <c r="CR41" s="354"/>
      <c r="CS41" s="354"/>
      <c r="CT41" s="354"/>
      <c r="CU41" s="354"/>
      <c r="CV41" s="354"/>
      <c r="CW41" s="354"/>
      <c r="CX41" s="354"/>
      <c r="CY41" s="354"/>
      <c r="CZ41" s="354"/>
      <c r="DA41" s="354"/>
      <c r="DB41" s="354"/>
      <c r="DC41" s="352"/>
      <c r="DD41" s="59">
        <v>5</v>
      </c>
      <c r="DI41" s="59">
        <v>1</v>
      </c>
      <c r="DJ41" s="58" t="s">
        <v>526</v>
      </c>
      <c r="DL41" s="364">
        <f>ROUNDUP(BY7*3500,0)</f>
        <v>44415</v>
      </c>
    </row>
    <row r="42" spans="1:116" s="59" customFormat="1">
      <c r="A42" s="365"/>
      <c r="B42" s="366" t="s">
        <v>535</v>
      </c>
      <c r="C42" s="367">
        <v>20</v>
      </c>
      <c r="D42" s="349"/>
      <c r="E42" s="349"/>
      <c r="F42" s="349"/>
      <c r="G42" s="349"/>
      <c r="H42" s="349"/>
      <c r="I42" s="367"/>
      <c r="J42" s="349"/>
      <c r="K42" s="349"/>
      <c r="L42" s="349"/>
      <c r="M42" s="349"/>
      <c r="N42" s="349"/>
      <c r="O42" s="349"/>
      <c r="P42" s="354"/>
      <c r="Q42" s="354"/>
      <c r="R42" s="354"/>
      <c r="S42" s="354"/>
      <c r="T42" s="352"/>
      <c r="U42" s="353"/>
      <c r="V42" s="353"/>
      <c r="W42" s="353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54"/>
      <c r="AQ42" s="352"/>
      <c r="AR42" s="366">
        <f>C42</f>
        <v>20</v>
      </c>
      <c r="AS42" s="349"/>
      <c r="AT42" s="349"/>
      <c r="AU42" s="349"/>
      <c r="AV42" s="352"/>
      <c r="AW42" s="353"/>
      <c r="AX42" s="349"/>
      <c r="AY42" s="369">
        <f>AR42</f>
        <v>20</v>
      </c>
      <c r="AZ42" s="353"/>
      <c r="BA42" s="349"/>
      <c r="BB42" s="349"/>
      <c r="BC42" s="349"/>
      <c r="BD42" s="349"/>
      <c r="BE42" s="349"/>
      <c r="BF42" s="349"/>
      <c r="BG42" s="349"/>
      <c r="BH42" s="349"/>
      <c r="BI42" s="349"/>
      <c r="BJ42" s="349"/>
      <c r="BK42" s="349"/>
      <c r="BL42" s="349"/>
      <c r="BM42" s="349"/>
      <c r="BN42" s="349"/>
      <c r="BO42" s="349"/>
      <c r="BP42" s="349"/>
      <c r="BQ42" s="349"/>
      <c r="BR42" s="349"/>
      <c r="BS42" s="349"/>
      <c r="BT42" s="349"/>
      <c r="BU42" s="349"/>
      <c r="BV42" s="349"/>
      <c r="BW42" s="349"/>
      <c r="BX42" s="349"/>
      <c r="BY42" s="349"/>
      <c r="BZ42" s="349"/>
      <c r="CA42" s="349"/>
      <c r="CB42" s="349"/>
      <c r="CC42" s="354"/>
      <c r="CD42" s="354"/>
      <c r="CE42" s="354"/>
      <c r="CF42" s="354"/>
      <c r="CG42" s="354"/>
      <c r="CH42" s="354"/>
      <c r="CI42" s="354"/>
      <c r="CJ42" s="354"/>
      <c r="CK42" s="354"/>
      <c r="CL42" s="354"/>
      <c r="CM42" s="354"/>
      <c r="CN42" s="354"/>
      <c r="CO42" s="354"/>
      <c r="CP42" s="354"/>
      <c r="CQ42" s="354"/>
      <c r="CR42" s="354"/>
      <c r="CS42" s="354"/>
      <c r="CT42" s="354"/>
      <c r="CU42" s="354"/>
      <c r="CV42" s="354"/>
      <c r="CW42" s="354"/>
      <c r="CX42" s="354"/>
      <c r="CY42" s="354"/>
      <c r="CZ42" s="354"/>
      <c r="DA42" s="354"/>
      <c r="DB42" s="354"/>
      <c r="DC42" s="352"/>
      <c r="DD42" s="59">
        <v>1</v>
      </c>
      <c r="DI42" s="59">
        <v>1</v>
      </c>
      <c r="DJ42" s="58" t="s">
        <v>527</v>
      </c>
      <c r="DL42" s="364">
        <f>ROUNDUP(BZ7*3500,0)</f>
        <v>21385</v>
      </c>
    </row>
    <row r="43" spans="1:116" s="59" customFormat="1">
      <c r="A43" s="368"/>
      <c r="B43" s="360" t="s">
        <v>561</v>
      </c>
      <c r="C43" s="367">
        <v>59</v>
      </c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54"/>
      <c r="Q43" s="354"/>
      <c r="R43" s="354"/>
      <c r="S43" s="354"/>
      <c r="T43" s="352"/>
      <c r="U43" s="353">
        <f>ROUNDUP((30.48*2.9)-(BI7+BM7+CF7),0)</f>
        <v>80</v>
      </c>
      <c r="V43" s="353"/>
      <c r="W43" s="353"/>
      <c r="X43" s="349"/>
      <c r="Y43" s="349"/>
      <c r="Z43" s="349">
        <f>ROUNDUP((8.4*3.8)-CF7,0)</f>
        <v>31</v>
      </c>
      <c r="AA43" s="349">
        <f>U43</f>
        <v>80</v>
      </c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49"/>
      <c r="AM43" s="349"/>
      <c r="AN43" s="349">
        <f>ROUNDUP(BI9+BM9+CF9,0)</f>
        <v>12</v>
      </c>
      <c r="AO43" s="349"/>
      <c r="AP43" s="354"/>
      <c r="AQ43" s="352">
        <f>ROUNDUP(BI8+CF8+BM8,0)</f>
        <v>7</v>
      </c>
      <c r="AR43" s="366">
        <f>C43</f>
        <v>59</v>
      </c>
      <c r="AS43" s="349"/>
      <c r="AT43" s="349"/>
      <c r="AU43" s="349"/>
      <c r="AV43" s="352"/>
      <c r="AW43" s="353">
        <f>AA43</f>
        <v>80</v>
      </c>
      <c r="AX43" s="349">
        <f>Z43</f>
        <v>31</v>
      </c>
      <c r="AY43" s="369">
        <f>AR43</f>
        <v>59</v>
      </c>
      <c r="AZ43" s="353"/>
      <c r="BA43" s="349"/>
      <c r="BB43" s="349"/>
      <c r="BC43" s="349"/>
      <c r="BD43" s="349"/>
      <c r="BE43" s="349"/>
      <c r="BF43" s="349"/>
      <c r="BG43" s="349"/>
      <c r="BH43" s="349"/>
      <c r="BI43" s="349">
        <v>1</v>
      </c>
      <c r="BJ43" s="349"/>
      <c r="BK43" s="349"/>
      <c r="BL43" s="349"/>
      <c r="BM43" s="349">
        <v>1</v>
      </c>
      <c r="BN43" s="349"/>
      <c r="BO43" s="349"/>
      <c r="BP43" s="349"/>
      <c r="BQ43" s="349"/>
      <c r="BR43" s="349"/>
      <c r="BS43" s="349"/>
      <c r="BT43" s="349"/>
      <c r="BU43" s="349"/>
      <c r="BV43" s="349"/>
      <c r="BW43" s="349"/>
      <c r="BX43" s="349"/>
      <c r="BY43" s="349"/>
      <c r="BZ43" s="349"/>
      <c r="CA43" s="349"/>
      <c r="CB43" s="349"/>
      <c r="CC43" s="354"/>
      <c r="CD43" s="354"/>
      <c r="CE43" s="354"/>
      <c r="CF43" s="354">
        <v>1</v>
      </c>
      <c r="CG43" s="354"/>
      <c r="CH43" s="354"/>
      <c r="CI43" s="354"/>
      <c r="CJ43" s="354"/>
      <c r="CK43" s="354"/>
      <c r="CL43" s="354"/>
      <c r="CM43" s="354"/>
      <c r="CN43" s="354"/>
      <c r="CO43" s="354"/>
      <c r="CP43" s="354"/>
      <c r="CQ43" s="354"/>
      <c r="CR43" s="354"/>
      <c r="CS43" s="354"/>
      <c r="CT43" s="354"/>
      <c r="CU43" s="354"/>
      <c r="CV43" s="354"/>
      <c r="CW43" s="354"/>
      <c r="CX43" s="354"/>
      <c r="CY43" s="354"/>
      <c r="CZ43" s="354"/>
      <c r="DA43" s="354"/>
      <c r="DB43" s="354"/>
      <c r="DC43" s="352"/>
      <c r="DD43" s="59">
        <v>2</v>
      </c>
      <c r="DE43" s="59">
        <v>1</v>
      </c>
      <c r="DF43" s="59">
        <v>1</v>
      </c>
      <c r="DI43" s="59">
        <v>5</v>
      </c>
      <c r="DJ43" s="58" t="s">
        <v>528</v>
      </c>
      <c r="DL43" s="364">
        <f>ROUNDUP(CA7*4500,0)</f>
        <v>9180</v>
      </c>
    </row>
    <row r="44" spans="1:116" s="59" customFormat="1">
      <c r="A44" s="368"/>
      <c r="B44" s="353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54"/>
      <c r="Q44" s="354"/>
      <c r="R44" s="354"/>
      <c r="S44" s="354"/>
      <c r="T44" s="352"/>
      <c r="U44" s="353"/>
      <c r="V44" s="353"/>
      <c r="W44" s="353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349"/>
      <c r="AJ44" s="349"/>
      <c r="AK44" s="349"/>
      <c r="AL44" s="349"/>
      <c r="AM44" s="349"/>
      <c r="AN44" s="349"/>
      <c r="AO44" s="349"/>
      <c r="AP44" s="354"/>
      <c r="AQ44" s="352"/>
      <c r="AR44" s="353"/>
      <c r="AS44" s="349"/>
      <c r="AT44" s="349"/>
      <c r="AU44" s="349"/>
      <c r="AV44" s="352"/>
      <c r="AW44" s="353"/>
      <c r="AX44" s="349"/>
      <c r="AY44" s="352"/>
      <c r="AZ44" s="353"/>
      <c r="BA44" s="349"/>
      <c r="BB44" s="349"/>
      <c r="BC44" s="349"/>
      <c r="BD44" s="349"/>
      <c r="BE44" s="349"/>
      <c r="BF44" s="349"/>
      <c r="BG44" s="349"/>
      <c r="BH44" s="349"/>
      <c r="BI44" s="349"/>
      <c r="BJ44" s="349"/>
      <c r="BK44" s="349"/>
      <c r="BL44" s="349"/>
      <c r="BM44" s="349"/>
      <c r="BN44" s="349"/>
      <c r="BO44" s="349"/>
      <c r="BP44" s="349"/>
      <c r="BQ44" s="349"/>
      <c r="BR44" s="349"/>
      <c r="BS44" s="349"/>
      <c r="BT44" s="349"/>
      <c r="BU44" s="349"/>
      <c r="BV44" s="349"/>
      <c r="BW44" s="349"/>
      <c r="BX44" s="349"/>
      <c r="BY44" s="349"/>
      <c r="BZ44" s="349"/>
      <c r="CA44" s="349"/>
      <c r="CB44" s="349"/>
      <c r="CC44" s="354"/>
      <c r="CD44" s="354"/>
      <c r="CE44" s="354"/>
      <c r="CF44" s="354"/>
      <c r="CG44" s="354"/>
      <c r="CH44" s="354"/>
      <c r="CI44" s="354"/>
      <c r="CJ44" s="354"/>
      <c r="CK44" s="354"/>
      <c r="CL44" s="354"/>
      <c r="CM44" s="354"/>
      <c r="CN44" s="354"/>
      <c r="CO44" s="354"/>
      <c r="CP44" s="354"/>
      <c r="CQ44" s="354"/>
      <c r="CR44" s="354"/>
      <c r="CS44" s="354"/>
      <c r="CT44" s="354"/>
      <c r="CU44" s="354"/>
      <c r="CV44" s="354"/>
      <c r="CW44" s="354"/>
      <c r="CX44" s="354"/>
      <c r="CY44" s="354"/>
      <c r="CZ44" s="354"/>
      <c r="DA44" s="354"/>
      <c r="DB44" s="354"/>
      <c r="DC44" s="352"/>
      <c r="DE44" s="59">
        <v>1</v>
      </c>
      <c r="DF44" s="59">
        <v>2</v>
      </c>
      <c r="DI44" s="59">
        <v>4</v>
      </c>
      <c r="DJ44" s="58" t="s">
        <v>529</v>
      </c>
      <c r="DL44" s="364">
        <f>ROUNDUP(CB7*3500,0)</f>
        <v>10107</v>
      </c>
    </row>
    <row r="45" spans="1:116" s="59" customFormat="1">
      <c r="A45" s="474"/>
      <c r="B45" s="476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54"/>
      <c r="Q45" s="354"/>
      <c r="R45" s="354"/>
      <c r="S45" s="354"/>
      <c r="T45" s="352"/>
      <c r="U45" s="476"/>
      <c r="V45" s="476"/>
      <c r="W45" s="476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354"/>
      <c r="AQ45" s="352"/>
      <c r="AR45" s="476"/>
      <c r="AS45" s="349"/>
      <c r="AT45" s="349"/>
      <c r="AU45" s="349"/>
      <c r="AV45" s="352"/>
      <c r="AW45" s="476"/>
      <c r="AX45" s="349"/>
      <c r="AY45" s="352"/>
      <c r="AZ45" s="476"/>
      <c r="BA45" s="349"/>
      <c r="BB45" s="349"/>
      <c r="BC45" s="349"/>
      <c r="BD45" s="349"/>
      <c r="BE45" s="349"/>
      <c r="BF45" s="349"/>
      <c r="BG45" s="349"/>
      <c r="BH45" s="349"/>
      <c r="BI45" s="349"/>
      <c r="BJ45" s="349"/>
      <c r="BK45" s="349"/>
      <c r="BL45" s="349"/>
      <c r="BM45" s="349"/>
      <c r="BN45" s="349"/>
      <c r="BO45" s="349"/>
      <c r="BP45" s="349"/>
      <c r="BQ45" s="349"/>
      <c r="BR45" s="349"/>
      <c r="BS45" s="349"/>
      <c r="BT45" s="349"/>
      <c r="BU45" s="349"/>
      <c r="BV45" s="349"/>
      <c r="BW45" s="349"/>
      <c r="BX45" s="349"/>
      <c r="BY45" s="349"/>
      <c r="BZ45" s="349"/>
      <c r="CA45" s="349"/>
      <c r="CB45" s="349"/>
      <c r="CC45" s="354"/>
      <c r="CD45" s="354"/>
      <c r="CE45" s="354"/>
      <c r="CF45" s="354"/>
      <c r="CG45" s="354"/>
      <c r="CH45" s="354"/>
      <c r="CI45" s="354"/>
      <c r="CJ45" s="354"/>
      <c r="CK45" s="354"/>
      <c r="CL45" s="354"/>
      <c r="CM45" s="354"/>
      <c r="CN45" s="354"/>
      <c r="CO45" s="354"/>
      <c r="CP45" s="354"/>
      <c r="CQ45" s="354"/>
      <c r="CR45" s="354"/>
      <c r="CS45" s="354"/>
      <c r="CT45" s="354"/>
      <c r="CU45" s="354"/>
      <c r="CV45" s="354"/>
      <c r="CW45" s="354"/>
      <c r="CX45" s="354"/>
      <c r="CY45" s="354"/>
      <c r="CZ45" s="354"/>
      <c r="DA45" s="354"/>
      <c r="DB45" s="354"/>
      <c r="DC45" s="352"/>
      <c r="DD45" s="59">
        <v>1</v>
      </c>
      <c r="DI45" s="59">
        <v>1</v>
      </c>
      <c r="DJ45" s="58" t="s">
        <v>728</v>
      </c>
      <c r="DL45" s="364">
        <f>CC7*3500</f>
        <v>22968.75</v>
      </c>
    </row>
    <row r="46" spans="1:116" s="59" customFormat="1">
      <c r="A46" s="368"/>
      <c r="B46" s="353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54"/>
      <c r="Q46" s="354"/>
      <c r="R46" s="354"/>
      <c r="S46" s="354"/>
      <c r="T46" s="352"/>
      <c r="U46" s="353"/>
      <c r="V46" s="353"/>
      <c r="W46" s="353"/>
      <c r="X46" s="349"/>
      <c r="Y46" s="349"/>
      <c r="Z46" s="349"/>
      <c r="AA46" s="349"/>
      <c r="AB46" s="349"/>
      <c r="AC46" s="349"/>
      <c r="AD46" s="349"/>
      <c r="AE46" s="349"/>
      <c r="AF46" s="349"/>
      <c r="AG46" s="349"/>
      <c r="AH46" s="349"/>
      <c r="AI46" s="349"/>
      <c r="AJ46" s="349"/>
      <c r="AK46" s="349"/>
      <c r="AL46" s="349"/>
      <c r="AM46" s="349"/>
      <c r="AN46" s="349"/>
      <c r="AO46" s="349"/>
      <c r="AP46" s="354"/>
      <c r="AQ46" s="352"/>
      <c r="AR46" s="353"/>
      <c r="AS46" s="349"/>
      <c r="AT46" s="349"/>
      <c r="AU46" s="349"/>
      <c r="AV46" s="352"/>
      <c r="AW46" s="353"/>
      <c r="AX46" s="349"/>
      <c r="AY46" s="352"/>
      <c r="AZ46" s="353"/>
      <c r="BA46" s="349"/>
      <c r="BB46" s="349"/>
      <c r="BC46" s="349"/>
      <c r="BD46" s="349"/>
      <c r="BE46" s="349"/>
      <c r="BF46" s="349"/>
      <c r="BG46" s="349"/>
      <c r="BH46" s="349"/>
      <c r="BI46" s="349"/>
      <c r="BJ46" s="349"/>
      <c r="BK46" s="349"/>
      <c r="BL46" s="349"/>
      <c r="BM46" s="349"/>
      <c r="BN46" s="349"/>
      <c r="BO46" s="349"/>
      <c r="BP46" s="349"/>
      <c r="BQ46" s="349"/>
      <c r="BR46" s="349"/>
      <c r="BS46" s="349"/>
      <c r="BT46" s="349"/>
      <c r="BU46" s="349"/>
      <c r="BV46" s="349"/>
      <c r="BW46" s="349"/>
      <c r="BX46" s="349"/>
      <c r="BY46" s="349"/>
      <c r="BZ46" s="349"/>
      <c r="CA46" s="349"/>
      <c r="CB46" s="349"/>
      <c r="CC46" s="354"/>
      <c r="CD46" s="354"/>
      <c r="CE46" s="354"/>
      <c r="CF46" s="354"/>
      <c r="CG46" s="354"/>
      <c r="CH46" s="354"/>
      <c r="CI46" s="354"/>
      <c r="CJ46" s="354"/>
      <c r="CK46" s="354"/>
      <c r="CL46" s="354"/>
      <c r="CM46" s="354"/>
      <c r="CN46" s="354"/>
      <c r="CO46" s="354"/>
      <c r="CP46" s="354"/>
      <c r="CQ46" s="354"/>
      <c r="CR46" s="354"/>
      <c r="CS46" s="354"/>
      <c r="CT46" s="354"/>
      <c r="CU46" s="354"/>
      <c r="CV46" s="354"/>
      <c r="CW46" s="354"/>
      <c r="CX46" s="354"/>
      <c r="CY46" s="354"/>
      <c r="CZ46" s="354"/>
      <c r="DA46" s="354"/>
      <c r="DB46" s="354"/>
      <c r="DC46" s="352"/>
      <c r="DD46" s="59">
        <v>8</v>
      </c>
      <c r="DI46" s="59">
        <v>6</v>
      </c>
      <c r="DJ46" s="58" t="s">
        <v>530</v>
      </c>
      <c r="DL46" s="364">
        <f>ROUNDUP(CD7*5500,0)</f>
        <v>8223</v>
      </c>
    </row>
    <row r="47" spans="1:116" s="59" customFormat="1">
      <c r="A47" s="474"/>
      <c r="B47" s="476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54"/>
      <c r="Q47" s="354"/>
      <c r="R47" s="354"/>
      <c r="S47" s="354"/>
      <c r="T47" s="352"/>
      <c r="U47" s="476"/>
      <c r="V47" s="476"/>
      <c r="W47" s="476"/>
      <c r="X47" s="349"/>
      <c r="Y47" s="349"/>
      <c r="Z47" s="349"/>
      <c r="AA47" s="349"/>
      <c r="AB47" s="349"/>
      <c r="AC47" s="349"/>
      <c r="AD47" s="349"/>
      <c r="AE47" s="349"/>
      <c r="AF47" s="349"/>
      <c r="AG47" s="349"/>
      <c r="AH47" s="349"/>
      <c r="AI47" s="349"/>
      <c r="AJ47" s="349"/>
      <c r="AK47" s="349"/>
      <c r="AL47" s="349"/>
      <c r="AM47" s="349"/>
      <c r="AN47" s="349"/>
      <c r="AO47" s="349"/>
      <c r="AP47" s="354"/>
      <c r="AQ47" s="352"/>
      <c r="AR47" s="476"/>
      <c r="AS47" s="349"/>
      <c r="AT47" s="349"/>
      <c r="AU47" s="349"/>
      <c r="AV47" s="352"/>
      <c r="AW47" s="476"/>
      <c r="AX47" s="349"/>
      <c r="AY47" s="352"/>
      <c r="AZ47" s="476"/>
      <c r="BA47" s="349"/>
      <c r="BB47" s="349"/>
      <c r="BC47" s="349"/>
      <c r="BD47" s="349"/>
      <c r="BE47" s="349"/>
      <c r="BF47" s="349"/>
      <c r="BG47" s="349"/>
      <c r="BH47" s="349"/>
      <c r="BI47" s="349"/>
      <c r="BJ47" s="349"/>
      <c r="BK47" s="349"/>
      <c r="BL47" s="349"/>
      <c r="BM47" s="349"/>
      <c r="BN47" s="349"/>
      <c r="BO47" s="349"/>
      <c r="BP47" s="349"/>
      <c r="BQ47" s="349"/>
      <c r="BR47" s="349"/>
      <c r="BS47" s="349"/>
      <c r="BT47" s="349"/>
      <c r="BU47" s="349"/>
      <c r="BV47" s="349"/>
      <c r="BW47" s="349"/>
      <c r="BX47" s="349"/>
      <c r="BY47" s="349"/>
      <c r="BZ47" s="349"/>
      <c r="CA47" s="349"/>
      <c r="CB47" s="349"/>
      <c r="CC47" s="354"/>
      <c r="CD47" s="354"/>
      <c r="CE47" s="354"/>
      <c r="CF47" s="354"/>
      <c r="CG47" s="354"/>
      <c r="CH47" s="354"/>
      <c r="CI47" s="354"/>
      <c r="CJ47" s="354"/>
      <c r="CK47" s="354"/>
      <c r="CL47" s="354"/>
      <c r="CM47" s="354"/>
      <c r="CN47" s="354"/>
      <c r="CO47" s="354"/>
      <c r="CP47" s="354"/>
      <c r="CQ47" s="354"/>
      <c r="CR47" s="354"/>
      <c r="CS47" s="354"/>
      <c r="CT47" s="354"/>
      <c r="CU47" s="354"/>
      <c r="CV47" s="354"/>
      <c r="CW47" s="354"/>
      <c r="CX47" s="354"/>
      <c r="CY47" s="354"/>
      <c r="CZ47" s="354"/>
      <c r="DA47" s="354"/>
      <c r="DB47" s="354"/>
      <c r="DC47" s="352"/>
      <c r="DD47" s="59">
        <v>1</v>
      </c>
      <c r="DE47" s="59">
        <v>8</v>
      </c>
      <c r="DF47" s="59">
        <v>8</v>
      </c>
      <c r="DI47" s="59">
        <v>12</v>
      </c>
      <c r="DJ47" s="58" t="s">
        <v>729</v>
      </c>
      <c r="DL47" s="364">
        <f>CE7*3500</f>
        <v>6842.4999999999991</v>
      </c>
    </row>
    <row r="48" spans="1:116" s="59" customFormat="1">
      <c r="A48" s="368"/>
      <c r="B48" s="353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54"/>
      <c r="Q48" s="354"/>
      <c r="R48" s="354"/>
      <c r="S48" s="354"/>
      <c r="T48" s="352"/>
      <c r="U48" s="353"/>
      <c r="V48" s="353"/>
      <c r="W48" s="353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49"/>
      <c r="AK48" s="349"/>
      <c r="AL48" s="349"/>
      <c r="AM48" s="349"/>
      <c r="AN48" s="349"/>
      <c r="AO48" s="349"/>
      <c r="AP48" s="354"/>
      <c r="AQ48" s="352"/>
      <c r="AR48" s="353"/>
      <c r="AS48" s="349"/>
      <c r="AT48" s="349"/>
      <c r="AU48" s="349"/>
      <c r="AV48" s="352"/>
      <c r="AW48" s="353"/>
      <c r="AX48" s="349"/>
      <c r="AY48" s="352"/>
      <c r="AZ48" s="353"/>
      <c r="BA48" s="349"/>
      <c r="BB48" s="349"/>
      <c r="BC48" s="349"/>
      <c r="BD48" s="349"/>
      <c r="BE48" s="349"/>
      <c r="BF48" s="349"/>
      <c r="BG48" s="349"/>
      <c r="BH48" s="349"/>
      <c r="BI48" s="349"/>
      <c r="BJ48" s="349"/>
      <c r="BK48" s="349"/>
      <c r="BL48" s="349"/>
      <c r="BM48" s="349"/>
      <c r="BN48" s="349"/>
      <c r="BO48" s="349"/>
      <c r="BP48" s="349"/>
      <c r="BQ48" s="349"/>
      <c r="BR48" s="349"/>
      <c r="BS48" s="349"/>
      <c r="BT48" s="349"/>
      <c r="BU48" s="349"/>
      <c r="BV48" s="349"/>
      <c r="BW48" s="349"/>
      <c r="BX48" s="349"/>
      <c r="BY48" s="349"/>
      <c r="BZ48" s="349"/>
      <c r="CA48" s="349"/>
      <c r="CB48" s="349"/>
      <c r="CC48" s="354"/>
      <c r="CD48" s="354"/>
      <c r="CE48" s="354"/>
      <c r="CF48" s="354"/>
      <c r="CG48" s="354"/>
      <c r="CH48" s="354"/>
      <c r="CI48" s="354"/>
      <c r="CJ48" s="354"/>
      <c r="CK48" s="354"/>
      <c r="CL48" s="354"/>
      <c r="CM48" s="354"/>
      <c r="CN48" s="354"/>
      <c r="CO48" s="354"/>
      <c r="CP48" s="354"/>
      <c r="CQ48" s="354"/>
      <c r="CR48" s="354"/>
      <c r="CS48" s="354"/>
      <c r="CT48" s="354"/>
      <c r="CU48" s="354"/>
      <c r="CV48" s="354"/>
      <c r="CW48" s="354"/>
      <c r="CX48" s="354"/>
      <c r="CY48" s="354"/>
      <c r="CZ48" s="354"/>
      <c r="DA48" s="354"/>
      <c r="DB48" s="354"/>
      <c r="DC48" s="352"/>
      <c r="DI48" s="59">
        <v>1</v>
      </c>
      <c r="DJ48" s="58" t="s">
        <v>531</v>
      </c>
      <c r="DL48" s="364">
        <f>ROUNDUP(CF7*3500,0)</f>
        <v>3868</v>
      </c>
    </row>
    <row r="49" spans="1:116" s="59" customFormat="1">
      <c r="A49" s="474"/>
      <c r="B49" s="476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54"/>
      <c r="Q49" s="354"/>
      <c r="R49" s="354"/>
      <c r="S49" s="354"/>
      <c r="T49" s="352"/>
      <c r="U49" s="476"/>
      <c r="V49" s="476"/>
      <c r="W49" s="476"/>
      <c r="X49" s="349"/>
      <c r="Y49" s="349"/>
      <c r="Z49" s="349"/>
      <c r="AA49" s="349"/>
      <c r="AB49" s="349"/>
      <c r="AC49" s="349"/>
      <c r="AD49" s="349"/>
      <c r="AE49" s="349"/>
      <c r="AF49" s="349"/>
      <c r="AG49" s="349"/>
      <c r="AH49" s="349"/>
      <c r="AI49" s="349"/>
      <c r="AJ49" s="349"/>
      <c r="AK49" s="349"/>
      <c r="AL49" s="349"/>
      <c r="AM49" s="349"/>
      <c r="AN49" s="349"/>
      <c r="AO49" s="349"/>
      <c r="AP49" s="354"/>
      <c r="AQ49" s="352"/>
      <c r="AR49" s="476"/>
      <c r="AS49" s="349"/>
      <c r="AT49" s="349"/>
      <c r="AU49" s="349"/>
      <c r="AV49" s="352"/>
      <c r="AW49" s="476"/>
      <c r="AX49" s="349"/>
      <c r="AY49" s="352"/>
      <c r="AZ49" s="476"/>
      <c r="BA49" s="349"/>
      <c r="BB49" s="349"/>
      <c r="BC49" s="349"/>
      <c r="BD49" s="349"/>
      <c r="BE49" s="349"/>
      <c r="BF49" s="349"/>
      <c r="BG49" s="349"/>
      <c r="BH49" s="349"/>
      <c r="BI49" s="349"/>
      <c r="BJ49" s="349"/>
      <c r="BK49" s="349"/>
      <c r="BL49" s="349"/>
      <c r="BM49" s="349"/>
      <c r="BN49" s="349"/>
      <c r="BO49" s="349"/>
      <c r="BP49" s="349"/>
      <c r="BQ49" s="349"/>
      <c r="BR49" s="349"/>
      <c r="BS49" s="349"/>
      <c r="BT49" s="349"/>
      <c r="BU49" s="349"/>
      <c r="BV49" s="349"/>
      <c r="BW49" s="349"/>
      <c r="BX49" s="349"/>
      <c r="BY49" s="349"/>
      <c r="BZ49" s="349"/>
      <c r="CA49" s="349"/>
      <c r="CB49" s="349"/>
      <c r="CC49" s="354"/>
      <c r="CD49" s="354"/>
      <c r="CE49" s="354"/>
      <c r="CF49" s="354"/>
      <c r="CG49" s="354"/>
      <c r="CH49" s="354"/>
      <c r="CI49" s="354"/>
      <c r="CJ49" s="354"/>
      <c r="CK49" s="354"/>
      <c r="CL49" s="354"/>
      <c r="CM49" s="354"/>
      <c r="CN49" s="354"/>
      <c r="CO49" s="354"/>
      <c r="CP49" s="354"/>
      <c r="CQ49" s="354"/>
      <c r="CR49" s="354"/>
      <c r="CS49" s="354"/>
      <c r="CT49" s="354"/>
      <c r="CU49" s="354"/>
      <c r="CV49" s="354"/>
      <c r="CW49" s="354"/>
      <c r="CX49" s="354"/>
      <c r="CY49" s="354"/>
      <c r="CZ49" s="354"/>
      <c r="DA49" s="354"/>
      <c r="DB49" s="354"/>
      <c r="DC49" s="352"/>
      <c r="DE49" s="59">
        <v>1</v>
      </c>
      <c r="DF49" s="59">
        <v>1</v>
      </c>
      <c r="DI49" s="59">
        <v>2</v>
      </c>
      <c r="DJ49" s="58" t="s">
        <v>730</v>
      </c>
      <c r="DL49" s="364">
        <f>CG7*3500</f>
        <v>5057.4999999999991</v>
      </c>
    </row>
    <row r="50" spans="1:116" s="59" customFormat="1">
      <c r="A50" s="365"/>
      <c r="B50" s="371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54"/>
      <c r="Q50" s="354"/>
      <c r="R50" s="354"/>
      <c r="S50" s="354"/>
      <c r="T50" s="352"/>
      <c r="U50" s="353"/>
      <c r="V50" s="353"/>
      <c r="W50" s="353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/>
      <c r="AP50" s="354"/>
      <c r="AQ50" s="352"/>
      <c r="AR50" s="353"/>
      <c r="AS50" s="349"/>
      <c r="AT50" s="349"/>
      <c r="AU50" s="349"/>
      <c r="AV50" s="352"/>
      <c r="AW50" s="353"/>
      <c r="AX50" s="349"/>
      <c r="AY50" s="352"/>
      <c r="AZ50" s="353"/>
      <c r="BA50" s="349"/>
      <c r="BB50" s="349"/>
      <c r="BC50" s="349"/>
      <c r="BD50" s="349"/>
      <c r="BE50" s="349"/>
      <c r="BF50" s="349"/>
      <c r="BG50" s="349"/>
      <c r="BH50" s="349"/>
      <c r="BI50" s="349"/>
      <c r="BJ50" s="349"/>
      <c r="BK50" s="349"/>
      <c r="BL50" s="349"/>
      <c r="BM50" s="349"/>
      <c r="BN50" s="349"/>
      <c r="BO50" s="349"/>
      <c r="BP50" s="349"/>
      <c r="BQ50" s="349"/>
      <c r="BR50" s="349"/>
      <c r="BS50" s="349"/>
      <c r="BT50" s="349"/>
      <c r="BU50" s="349"/>
      <c r="BV50" s="349"/>
      <c r="BW50" s="349"/>
      <c r="BX50" s="349"/>
      <c r="BY50" s="349"/>
      <c r="BZ50" s="349"/>
      <c r="CA50" s="349"/>
      <c r="CB50" s="349"/>
      <c r="CC50" s="354"/>
      <c r="CD50" s="354"/>
      <c r="CE50" s="354"/>
      <c r="CF50" s="354"/>
      <c r="CG50" s="354"/>
      <c r="CH50" s="354"/>
      <c r="CI50" s="354"/>
      <c r="CJ50" s="354"/>
      <c r="CK50" s="354"/>
      <c r="CL50" s="354"/>
      <c r="CM50" s="354"/>
      <c r="CN50" s="354"/>
      <c r="CO50" s="354"/>
      <c r="CP50" s="354"/>
      <c r="CQ50" s="354"/>
      <c r="CR50" s="354"/>
      <c r="CS50" s="354"/>
      <c r="CT50" s="354"/>
      <c r="CU50" s="354"/>
      <c r="CV50" s="354"/>
      <c r="CW50" s="354"/>
      <c r="CX50" s="354"/>
      <c r="CY50" s="354"/>
      <c r="CZ50" s="354"/>
      <c r="DA50" s="354"/>
      <c r="DB50" s="354"/>
      <c r="DC50" s="352"/>
      <c r="DF50" s="59">
        <v>4</v>
      </c>
      <c r="DI50" s="59">
        <v>4</v>
      </c>
      <c r="DJ50" s="58" t="s">
        <v>532</v>
      </c>
      <c r="DL50" s="364">
        <f>ROUNDUP(CH7*3500,0)</f>
        <v>19751</v>
      </c>
    </row>
    <row r="51" spans="1:116" s="59" customFormat="1">
      <c r="A51" s="365"/>
      <c r="B51" s="353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54"/>
      <c r="Q51" s="354"/>
      <c r="R51" s="354"/>
      <c r="S51" s="354"/>
      <c r="T51" s="352"/>
      <c r="U51" s="353"/>
      <c r="V51" s="353"/>
      <c r="W51" s="353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49"/>
      <c r="AM51" s="349"/>
      <c r="AN51" s="349"/>
      <c r="AO51" s="349"/>
      <c r="AP51" s="354"/>
      <c r="AQ51" s="352"/>
      <c r="AR51" s="353"/>
      <c r="AS51" s="349"/>
      <c r="AT51" s="349"/>
      <c r="AU51" s="349"/>
      <c r="AV51" s="352"/>
      <c r="AW51" s="353"/>
      <c r="AX51" s="349"/>
      <c r="AY51" s="352"/>
      <c r="AZ51" s="353"/>
      <c r="BA51" s="349"/>
      <c r="BB51" s="349"/>
      <c r="BC51" s="349"/>
      <c r="BD51" s="349"/>
      <c r="BE51" s="349"/>
      <c r="BF51" s="349"/>
      <c r="BG51" s="349"/>
      <c r="BH51" s="349"/>
      <c r="BI51" s="349"/>
      <c r="BJ51" s="349"/>
      <c r="BK51" s="349"/>
      <c r="BL51" s="349"/>
      <c r="BM51" s="349"/>
      <c r="BN51" s="349"/>
      <c r="BO51" s="349"/>
      <c r="BP51" s="349"/>
      <c r="BQ51" s="349"/>
      <c r="BR51" s="349"/>
      <c r="BS51" s="349"/>
      <c r="BT51" s="349"/>
      <c r="BU51" s="349"/>
      <c r="BV51" s="349"/>
      <c r="BW51" s="349"/>
      <c r="BX51" s="349"/>
      <c r="BY51" s="349"/>
      <c r="BZ51" s="349"/>
      <c r="CA51" s="349"/>
      <c r="CB51" s="349"/>
      <c r="CC51" s="354"/>
      <c r="CD51" s="354"/>
      <c r="CE51" s="354"/>
      <c r="CF51" s="354"/>
      <c r="CG51" s="354"/>
      <c r="CH51" s="354"/>
      <c r="CI51" s="354"/>
      <c r="CJ51" s="354"/>
      <c r="CK51" s="354"/>
      <c r="CL51" s="354"/>
      <c r="CM51" s="354"/>
      <c r="CN51" s="354"/>
      <c r="CO51" s="354"/>
      <c r="CP51" s="354"/>
      <c r="CQ51" s="354"/>
      <c r="CR51" s="354"/>
      <c r="CS51" s="354"/>
      <c r="CT51" s="354"/>
      <c r="CU51" s="354"/>
      <c r="CV51" s="354"/>
      <c r="CW51" s="354"/>
      <c r="CX51" s="354"/>
      <c r="CY51" s="354"/>
      <c r="CZ51" s="354"/>
      <c r="DA51" s="354"/>
      <c r="DB51" s="354"/>
      <c r="DC51" s="352"/>
      <c r="DF51" s="59">
        <v>4</v>
      </c>
      <c r="DI51" s="59">
        <v>4</v>
      </c>
      <c r="DJ51" s="58" t="s">
        <v>533</v>
      </c>
      <c r="DL51" s="364">
        <f>ROUNDUP(CI7*3500,0)</f>
        <v>6650</v>
      </c>
    </row>
    <row r="52" spans="1:116" s="59" customFormat="1">
      <c r="A52" s="365"/>
      <c r="B52" s="353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54"/>
      <c r="Q52" s="354"/>
      <c r="R52" s="354"/>
      <c r="S52" s="354"/>
      <c r="T52" s="352"/>
      <c r="U52" s="353"/>
      <c r="V52" s="353"/>
      <c r="W52" s="353"/>
      <c r="X52" s="349"/>
      <c r="Y52" s="349"/>
      <c r="Z52" s="349"/>
      <c r="AA52" s="349"/>
      <c r="AB52" s="349"/>
      <c r="AC52" s="349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354"/>
      <c r="AQ52" s="352"/>
      <c r="AR52" s="353"/>
      <c r="AS52" s="349"/>
      <c r="AT52" s="349"/>
      <c r="AU52" s="349"/>
      <c r="AV52" s="352"/>
      <c r="AW52" s="353"/>
      <c r="AX52" s="349"/>
      <c r="AY52" s="352"/>
      <c r="AZ52" s="353"/>
      <c r="BA52" s="349"/>
      <c r="BB52" s="349"/>
      <c r="BC52" s="349"/>
      <c r="BD52" s="349"/>
      <c r="BE52" s="349"/>
      <c r="BF52" s="349"/>
      <c r="BG52" s="349"/>
      <c r="BH52" s="349"/>
      <c r="BI52" s="349"/>
      <c r="BJ52" s="349"/>
      <c r="BK52" s="349"/>
      <c r="BL52" s="349"/>
      <c r="BM52" s="349"/>
      <c r="BN52" s="349"/>
      <c r="BO52" s="349"/>
      <c r="BP52" s="349"/>
      <c r="BQ52" s="349"/>
      <c r="BR52" s="349"/>
      <c r="BS52" s="349"/>
      <c r="BT52" s="349"/>
      <c r="BU52" s="349"/>
      <c r="BV52" s="349"/>
      <c r="BW52" s="349"/>
      <c r="BX52" s="349"/>
      <c r="BY52" s="349"/>
      <c r="BZ52" s="349"/>
      <c r="CA52" s="349"/>
      <c r="CB52" s="349"/>
      <c r="CC52" s="354"/>
      <c r="CD52" s="354"/>
      <c r="CE52" s="354"/>
      <c r="CF52" s="354"/>
      <c r="CG52" s="354"/>
      <c r="CH52" s="354"/>
      <c r="CI52" s="354"/>
      <c r="CJ52" s="354"/>
      <c r="CK52" s="354"/>
      <c r="CL52" s="354"/>
      <c r="CM52" s="354"/>
      <c r="CN52" s="354"/>
      <c r="CO52" s="354"/>
      <c r="CP52" s="354"/>
      <c r="CQ52" s="354"/>
      <c r="CR52" s="354"/>
      <c r="CS52" s="354"/>
      <c r="CT52" s="354"/>
      <c r="CU52" s="354"/>
      <c r="CV52" s="354"/>
      <c r="CW52" s="354"/>
      <c r="CX52" s="354"/>
      <c r="CY52" s="354"/>
      <c r="CZ52" s="354"/>
      <c r="DA52" s="354"/>
      <c r="DB52" s="354"/>
      <c r="DC52" s="352"/>
      <c r="DF52" s="59">
        <v>1</v>
      </c>
      <c r="DI52" s="59">
        <v>1</v>
      </c>
      <c r="DJ52" s="58" t="s">
        <v>534</v>
      </c>
      <c r="DL52" s="364">
        <f>ROUNDUP(CJ7*3500,0)</f>
        <v>24938</v>
      </c>
    </row>
    <row r="53" spans="1:116" s="59" customFormat="1">
      <c r="A53" s="474"/>
      <c r="B53" s="476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54"/>
      <c r="Q53" s="354"/>
      <c r="R53" s="354"/>
      <c r="S53" s="354"/>
      <c r="T53" s="352"/>
      <c r="U53" s="476"/>
      <c r="V53" s="476"/>
      <c r="W53" s="476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354"/>
      <c r="AQ53" s="352"/>
      <c r="AR53" s="476"/>
      <c r="AS53" s="349"/>
      <c r="AT53" s="349"/>
      <c r="AU53" s="349"/>
      <c r="AV53" s="352"/>
      <c r="AW53" s="476"/>
      <c r="AX53" s="349"/>
      <c r="AY53" s="352"/>
      <c r="AZ53" s="476"/>
      <c r="BA53" s="349"/>
      <c r="BB53" s="349"/>
      <c r="BC53" s="349"/>
      <c r="BD53" s="349"/>
      <c r="BE53" s="349"/>
      <c r="BF53" s="349"/>
      <c r="BG53" s="349"/>
      <c r="BH53" s="349"/>
      <c r="BI53" s="349"/>
      <c r="BJ53" s="349"/>
      <c r="BK53" s="349"/>
      <c r="BL53" s="349"/>
      <c r="BM53" s="349"/>
      <c r="BN53" s="349"/>
      <c r="BO53" s="349"/>
      <c r="BP53" s="349"/>
      <c r="BQ53" s="349"/>
      <c r="BR53" s="349"/>
      <c r="BS53" s="349"/>
      <c r="BT53" s="349"/>
      <c r="BU53" s="349"/>
      <c r="BV53" s="349"/>
      <c r="BW53" s="349"/>
      <c r="BX53" s="349"/>
      <c r="BY53" s="349"/>
      <c r="BZ53" s="349"/>
      <c r="CA53" s="349"/>
      <c r="CB53" s="349"/>
      <c r="CC53" s="354"/>
      <c r="CD53" s="354"/>
      <c r="CE53" s="354"/>
      <c r="CF53" s="354"/>
      <c r="CG53" s="354"/>
      <c r="CH53" s="354"/>
      <c r="CI53" s="354"/>
      <c r="CJ53" s="354"/>
      <c r="CK53" s="354"/>
      <c r="CL53" s="354"/>
      <c r="CM53" s="354"/>
      <c r="CN53" s="354"/>
      <c r="CO53" s="354"/>
      <c r="CP53" s="354"/>
      <c r="CQ53" s="354"/>
      <c r="CR53" s="354"/>
      <c r="CS53" s="354"/>
      <c r="CT53" s="354"/>
      <c r="CU53" s="354"/>
      <c r="CV53" s="354"/>
      <c r="CW53" s="354"/>
      <c r="CX53" s="354"/>
      <c r="CY53" s="354"/>
      <c r="CZ53" s="354"/>
      <c r="DA53" s="354"/>
      <c r="DB53" s="354"/>
      <c r="DC53" s="352"/>
      <c r="DI53" s="59">
        <v>2</v>
      </c>
      <c r="DJ53" s="58" t="s">
        <v>731</v>
      </c>
      <c r="DL53" s="364">
        <f>CK7*3500</f>
        <v>10972.5</v>
      </c>
    </row>
    <row r="54" spans="1:116" s="59" customFormat="1">
      <c r="A54" s="474"/>
      <c r="B54" s="476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54"/>
      <c r="Q54" s="354"/>
      <c r="R54" s="354"/>
      <c r="S54" s="354"/>
      <c r="T54" s="352"/>
      <c r="U54" s="476"/>
      <c r="V54" s="476"/>
      <c r="W54" s="476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54"/>
      <c r="AQ54" s="352"/>
      <c r="AR54" s="476"/>
      <c r="AS54" s="349"/>
      <c r="AT54" s="349"/>
      <c r="AU54" s="349"/>
      <c r="AV54" s="352"/>
      <c r="AW54" s="476"/>
      <c r="AX54" s="349"/>
      <c r="AY54" s="352"/>
      <c r="AZ54" s="476"/>
      <c r="BA54" s="349"/>
      <c r="BB54" s="349"/>
      <c r="BC54" s="349"/>
      <c r="BD54" s="349"/>
      <c r="BE54" s="349"/>
      <c r="BF54" s="349"/>
      <c r="BG54" s="349"/>
      <c r="BH54" s="349"/>
      <c r="BI54" s="349"/>
      <c r="BJ54" s="349"/>
      <c r="BK54" s="349"/>
      <c r="BL54" s="349"/>
      <c r="BM54" s="349"/>
      <c r="BN54" s="349"/>
      <c r="BO54" s="349"/>
      <c r="BP54" s="349"/>
      <c r="BQ54" s="349"/>
      <c r="BR54" s="349"/>
      <c r="BS54" s="349"/>
      <c r="BT54" s="349"/>
      <c r="BU54" s="349"/>
      <c r="BV54" s="349"/>
      <c r="BW54" s="349"/>
      <c r="BX54" s="349"/>
      <c r="BY54" s="349"/>
      <c r="BZ54" s="349"/>
      <c r="CA54" s="349"/>
      <c r="CB54" s="349"/>
      <c r="CC54" s="354"/>
      <c r="CD54" s="354"/>
      <c r="CE54" s="354"/>
      <c r="CF54" s="354"/>
      <c r="CG54" s="354"/>
      <c r="CH54" s="354"/>
      <c r="CI54" s="354"/>
      <c r="CJ54" s="354"/>
      <c r="CK54" s="354"/>
      <c r="CL54" s="354"/>
      <c r="CM54" s="354"/>
      <c r="CN54" s="354"/>
      <c r="CO54" s="354"/>
      <c r="CP54" s="354"/>
      <c r="CQ54" s="354"/>
      <c r="CR54" s="354"/>
      <c r="CS54" s="354"/>
      <c r="CT54" s="354"/>
      <c r="CU54" s="354"/>
      <c r="CV54" s="354"/>
      <c r="CW54" s="354"/>
      <c r="CX54" s="354"/>
      <c r="CY54" s="354"/>
      <c r="CZ54" s="354"/>
      <c r="DA54" s="354"/>
      <c r="DB54" s="354"/>
      <c r="DC54" s="352"/>
      <c r="DI54" s="59">
        <v>1</v>
      </c>
      <c r="DJ54" s="58" t="s">
        <v>732</v>
      </c>
      <c r="DL54" s="364">
        <f>CL7*3500</f>
        <v>6982.5</v>
      </c>
    </row>
    <row r="55" spans="1:116" s="59" customFormat="1">
      <c r="A55" s="365"/>
      <c r="B55" s="353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P55" s="349"/>
      <c r="Q55" s="349"/>
      <c r="R55" s="354"/>
      <c r="S55" s="354"/>
      <c r="T55" s="352"/>
      <c r="U55" s="353"/>
      <c r="V55" s="353"/>
      <c r="W55" s="353"/>
      <c r="X55" s="349"/>
      <c r="Y55" s="349"/>
      <c r="Z55" s="349"/>
      <c r="AA55" s="349"/>
      <c r="AB55" s="349"/>
      <c r="AC55" s="349"/>
      <c r="AD55" s="349"/>
      <c r="AE55" s="349"/>
      <c r="AF55" s="349"/>
      <c r="AG55" s="349"/>
      <c r="AH55" s="349"/>
      <c r="AI55" s="349"/>
      <c r="AJ55" s="349"/>
      <c r="AK55" s="349"/>
      <c r="AL55" s="349"/>
      <c r="AM55" s="349"/>
      <c r="AN55" s="349"/>
      <c r="AO55" s="349"/>
      <c r="AP55" s="354"/>
      <c r="AQ55" s="352"/>
      <c r="AR55" s="353"/>
      <c r="AS55" s="349"/>
      <c r="AT55" s="349"/>
      <c r="AU55" s="349"/>
      <c r="AV55" s="352"/>
      <c r="AW55" s="353"/>
      <c r="AX55" s="349"/>
      <c r="AY55" s="352"/>
      <c r="AZ55" s="372"/>
      <c r="BA55" s="349"/>
      <c r="BB55" s="373"/>
      <c r="BC55" s="373"/>
      <c r="BD55" s="373"/>
      <c r="BE55" s="373"/>
      <c r="BF55" s="373"/>
      <c r="BG55" s="373"/>
      <c r="BH55" s="373"/>
      <c r="BI55" s="373"/>
      <c r="BJ55" s="373"/>
      <c r="BK55" s="373"/>
      <c r="BL55" s="373"/>
      <c r="BM55" s="373"/>
      <c r="BN55" s="373"/>
      <c r="BO55" s="373"/>
      <c r="BP55" s="373"/>
      <c r="BQ55" s="373"/>
      <c r="BR55" s="373"/>
      <c r="BS55" s="373"/>
      <c r="BT55" s="373"/>
      <c r="BU55" s="373"/>
      <c r="BV55" s="373"/>
      <c r="BW55" s="373"/>
      <c r="BX55" s="373"/>
      <c r="BY55" s="373"/>
      <c r="BZ55" s="373"/>
      <c r="CA55" s="373"/>
      <c r="CB55" s="373"/>
      <c r="CC55" s="374"/>
      <c r="CD55" s="374"/>
      <c r="CE55" s="374"/>
      <c r="CF55" s="374"/>
      <c r="CG55" s="374"/>
      <c r="CH55" s="374"/>
      <c r="CI55" s="374"/>
      <c r="CJ55" s="374"/>
      <c r="CK55" s="374"/>
      <c r="CL55" s="374"/>
      <c r="CM55" s="374"/>
      <c r="CN55" s="374"/>
      <c r="CO55" s="374"/>
      <c r="CP55" s="374"/>
      <c r="CQ55" s="374"/>
      <c r="CR55" s="374"/>
      <c r="CS55" s="374"/>
      <c r="CT55" s="374"/>
      <c r="CU55" s="374"/>
      <c r="CV55" s="374"/>
      <c r="CW55" s="374"/>
      <c r="CX55" s="374"/>
      <c r="CY55" s="374"/>
      <c r="CZ55" s="374"/>
      <c r="DA55" s="374"/>
      <c r="DB55" s="374"/>
      <c r="DC55" s="375"/>
      <c r="DD55" s="59">
        <v>2</v>
      </c>
      <c r="DF55" s="59">
        <v>4</v>
      </c>
      <c r="DI55" s="59">
        <v>4</v>
      </c>
      <c r="DJ55" s="58" t="s">
        <v>555</v>
      </c>
      <c r="DL55" s="364">
        <f>ROUNDUP(CM7*3500,0)</f>
        <v>9450</v>
      </c>
    </row>
    <row r="56" spans="1:116" s="59" customFormat="1">
      <c r="A56" s="365"/>
      <c r="B56" s="353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349"/>
      <c r="O56" s="349"/>
      <c r="P56" s="354"/>
      <c r="Q56" s="349"/>
      <c r="R56" s="354"/>
      <c r="S56" s="354"/>
      <c r="T56" s="352"/>
      <c r="U56" s="353"/>
      <c r="V56" s="353"/>
      <c r="W56" s="353"/>
      <c r="X56" s="349"/>
      <c r="Y56" s="349"/>
      <c r="Z56" s="349"/>
      <c r="AA56" s="349"/>
      <c r="AB56" s="349"/>
      <c r="AC56" s="349"/>
      <c r="AD56" s="349"/>
      <c r="AE56" s="349"/>
      <c r="AF56" s="349"/>
      <c r="AG56" s="349"/>
      <c r="AH56" s="349"/>
      <c r="AI56" s="349"/>
      <c r="AJ56" s="349"/>
      <c r="AK56" s="349"/>
      <c r="AL56" s="349"/>
      <c r="AM56" s="349"/>
      <c r="AN56" s="349"/>
      <c r="AO56" s="349"/>
      <c r="AP56" s="354"/>
      <c r="AQ56" s="352"/>
      <c r="AR56" s="353"/>
      <c r="AS56" s="349"/>
      <c r="AT56" s="349"/>
      <c r="AU56" s="349"/>
      <c r="AV56" s="352"/>
      <c r="AW56" s="353"/>
      <c r="AX56" s="349"/>
      <c r="AY56" s="352"/>
      <c r="AZ56" s="372"/>
      <c r="BA56" s="349"/>
      <c r="BB56" s="373"/>
      <c r="BC56" s="373"/>
      <c r="BD56" s="373"/>
      <c r="BE56" s="373"/>
      <c r="BF56" s="373"/>
      <c r="BG56" s="373"/>
      <c r="BH56" s="373"/>
      <c r="BI56" s="373"/>
      <c r="BJ56" s="373"/>
      <c r="BK56" s="373"/>
      <c r="BL56" s="373"/>
      <c r="BM56" s="373"/>
      <c r="BN56" s="373"/>
      <c r="BO56" s="373"/>
      <c r="BP56" s="373"/>
      <c r="BQ56" s="373"/>
      <c r="BR56" s="373"/>
      <c r="BS56" s="373"/>
      <c r="BT56" s="373"/>
      <c r="BU56" s="373"/>
      <c r="BV56" s="373"/>
      <c r="BW56" s="373"/>
      <c r="BX56" s="373"/>
      <c r="BY56" s="373"/>
      <c r="BZ56" s="373"/>
      <c r="CA56" s="373"/>
      <c r="CB56" s="373"/>
      <c r="CC56" s="374"/>
      <c r="CD56" s="374"/>
      <c r="CE56" s="374"/>
      <c r="CF56" s="374"/>
      <c r="CG56" s="374"/>
      <c r="CH56" s="374"/>
      <c r="CI56" s="374"/>
      <c r="CJ56" s="374"/>
      <c r="CK56" s="374"/>
      <c r="CL56" s="374"/>
      <c r="CM56" s="374"/>
      <c r="CN56" s="374"/>
      <c r="CO56" s="374"/>
      <c r="CP56" s="374"/>
      <c r="CQ56" s="374"/>
      <c r="CR56" s="374"/>
      <c r="CS56" s="374"/>
      <c r="CT56" s="374"/>
      <c r="CU56" s="374"/>
      <c r="CV56" s="374"/>
      <c r="CW56" s="374"/>
      <c r="CX56" s="374"/>
      <c r="CY56" s="374"/>
      <c r="CZ56" s="374"/>
      <c r="DA56" s="374"/>
      <c r="DB56" s="374"/>
      <c r="DC56" s="375"/>
      <c r="DD56" s="59">
        <v>1</v>
      </c>
      <c r="DI56" s="59">
        <v>1</v>
      </c>
      <c r="DJ56" s="58" t="s">
        <v>556</v>
      </c>
      <c r="DL56" s="364">
        <f>ROUNDUP(CN7*3500,0)</f>
        <v>74813</v>
      </c>
    </row>
    <row r="57" spans="1:116" s="59" customFormat="1">
      <c r="A57" s="365"/>
      <c r="B57" s="353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54"/>
      <c r="Q57" s="354"/>
      <c r="R57" s="349"/>
      <c r="S57" s="354"/>
      <c r="T57" s="352"/>
      <c r="U57" s="353"/>
      <c r="V57" s="353"/>
      <c r="W57" s="353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354"/>
      <c r="AQ57" s="352"/>
      <c r="AR57" s="353"/>
      <c r="AS57" s="349"/>
      <c r="AT57" s="349"/>
      <c r="AU57" s="349"/>
      <c r="AV57" s="352"/>
      <c r="AW57" s="353"/>
      <c r="AX57" s="349"/>
      <c r="AY57" s="352"/>
      <c r="AZ57" s="372"/>
      <c r="BA57" s="373"/>
      <c r="BB57" s="373"/>
      <c r="BC57" s="373"/>
      <c r="BD57" s="373"/>
      <c r="BE57" s="373"/>
      <c r="BF57" s="373"/>
      <c r="BG57" s="373"/>
      <c r="BH57" s="373"/>
      <c r="BI57" s="373"/>
      <c r="BJ57" s="373"/>
      <c r="BK57" s="373"/>
      <c r="BL57" s="373"/>
      <c r="BM57" s="373"/>
      <c r="BN57" s="373"/>
      <c r="BO57" s="373"/>
      <c r="BP57" s="373"/>
      <c r="BQ57" s="373"/>
      <c r="BR57" s="373"/>
      <c r="BS57" s="373"/>
      <c r="BT57" s="373"/>
      <c r="BU57" s="373"/>
      <c r="BV57" s="373"/>
      <c r="BW57" s="373"/>
      <c r="BX57" s="373"/>
      <c r="BY57" s="373"/>
      <c r="BZ57" s="373"/>
      <c r="CA57" s="373"/>
      <c r="CB57" s="373"/>
      <c r="CC57" s="374"/>
      <c r="CD57" s="374"/>
      <c r="CE57" s="374"/>
      <c r="CF57" s="374"/>
      <c r="CG57" s="374"/>
      <c r="CH57" s="374"/>
      <c r="CI57" s="374"/>
      <c r="CJ57" s="374"/>
      <c r="CK57" s="374"/>
      <c r="CL57" s="374"/>
      <c r="CM57" s="374"/>
      <c r="CN57" s="374"/>
      <c r="CO57" s="374"/>
      <c r="CP57" s="374"/>
      <c r="CQ57" s="374"/>
      <c r="CR57" s="374"/>
      <c r="CS57" s="374"/>
      <c r="CT57" s="374"/>
      <c r="CU57" s="374"/>
      <c r="CV57" s="374"/>
      <c r="CW57" s="374"/>
      <c r="CX57" s="374"/>
      <c r="CY57" s="374"/>
      <c r="CZ57" s="374"/>
      <c r="DA57" s="374"/>
      <c r="DB57" s="374"/>
      <c r="DC57" s="375"/>
      <c r="DF57" s="59">
        <v>1</v>
      </c>
      <c r="DI57" s="59">
        <v>1</v>
      </c>
      <c r="DJ57" s="58" t="s">
        <v>557</v>
      </c>
      <c r="DL57" s="364">
        <f>ROUNDUP(CO7*3500,0)</f>
        <v>24602</v>
      </c>
    </row>
    <row r="58" spans="1:116" s="59" customFormat="1">
      <c r="A58" s="365"/>
      <c r="B58" s="353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54"/>
      <c r="Q58" s="354"/>
      <c r="R58" s="354"/>
      <c r="S58" s="349"/>
      <c r="T58" s="352"/>
      <c r="U58" s="353"/>
      <c r="V58" s="353"/>
      <c r="W58" s="353"/>
      <c r="X58" s="349"/>
      <c r="Y58" s="349"/>
      <c r="Z58" s="349"/>
      <c r="AA58" s="349"/>
      <c r="AB58" s="349"/>
      <c r="AC58" s="349"/>
      <c r="AD58" s="349"/>
      <c r="AE58" s="349"/>
      <c r="AF58" s="349"/>
      <c r="AG58" s="349"/>
      <c r="AH58" s="349"/>
      <c r="AI58" s="349"/>
      <c r="AJ58" s="349"/>
      <c r="AK58" s="349"/>
      <c r="AL58" s="349"/>
      <c r="AM58" s="349"/>
      <c r="AN58" s="349"/>
      <c r="AO58" s="349"/>
      <c r="AP58" s="354"/>
      <c r="AQ58" s="352"/>
      <c r="AR58" s="353"/>
      <c r="AS58" s="349"/>
      <c r="AT58" s="349"/>
      <c r="AU58" s="349"/>
      <c r="AV58" s="352"/>
      <c r="AW58" s="353"/>
      <c r="AX58" s="349"/>
      <c r="AY58" s="352"/>
      <c r="AZ58" s="372"/>
      <c r="BA58" s="373"/>
      <c r="BB58" s="373"/>
      <c r="BC58" s="373"/>
      <c r="BD58" s="373"/>
      <c r="BE58" s="373"/>
      <c r="BF58" s="373"/>
      <c r="BG58" s="373"/>
      <c r="BH58" s="373"/>
      <c r="BI58" s="373"/>
      <c r="BJ58" s="373"/>
      <c r="BK58" s="373"/>
      <c r="BL58" s="373"/>
      <c r="BM58" s="373"/>
      <c r="BN58" s="373"/>
      <c r="BO58" s="373"/>
      <c r="BP58" s="373"/>
      <c r="BQ58" s="373"/>
      <c r="BR58" s="373"/>
      <c r="BS58" s="373"/>
      <c r="BT58" s="373"/>
      <c r="BU58" s="373"/>
      <c r="BV58" s="373"/>
      <c r="BW58" s="373"/>
      <c r="BX58" s="373"/>
      <c r="BY58" s="373"/>
      <c r="BZ58" s="373"/>
      <c r="CA58" s="373"/>
      <c r="CB58" s="373"/>
      <c r="CC58" s="374"/>
      <c r="CD58" s="374"/>
      <c r="CE58" s="374"/>
      <c r="CF58" s="374"/>
      <c r="CG58" s="374"/>
      <c r="CH58" s="374"/>
      <c r="CI58" s="374"/>
      <c r="CJ58" s="374"/>
      <c r="CK58" s="374"/>
      <c r="CL58" s="374"/>
      <c r="CM58" s="374"/>
      <c r="CN58" s="374"/>
      <c r="CO58" s="374"/>
      <c r="CP58" s="374"/>
      <c r="CQ58" s="374"/>
      <c r="CR58" s="374"/>
      <c r="CS58" s="374"/>
      <c r="CT58" s="374"/>
      <c r="CU58" s="374"/>
      <c r="CV58" s="374"/>
      <c r="CW58" s="374"/>
      <c r="CX58" s="374"/>
      <c r="CY58" s="374"/>
      <c r="CZ58" s="374"/>
      <c r="DA58" s="374"/>
      <c r="DB58" s="374"/>
      <c r="DC58" s="375"/>
      <c r="DF58" s="59">
        <v>1</v>
      </c>
      <c r="DI58" s="59">
        <v>1</v>
      </c>
      <c r="DJ58" s="58" t="s">
        <v>558</v>
      </c>
      <c r="DL58" s="364">
        <f>ROUNDUP(CP7*2500,0)</f>
        <v>8250</v>
      </c>
    </row>
    <row r="59" spans="1:116" s="59" customFormat="1">
      <c r="A59" s="365"/>
      <c r="B59" s="353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54"/>
      <c r="Q59" s="354"/>
      <c r="R59" s="354"/>
      <c r="S59" s="354"/>
      <c r="T59" s="352"/>
      <c r="U59" s="353"/>
      <c r="V59" s="353"/>
      <c r="W59" s="353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49"/>
      <c r="AJ59" s="349"/>
      <c r="AK59" s="349"/>
      <c r="AL59" s="349"/>
      <c r="AM59" s="349"/>
      <c r="AN59" s="349"/>
      <c r="AO59" s="349"/>
      <c r="AP59" s="354"/>
      <c r="AQ59" s="352"/>
      <c r="AR59" s="353"/>
      <c r="AS59" s="349"/>
      <c r="AT59" s="349"/>
      <c r="AU59" s="349"/>
      <c r="AV59" s="352"/>
      <c r="AW59" s="353"/>
      <c r="AX59" s="349"/>
      <c r="AY59" s="352"/>
      <c r="AZ59" s="372"/>
      <c r="BA59" s="373"/>
      <c r="BB59" s="373"/>
      <c r="BC59" s="373"/>
      <c r="BD59" s="373"/>
      <c r="BE59" s="373"/>
      <c r="BF59" s="373"/>
      <c r="BG59" s="373"/>
      <c r="BH59" s="373"/>
      <c r="BI59" s="373"/>
      <c r="BJ59" s="373"/>
      <c r="BK59" s="373"/>
      <c r="BL59" s="373"/>
      <c r="BM59" s="373"/>
      <c r="BN59" s="373"/>
      <c r="BO59" s="373"/>
      <c r="BP59" s="373"/>
      <c r="BQ59" s="373"/>
      <c r="BR59" s="373"/>
      <c r="BS59" s="373"/>
      <c r="BT59" s="373"/>
      <c r="BU59" s="373"/>
      <c r="BV59" s="373"/>
      <c r="BW59" s="373"/>
      <c r="BX59" s="373"/>
      <c r="BY59" s="373"/>
      <c r="BZ59" s="373"/>
      <c r="CA59" s="373"/>
      <c r="CB59" s="373"/>
      <c r="CC59" s="374"/>
      <c r="CD59" s="374"/>
      <c r="CE59" s="374"/>
      <c r="CF59" s="374"/>
      <c r="CG59" s="374"/>
      <c r="CH59" s="374"/>
      <c r="CI59" s="374"/>
      <c r="CJ59" s="374"/>
      <c r="CK59" s="374"/>
      <c r="CL59" s="374"/>
      <c r="CM59" s="374"/>
      <c r="CN59" s="374"/>
      <c r="CO59" s="374"/>
      <c r="CP59" s="374"/>
      <c r="CQ59" s="374"/>
      <c r="CR59" s="374"/>
      <c r="CS59" s="374"/>
      <c r="CT59" s="374"/>
      <c r="CU59" s="374"/>
      <c r="CV59" s="374"/>
      <c r="CW59" s="374"/>
      <c r="CX59" s="374"/>
      <c r="CY59" s="374"/>
      <c r="CZ59" s="374"/>
      <c r="DA59" s="374"/>
      <c r="DB59" s="374"/>
      <c r="DC59" s="375"/>
      <c r="DI59" s="59">
        <v>2</v>
      </c>
      <c r="DJ59" s="58" t="s">
        <v>559</v>
      </c>
      <c r="DL59" s="364">
        <f>CQ7*3500</f>
        <v>54390</v>
      </c>
    </row>
    <row r="60" spans="1:116" s="59" customFormat="1">
      <c r="A60" s="365"/>
      <c r="B60" s="353"/>
      <c r="C60" s="349"/>
      <c r="D60" s="349"/>
      <c r="E60" s="349"/>
      <c r="F60" s="349"/>
      <c r="G60" s="349"/>
      <c r="H60" s="349"/>
      <c r="I60" s="349"/>
      <c r="J60" s="349"/>
      <c r="K60" s="349"/>
      <c r="L60" s="349"/>
      <c r="M60" s="349"/>
      <c r="N60" s="349"/>
      <c r="O60" s="349"/>
      <c r="P60" s="354"/>
      <c r="Q60" s="354"/>
      <c r="R60" s="354"/>
      <c r="S60" s="354"/>
      <c r="T60" s="352"/>
      <c r="U60" s="353"/>
      <c r="V60" s="353"/>
      <c r="W60" s="353"/>
      <c r="X60" s="349"/>
      <c r="Y60" s="349"/>
      <c r="Z60" s="349"/>
      <c r="AA60" s="349"/>
      <c r="AB60" s="349"/>
      <c r="AC60" s="349"/>
      <c r="AD60" s="349"/>
      <c r="AE60" s="349"/>
      <c r="AF60" s="349"/>
      <c r="AG60" s="349"/>
      <c r="AH60" s="349"/>
      <c r="AI60" s="349"/>
      <c r="AJ60" s="349"/>
      <c r="AK60" s="349"/>
      <c r="AL60" s="349"/>
      <c r="AM60" s="349"/>
      <c r="AN60" s="349"/>
      <c r="AO60" s="349"/>
      <c r="AP60" s="354"/>
      <c r="AQ60" s="352"/>
      <c r="AR60" s="353"/>
      <c r="AS60" s="349"/>
      <c r="AT60" s="349"/>
      <c r="AU60" s="349"/>
      <c r="AV60" s="352"/>
      <c r="AW60" s="353"/>
      <c r="AX60" s="349"/>
      <c r="AY60" s="352"/>
      <c r="AZ60" s="372"/>
      <c r="BA60" s="373"/>
      <c r="BB60" s="373"/>
      <c r="BC60" s="373"/>
      <c r="BD60" s="373"/>
      <c r="BE60" s="373"/>
      <c r="BF60" s="373"/>
      <c r="BG60" s="373"/>
      <c r="BH60" s="373"/>
      <c r="BI60" s="373"/>
      <c r="BJ60" s="373"/>
      <c r="BK60" s="373"/>
      <c r="BL60" s="373"/>
      <c r="BM60" s="373"/>
      <c r="BN60" s="373"/>
      <c r="BO60" s="373"/>
      <c r="BP60" s="373"/>
      <c r="BQ60" s="373"/>
      <c r="BR60" s="373"/>
      <c r="BS60" s="373"/>
      <c r="BT60" s="373"/>
      <c r="BU60" s="373"/>
      <c r="BV60" s="373"/>
      <c r="BW60" s="373"/>
      <c r="BX60" s="373"/>
      <c r="BY60" s="373"/>
      <c r="BZ60" s="373"/>
      <c r="CA60" s="373"/>
      <c r="CB60" s="373"/>
      <c r="CC60" s="374"/>
      <c r="CD60" s="374"/>
      <c r="CE60" s="374"/>
      <c r="CF60" s="374"/>
      <c r="CG60" s="374"/>
      <c r="CH60" s="374"/>
      <c r="CI60" s="374"/>
      <c r="CJ60" s="374"/>
      <c r="CK60" s="374"/>
      <c r="CL60" s="374"/>
      <c r="CM60" s="374"/>
      <c r="CN60" s="374"/>
      <c r="CO60" s="374"/>
      <c r="CP60" s="374"/>
      <c r="CQ60" s="374"/>
      <c r="CR60" s="374"/>
      <c r="CS60" s="374"/>
      <c r="CT60" s="374"/>
      <c r="CU60" s="374"/>
      <c r="CV60" s="374"/>
      <c r="CW60" s="374"/>
      <c r="CX60" s="374"/>
      <c r="CY60" s="374"/>
      <c r="CZ60" s="374"/>
      <c r="DA60" s="374"/>
      <c r="DB60" s="374"/>
      <c r="DC60" s="375"/>
      <c r="DI60" s="59">
        <v>1</v>
      </c>
      <c r="DJ60" s="58" t="s">
        <v>720</v>
      </c>
      <c r="DL60" s="59">
        <f>CR7*3500</f>
        <v>59220.000000000007</v>
      </c>
    </row>
    <row r="61" spans="1:116" s="59" customFormat="1">
      <c r="A61" s="365"/>
      <c r="B61" s="353"/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54"/>
      <c r="Q61" s="354"/>
      <c r="R61" s="354"/>
      <c r="S61" s="354"/>
      <c r="T61" s="352"/>
      <c r="U61" s="353"/>
      <c r="V61" s="353"/>
      <c r="W61" s="353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54"/>
      <c r="AQ61" s="352"/>
      <c r="AR61" s="353"/>
      <c r="AS61" s="349"/>
      <c r="AT61" s="349"/>
      <c r="AU61" s="349"/>
      <c r="AV61" s="352"/>
      <c r="AW61" s="353"/>
      <c r="AX61" s="349"/>
      <c r="AY61" s="352"/>
      <c r="AZ61" s="372"/>
      <c r="BA61" s="373"/>
      <c r="BB61" s="373"/>
      <c r="BC61" s="373"/>
      <c r="BD61" s="373"/>
      <c r="BE61" s="373"/>
      <c r="BF61" s="373"/>
      <c r="BG61" s="373"/>
      <c r="BH61" s="373"/>
      <c r="BI61" s="373"/>
      <c r="BJ61" s="373"/>
      <c r="BK61" s="373"/>
      <c r="BL61" s="373"/>
      <c r="BM61" s="373"/>
      <c r="BN61" s="373"/>
      <c r="BO61" s="373"/>
      <c r="BP61" s="373"/>
      <c r="BQ61" s="373"/>
      <c r="BR61" s="373"/>
      <c r="BS61" s="373"/>
      <c r="BT61" s="373"/>
      <c r="BU61" s="373"/>
      <c r="BV61" s="373"/>
      <c r="BW61" s="373"/>
      <c r="BX61" s="373"/>
      <c r="BY61" s="373"/>
      <c r="BZ61" s="373"/>
      <c r="CA61" s="373"/>
      <c r="CB61" s="373"/>
      <c r="CC61" s="374"/>
      <c r="CD61" s="374"/>
      <c r="CE61" s="374"/>
      <c r="CF61" s="374"/>
      <c r="CG61" s="374"/>
      <c r="CH61" s="374"/>
      <c r="CI61" s="374"/>
      <c r="CJ61" s="374"/>
      <c r="CK61" s="374"/>
      <c r="CL61" s="374"/>
      <c r="CM61" s="374"/>
      <c r="CN61" s="374"/>
      <c r="CO61" s="374"/>
      <c r="CP61" s="374"/>
      <c r="CQ61" s="374"/>
      <c r="CR61" s="374"/>
      <c r="CS61" s="374"/>
      <c r="CT61" s="374"/>
      <c r="CU61" s="374"/>
      <c r="CV61" s="374"/>
      <c r="CW61" s="374"/>
      <c r="CX61" s="374"/>
      <c r="CY61" s="374"/>
      <c r="CZ61" s="374"/>
      <c r="DA61" s="374"/>
      <c r="DB61" s="374"/>
      <c r="DC61" s="375"/>
      <c r="DF61" s="59">
        <v>3</v>
      </c>
      <c r="DI61" s="59">
        <v>4</v>
      </c>
      <c r="DJ61" s="58" t="s">
        <v>721</v>
      </c>
      <c r="DL61" s="59">
        <f>ROUNDUP(CS7*5500,0)</f>
        <v>8077</v>
      </c>
    </row>
    <row r="62" spans="1:116" s="59" customFormat="1">
      <c r="A62" s="365"/>
      <c r="B62" s="353"/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54"/>
      <c r="Q62" s="354"/>
      <c r="R62" s="354"/>
      <c r="S62" s="354"/>
      <c r="T62" s="352"/>
      <c r="U62" s="353"/>
      <c r="V62" s="353"/>
      <c r="W62" s="353"/>
      <c r="X62" s="349"/>
      <c r="Y62" s="349"/>
      <c r="Z62" s="349"/>
      <c r="AA62" s="349"/>
      <c r="AB62" s="349"/>
      <c r="AC62" s="349"/>
      <c r="AD62" s="349"/>
      <c r="AE62" s="349"/>
      <c r="AF62" s="349"/>
      <c r="AG62" s="349"/>
      <c r="AH62" s="349"/>
      <c r="AI62" s="349"/>
      <c r="AJ62" s="349"/>
      <c r="AK62" s="349"/>
      <c r="AL62" s="349"/>
      <c r="AM62" s="349"/>
      <c r="AN62" s="349"/>
      <c r="AO62" s="349"/>
      <c r="AP62" s="354"/>
      <c r="AQ62" s="352"/>
      <c r="AR62" s="353"/>
      <c r="AS62" s="349"/>
      <c r="AT62" s="349"/>
      <c r="AU62" s="349"/>
      <c r="AV62" s="352"/>
      <c r="AW62" s="353"/>
      <c r="AX62" s="349"/>
      <c r="AY62" s="352"/>
      <c r="AZ62" s="372"/>
      <c r="BA62" s="373"/>
      <c r="BB62" s="373"/>
      <c r="BC62" s="373"/>
      <c r="BD62" s="373"/>
      <c r="BE62" s="373"/>
      <c r="BF62" s="373"/>
      <c r="BG62" s="373"/>
      <c r="BH62" s="373"/>
      <c r="BI62" s="373"/>
      <c r="BJ62" s="373"/>
      <c r="BK62" s="373"/>
      <c r="BL62" s="373"/>
      <c r="BM62" s="373"/>
      <c r="BN62" s="373"/>
      <c r="BO62" s="373"/>
      <c r="BP62" s="373"/>
      <c r="BQ62" s="373"/>
      <c r="BR62" s="373"/>
      <c r="BS62" s="373"/>
      <c r="BT62" s="373"/>
      <c r="BU62" s="373"/>
      <c r="BV62" s="373"/>
      <c r="BW62" s="373"/>
      <c r="BX62" s="373"/>
      <c r="BY62" s="373"/>
      <c r="BZ62" s="373"/>
      <c r="CA62" s="373"/>
      <c r="CB62" s="373"/>
      <c r="CC62" s="374"/>
      <c r="CD62" s="374"/>
      <c r="CE62" s="374"/>
      <c r="CF62" s="374"/>
      <c r="CG62" s="374"/>
      <c r="CH62" s="374"/>
      <c r="CI62" s="374"/>
      <c r="CJ62" s="374"/>
      <c r="CK62" s="374"/>
      <c r="CL62" s="374"/>
      <c r="CM62" s="374"/>
      <c r="CN62" s="374"/>
      <c r="CO62" s="374"/>
      <c r="CP62" s="374"/>
      <c r="CQ62" s="374"/>
      <c r="CR62" s="374"/>
      <c r="CS62" s="374"/>
      <c r="CT62" s="374"/>
      <c r="CU62" s="374"/>
      <c r="CV62" s="374"/>
      <c r="CW62" s="374"/>
      <c r="CX62" s="374"/>
      <c r="CY62" s="374"/>
      <c r="CZ62" s="374"/>
      <c r="DA62" s="374"/>
      <c r="DB62" s="374"/>
      <c r="DC62" s="375"/>
    </row>
    <row r="63" spans="1:116" s="59" customFormat="1">
      <c r="A63" s="365"/>
      <c r="B63" s="353"/>
      <c r="C63" s="349"/>
      <c r="D63" s="349"/>
      <c r="E63" s="349"/>
      <c r="F63" s="349"/>
      <c r="G63" s="349"/>
      <c r="H63" s="349"/>
      <c r="I63" s="349"/>
      <c r="J63" s="349"/>
      <c r="K63" s="349"/>
      <c r="L63" s="349"/>
      <c r="M63" s="349"/>
      <c r="N63" s="349"/>
      <c r="O63" s="349"/>
      <c r="P63" s="354"/>
      <c r="Q63" s="354"/>
      <c r="R63" s="354"/>
      <c r="S63" s="354"/>
      <c r="T63" s="352"/>
      <c r="U63" s="353"/>
      <c r="V63" s="353"/>
      <c r="W63" s="353"/>
      <c r="X63" s="349"/>
      <c r="Y63" s="349"/>
      <c r="Z63" s="349"/>
      <c r="AA63" s="349"/>
      <c r="AB63" s="349"/>
      <c r="AC63" s="349"/>
      <c r="AD63" s="349"/>
      <c r="AE63" s="349"/>
      <c r="AF63" s="349"/>
      <c r="AG63" s="349"/>
      <c r="AH63" s="349"/>
      <c r="AI63" s="349"/>
      <c r="AJ63" s="349"/>
      <c r="AK63" s="349"/>
      <c r="AL63" s="349"/>
      <c r="AM63" s="349"/>
      <c r="AN63" s="349"/>
      <c r="AO63" s="349"/>
      <c r="AP63" s="354"/>
      <c r="AQ63" s="352"/>
      <c r="AR63" s="353"/>
      <c r="AS63" s="349"/>
      <c r="AT63" s="349"/>
      <c r="AU63" s="349"/>
      <c r="AV63" s="352"/>
      <c r="AW63" s="353"/>
      <c r="AX63" s="349"/>
      <c r="AY63" s="352"/>
      <c r="AZ63" s="372"/>
      <c r="BA63" s="373"/>
      <c r="BB63" s="373"/>
      <c r="BC63" s="373"/>
      <c r="BD63" s="373"/>
      <c r="BE63" s="373"/>
      <c r="BF63" s="373"/>
      <c r="BG63" s="373"/>
      <c r="BH63" s="373"/>
      <c r="BI63" s="373"/>
      <c r="BJ63" s="373"/>
      <c r="BK63" s="373"/>
      <c r="BL63" s="373"/>
      <c r="BM63" s="373"/>
      <c r="BN63" s="373"/>
      <c r="BO63" s="373"/>
      <c r="BP63" s="373"/>
      <c r="BQ63" s="373"/>
      <c r="BR63" s="373"/>
      <c r="BS63" s="373"/>
      <c r="BT63" s="373"/>
      <c r="BU63" s="373"/>
      <c r="BV63" s="373"/>
      <c r="BW63" s="373"/>
      <c r="BX63" s="373"/>
      <c r="BY63" s="373"/>
      <c r="BZ63" s="373"/>
      <c r="CA63" s="373"/>
      <c r="CB63" s="373"/>
      <c r="CC63" s="374"/>
      <c r="CD63" s="374"/>
      <c r="CE63" s="374"/>
      <c r="CF63" s="374"/>
      <c r="CG63" s="374"/>
      <c r="CH63" s="374"/>
      <c r="CI63" s="374"/>
      <c r="CJ63" s="374"/>
      <c r="CK63" s="374"/>
      <c r="CL63" s="374"/>
      <c r="CM63" s="374"/>
      <c r="CN63" s="374"/>
      <c r="CO63" s="374"/>
      <c r="CP63" s="374"/>
      <c r="CQ63" s="374"/>
      <c r="CR63" s="374"/>
      <c r="CS63" s="374"/>
      <c r="CT63" s="374"/>
      <c r="CU63" s="374"/>
      <c r="CV63" s="374"/>
      <c r="CW63" s="374"/>
      <c r="CX63" s="374"/>
      <c r="CY63" s="374"/>
      <c r="CZ63" s="374"/>
      <c r="DA63" s="374"/>
      <c r="DB63" s="374"/>
      <c r="DC63" s="375"/>
      <c r="DI63" s="59">
        <f>SUM(DI12:DI62)</f>
        <v>207</v>
      </c>
    </row>
    <row r="64" spans="1:116">
      <c r="A64" s="376"/>
      <c r="B64" s="353"/>
      <c r="C64" s="349"/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54"/>
      <c r="Q64" s="354"/>
      <c r="R64" s="354"/>
      <c r="S64" s="354"/>
      <c r="T64" s="352">
        <f t="shared" ref="T64" si="11">SUM(C64:O64)</f>
        <v>0</v>
      </c>
      <c r="U64" s="353"/>
      <c r="V64" s="353"/>
      <c r="W64" s="353"/>
      <c r="X64" s="349"/>
      <c r="Y64" s="349"/>
      <c r="Z64" s="349"/>
      <c r="AA64" s="349"/>
      <c r="AB64" s="349"/>
      <c r="AC64" s="349"/>
      <c r="AD64" s="349"/>
      <c r="AE64" s="349"/>
      <c r="AF64" s="349"/>
      <c r="AG64" s="349"/>
      <c r="AH64" s="349"/>
      <c r="AI64" s="349"/>
      <c r="AJ64" s="349"/>
      <c r="AK64" s="349"/>
      <c r="AL64" s="349"/>
      <c r="AM64" s="349"/>
      <c r="AN64" s="349"/>
      <c r="AO64" s="349"/>
      <c r="AP64" s="354"/>
      <c r="AQ64" s="352"/>
      <c r="AR64" s="353"/>
      <c r="AS64" s="349"/>
      <c r="AT64" s="349"/>
      <c r="AU64" s="349"/>
      <c r="AV64" s="352"/>
      <c r="AW64" s="353"/>
      <c r="AX64" s="349"/>
      <c r="AY64" s="352"/>
      <c r="AZ64" s="372"/>
      <c r="BA64" s="373"/>
      <c r="BB64" s="373"/>
      <c r="BC64" s="373"/>
      <c r="BD64" s="373"/>
      <c r="BE64" s="373"/>
      <c r="BF64" s="373"/>
      <c r="BG64" s="373"/>
      <c r="BH64" s="373"/>
      <c r="BI64" s="373"/>
      <c r="BJ64" s="373"/>
      <c r="BK64" s="373"/>
      <c r="BL64" s="373"/>
      <c r="BM64" s="373"/>
      <c r="BN64" s="373"/>
      <c r="BO64" s="373"/>
      <c r="BP64" s="373"/>
      <c r="BQ64" s="373"/>
      <c r="BR64" s="373"/>
      <c r="BS64" s="373"/>
      <c r="BT64" s="373"/>
      <c r="BU64" s="373"/>
      <c r="BV64" s="373"/>
      <c r="BW64" s="373"/>
      <c r="BX64" s="373"/>
      <c r="BY64" s="373"/>
      <c r="BZ64" s="373"/>
      <c r="CA64" s="373"/>
      <c r="CB64" s="373"/>
      <c r="CC64" s="374"/>
      <c r="CD64" s="374"/>
      <c r="CE64" s="374"/>
      <c r="CF64" s="374"/>
      <c r="CG64" s="374"/>
      <c r="CH64" s="374"/>
      <c r="CI64" s="374"/>
      <c r="CJ64" s="374"/>
      <c r="CK64" s="374"/>
      <c r="CL64" s="374"/>
      <c r="CM64" s="374"/>
      <c r="CN64" s="374"/>
      <c r="CO64" s="374"/>
      <c r="CP64" s="374"/>
      <c r="CQ64" s="374"/>
      <c r="CR64" s="374"/>
      <c r="CS64" s="374"/>
      <c r="CT64" s="374"/>
      <c r="CU64" s="374"/>
      <c r="CV64" s="374"/>
      <c r="CW64" s="374"/>
      <c r="CX64" s="374"/>
      <c r="CY64" s="374"/>
      <c r="CZ64" s="374"/>
      <c r="DA64" s="374"/>
      <c r="DB64" s="374"/>
      <c r="DC64" s="375"/>
    </row>
    <row r="65" spans="1:107" ht="18.75">
      <c r="A65" s="376"/>
      <c r="B65" s="377" t="s">
        <v>171</v>
      </c>
      <c r="C65" s="378">
        <f t="shared" ref="C65:AH65" si="12">SUM(C14:C64)</f>
        <v>362</v>
      </c>
      <c r="D65" s="378">
        <f t="shared" si="12"/>
        <v>1906</v>
      </c>
      <c r="E65" s="378">
        <f t="shared" si="12"/>
        <v>162</v>
      </c>
      <c r="F65" s="378">
        <f t="shared" si="12"/>
        <v>67</v>
      </c>
      <c r="G65" s="378">
        <f t="shared" si="12"/>
        <v>0</v>
      </c>
      <c r="H65" s="378">
        <f t="shared" si="12"/>
        <v>487</v>
      </c>
      <c r="I65" s="378">
        <f t="shared" si="12"/>
        <v>0</v>
      </c>
      <c r="J65" s="378">
        <f t="shared" si="12"/>
        <v>0</v>
      </c>
      <c r="K65" s="378">
        <f t="shared" si="12"/>
        <v>0</v>
      </c>
      <c r="L65" s="378">
        <f t="shared" si="12"/>
        <v>0</v>
      </c>
      <c r="M65" s="378">
        <f t="shared" si="12"/>
        <v>0</v>
      </c>
      <c r="N65" s="378">
        <f t="shared" si="12"/>
        <v>0</v>
      </c>
      <c r="O65" s="378">
        <f t="shared" si="12"/>
        <v>0</v>
      </c>
      <c r="P65" s="378">
        <f t="shared" si="12"/>
        <v>0</v>
      </c>
      <c r="Q65" s="378">
        <f t="shared" si="12"/>
        <v>0</v>
      </c>
      <c r="R65" s="378">
        <f t="shared" si="12"/>
        <v>0</v>
      </c>
      <c r="S65" s="378">
        <f t="shared" si="12"/>
        <v>0</v>
      </c>
      <c r="T65" s="378">
        <f t="shared" si="12"/>
        <v>162</v>
      </c>
      <c r="U65" s="378">
        <f t="shared" si="12"/>
        <v>1838</v>
      </c>
      <c r="V65" s="378">
        <f t="shared" si="12"/>
        <v>67</v>
      </c>
      <c r="W65" s="378">
        <f t="shared" si="12"/>
        <v>0</v>
      </c>
      <c r="X65" s="378">
        <f t="shared" si="12"/>
        <v>0</v>
      </c>
      <c r="Y65" s="378">
        <f t="shared" si="12"/>
        <v>0</v>
      </c>
      <c r="Z65" s="378">
        <f t="shared" si="12"/>
        <v>706</v>
      </c>
      <c r="AA65" s="378">
        <f t="shared" si="12"/>
        <v>2433</v>
      </c>
      <c r="AB65" s="378">
        <f t="shared" si="12"/>
        <v>0</v>
      </c>
      <c r="AC65" s="378">
        <f t="shared" si="12"/>
        <v>0</v>
      </c>
      <c r="AD65" s="378">
        <f t="shared" si="12"/>
        <v>604</v>
      </c>
      <c r="AE65" s="378">
        <f t="shared" si="12"/>
        <v>0</v>
      </c>
      <c r="AF65" s="378">
        <f t="shared" si="12"/>
        <v>0</v>
      </c>
      <c r="AG65" s="378">
        <f t="shared" si="12"/>
        <v>0</v>
      </c>
      <c r="AH65" s="378">
        <f t="shared" si="12"/>
        <v>0</v>
      </c>
      <c r="AI65" s="378">
        <f t="shared" ref="AI65:BN65" si="13">SUM(AI14:AI64)</f>
        <v>0</v>
      </c>
      <c r="AJ65" s="378">
        <f t="shared" si="13"/>
        <v>0</v>
      </c>
      <c r="AK65" s="378">
        <f t="shared" si="13"/>
        <v>0</v>
      </c>
      <c r="AL65" s="378">
        <f t="shared" si="13"/>
        <v>0</v>
      </c>
      <c r="AM65" s="378">
        <f t="shared" si="13"/>
        <v>0</v>
      </c>
      <c r="AN65" s="378">
        <f t="shared" si="13"/>
        <v>415.2</v>
      </c>
      <c r="AO65" s="378">
        <f t="shared" si="13"/>
        <v>4.8</v>
      </c>
      <c r="AP65" s="378">
        <f t="shared" si="13"/>
        <v>0</v>
      </c>
      <c r="AQ65" s="378">
        <f t="shared" si="13"/>
        <v>350.5</v>
      </c>
      <c r="AR65" s="378">
        <f t="shared" si="13"/>
        <v>2194</v>
      </c>
      <c r="AS65" s="378">
        <f t="shared" si="13"/>
        <v>162</v>
      </c>
      <c r="AT65" s="378">
        <f t="shared" si="13"/>
        <v>93</v>
      </c>
      <c r="AU65" s="378">
        <f t="shared" si="13"/>
        <v>0</v>
      </c>
      <c r="AV65" s="378">
        <f t="shared" si="13"/>
        <v>0</v>
      </c>
      <c r="AW65" s="378">
        <f t="shared" si="13"/>
        <v>1829</v>
      </c>
      <c r="AX65" s="378">
        <f t="shared" si="13"/>
        <v>706</v>
      </c>
      <c r="AY65" s="378">
        <f t="shared" si="13"/>
        <v>2356</v>
      </c>
      <c r="AZ65" s="378">
        <f t="shared" si="13"/>
        <v>1</v>
      </c>
      <c r="BA65" s="378">
        <f t="shared" si="13"/>
        <v>3</v>
      </c>
      <c r="BB65" s="378">
        <f t="shared" si="13"/>
        <v>1</v>
      </c>
      <c r="BC65" s="378">
        <f t="shared" si="13"/>
        <v>1</v>
      </c>
      <c r="BD65" s="378">
        <f t="shared" si="13"/>
        <v>0</v>
      </c>
      <c r="BE65" s="378">
        <f t="shared" si="13"/>
        <v>0</v>
      </c>
      <c r="BF65" s="378">
        <f t="shared" si="13"/>
        <v>0</v>
      </c>
      <c r="BG65" s="378">
        <f t="shared" si="13"/>
        <v>5</v>
      </c>
      <c r="BH65" s="378">
        <f t="shared" si="13"/>
        <v>1</v>
      </c>
      <c r="BI65" s="378">
        <f t="shared" si="13"/>
        <v>1</v>
      </c>
      <c r="BJ65" s="378">
        <f t="shared" si="13"/>
        <v>1</v>
      </c>
      <c r="BK65" s="378">
        <f t="shared" si="13"/>
        <v>4</v>
      </c>
      <c r="BL65" s="378">
        <f t="shared" si="13"/>
        <v>1</v>
      </c>
      <c r="BM65" s="378">
        <f t="shared" si="13"/>
        <v>2</v>
      </c>
      <c r="BN65" s="378">
        <f t="shared" si="13"/>
        <v>0</v>
      </c>
      <c r="BO65" s="378">
        <f t="shared" ref="BO65:BW65" si="14">SUM(BO14:BO64)</f>
        <v>0</v>
      </c>
      <c r="BP65" s="378">
        <f t="shared" si="14"/>
        <v>0</v>
      </c>
      <c r="BQ65" s="378">
        <f t="shared" si="14"/>
        <v>0</v>
      </c>
      <c r="BR65" s="378">
        <f t="shared" si="14"/>
        <v>0</v>
      </c>
      <c r="BS65" s="378">
        <f t="shared" si="14"/>
        <v>0</v>
      </c>
      <c r="BT65" s="378">
        <f t="shared" si="14"/>
        <v>0</v>
      </c>
      <c r="BU65" s="378">
        <f t="shared" si="14"/>
        <v>0</v>
      </c>
      <c r="BV65" s="378">
        <f t="shared" si="14"/>
        <v>0</v>
      </c>
      <c r="BW65" s="378">
        <f t="shared" si="14"/>
        <v>12</v>
      </c>
      <c r="BX65" s="378"/>
      <c r="BY65" s="378">
        <f>SUM(BY14:BY64)</f>
        <v>5</v>
      </c>
      <c r="BZ65" s="378">
        <f>SUM(BZ14:BZ64)</f>
        <v>1</v>
      </c>
      <c r="CA65" s="378">
        <f>SUM(CA14:CA64)</f>
        <v>0</v>
      </c>
      <c r="CB65" s="378">
        <f>SUM(CB14:CB64)</f>
        <v>0</v>
      </c>
      <c r="CC65" s="378"/>
      <c r="CD65" s="378">
        <f>SUM(CD14:CD64)</f>
        <v>6</v>
      </c>
      <c r="CE65" s="378"/>
      <c r="CF65" s="378">
        <f>SUM(CF14:CF64)</f>
        <v>2</v>
      </c>
      <c r="CG65" s="378"/>
      <c r="CH65" s="378">
        <f>SUM(CH14:CH64)</f>
        <v>0</v>
      </c>
      <c r="CI65" s="378">
        <f>SUM(CI14:CI64)</f>
        <v>0</v>
      </c>
      <c r="CJ65" s="378">
        <f>SUM(CJ14:CJ64)</f>
        <v>0</v>
      </c>
      <c r="CK65" s="378"/>
      <c r="CL65" s="378"/>
      <c r="CM65" s="378">
        <f t="shared" ref="CM65:DC65" si="15">SUM(CM14:CM64)</f>
        <v>0</v>
      </c>
      <c r="CN65" s="378">
        <f t="shared" si="15"/>
        <v>0</v>
      </c>
      <c r="CO65" s="378">
        <f t="shared" si="15"/>
        <v>0</v>
      </c>
      <c r="CP65" s="378">
        <f t="shared" si="15"/>
        <v>0</v>
      </c>
      <c r="CQ65" s="378">
        <f t="shared" si="15"/>
        <v>0</v>
      </c>
      <c r="CR65" s="378">
        <f t="shared" si="15"/>
        <v>0</v>
      </c>
      <c r="CS65" s="378">
        <f t="shared" si="15"/>
        <v>0</v>
      </c>
      <c r="CT65" s="378">
        <f t="shared" si="15"/>
        <v>0</v>
      </c>
      <c r="CU65" s="378">
        <f t="shared" si="15"/>
        <v>0</v>
      </c>
      <c r="CV65" s="378">
        <f t="shared" si="15"/>
        <v>0</v>
      </c>
      <c r="CW65" s="378">
        <f t="shared" si="15"/>
        <v>0</v>
      </c>
      <c r="CX65" s="378">
        <f t="shared" si="15"/>
        <v>0</v>
      </c>
      <c r="CY65" s="378">
        <f t="shared" si="15"/>
        <v>0</v>
      </c>
      <c r="CZ65" s="378">
        <f t="shared" si="15"/>
        <v>0</v>
      </c>
      <c r="DA65" s="378">
        <f t="shared" si="15"/>
        <v>0</v>
      </c>
      <c r="DB65" s="378">
        <f t="shared" si="15"/>
        <v>0</v>
      </c>
      <c r="DC65" s="378">
        <f t="shared" si="15"/>
        <v>0</v>
      </c>
    </row>
    <row r="66" spans="1:107" ht="18.75">
      <c r="A66" s="376"/>
      <c r="B66" s="377"/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9"/>
      <c r="Q66" s="379"/>
      <c r="R66" s="379"/>
      <c r="S66" s="379"/>
      <c r="T66" s="380"/>
      <c r="U66" s="381"/>
      <c r="V66" s="381"/>
      <c r="W66" s="381"/>
      <c r="X66" s="378"/>
      <c r="Y66" s="378"/>
      <c r="Z66" s="378"/>
      <c r="AA66" s="378"/>
      <c r="AB66" s="378"/>
      <c r="AC66" s="378"/>
      <c r="AD66" s="378"/>
      <c r="AE66" s="378"/>
      <c r="AF66" s="378"/>
      <c r="AG66" s="378"/>
      <c r="AH66" s="378"/>
      <c r="AI66" s="378"/>
      <c r="AJ66" s="378"/>
      <c r="AK66" s="378"/>
      <c r="AL66" s="378"/>
      <c r="AM66" s="378"/>
      <c r="AN66" s="378"/>
      <c r="AO66" s="378"/>
      <c r="AP66" s="379"/>
      <c r="AQ66" s="380"/>
      <c r="AR66" s="381"/>
      <c r="AS66" s="378"/>
      <c r="AT66" s="378"/>
      <c r="AU66" s="379"/>
      <c r="AV66" s="380"/>
      <c r="AW66" s="381"/>
      <c r="AX66" s="378"/>
      <c r="AY66" s="380"/>
      <c r="AZ66" s="382"/>
      <c r="BA66" s="383"/>
      <c r="BB66" s="383"/>
      <c r="BC66" s="383"/>
      <c r="BD66" s="383"/>
      <c r="BE66" s="383"/>
      <c r="BF66" s="383"/>
      <c r="BG66" s="383"/>
      <c r="BH66" s="383"/>
      <c r="BI66" s="383"/>
      <c r="BJ66" s="383"/>
      <c r="BK66" s="383"/>
      <c r="BL66" s="383"/>
      <c r="BM66" s="383"/>
      <c r="BN66" s="383"/>
      <c r="BO66" s="383"/>
      <c r="BP66" s="383"/>
      <c r="BQ66" s="383"/>
      <c r="BR66" s="383"/>
      <c r="BS66" s="383"/>
      <c r="BT66" s="383"/>
      <c r="BU66" s="383"/>
      <c r="BV66" s="383"/>
      <c r="BW66" s="383"/>
      <c r="BX66" s="383"/>
      <c r="BY66" s="383"/>
      <c r="BZ66" s="383"/>
      <c r="CA66" s="383"/>
      <c r="CB66" s="383"/>
      <c r="CC66" s="384"/>
      <c r="CD66" s="384"/>
      <c r="CE66" s="384"/>
      <c r="CF66" s="384"/>
      <c r="CG66" s="384"/>
      <c r="CH66" s="384"/>
      <c r="CI66" s="384"/>
      <c r="CJ66" s="384"/>
      <c r="CK66" s="384"/>
      <c r="CL66" s="384"/>
      <c r="CM66" s="384"/>
      <c r="CN66" s="384"/>
      <c r="CO66" s="384"/>
      <c r="CP66" s="384"/>
      <c r="CQ66" s="384"/>
      <c r="CR66" s="384"/>
      <c r="CS66" s="384"/>
      <c r="CT66" s="384"/>
      <c r="CU66" s="384"/>
      <c r="CV66" s="384"/>
      <c r="CW66" s="384"/>
      <c r="CX66" s="384"/>
      <c r="CY66" s="384"/>
      <c r="CZ66" s="384"/>
      <c r="DA66" s="384"/>
      <c r="DB66" s="384"/>
      <c r="DC66" s="385"/>
    </row>
    <row r="67" spans="1:107">
      <c r="A67" s="376"/>
      <c r="B67" s="386" t="s">
        <v>173</v>
      </c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54"/>
      <c r="Q67" s="354"/>
      <c r="R67" s="354"/>
      <c r="S67" s="354"/>
      <c r="T67" s="359"/>
      <c r="U67" s="353"/>
      <c r="V67" s="353"/>
      <c r="W67" s="353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49"/>
      <c r="AM67" s="349"/>
      <c r="AN67" s="349"/>
      <c r="AO67" s="349"/>
      <c r="AP67" s="354"/>
      <c r="AQ67" s="352"/>
      <c r="AR67" s="355"/>
      <c r="AS67" s="356"/>
      <c r="AT67" s="356"/>
      <c r="AU67" s="387"/>
      <c r="AV67" s="357"/>
      <c r="AW67" s="353"/>
      <c r="AX67" s="349"/>
      <c r="AY67" s="352"/>
      <c r="AZ67" s="372"/>
      <c r="BA67" s="373"/>
      <c r="BB67" s="373"/>
      <c r="BC67" s="373"/>
      <c r="BD67" s="373"/>
      <c r="BE67" s="373"/>
      <c r="BF67" s="373"/>
      <c r="BG67" s="373"/>
      <c r="BH67" s="373"/>
      <c r="BI67" s="373"/>
      <c r="BJ67" s="373"/>
      <c r="BK67" s="373"/>
      <c r="BL67" s="373"/>
      <c r="BM67" s="373"/>
      <c r="BN67" s="373"/>
      <c r="BO67" s="373"/>
      <c r="BP67" s="373"/>
      <c r="BQ67" s="373"/>
      <c r="BR67" s="373"/>
      <c r="BS67" s="373"/>
      <c r="BT67" s="373"/>
      <c r="BU67" s="373"/>
      <c r="BV67" s="373"/>
      <c r="BW67" s="373"/>
      <c r="BX67" s="373"/>
      <c r="BY67" s="373"/>
      <c r="BZ67" s="373"/>
      <c r="CA67" s="373"/>
      <c r="CB67" s="373"/>
      <c r="CC67" s="374"/>
      <c r="CD67" s="374"/>
      <c r="CE67" s="374"/>
      <c r="CF67" s="374"/>
      <c r="CG67" s="374"/>
      <c r="CH67" s="374"/>
      <c r="CI67" s="374"/>
      <c r="CJ67" s="374"/>
      <c r="CK67" s="374"/>
      <c r="CL67" s="374"/>
      <c r="CM67" s="374"/>
      <c r="CN67" s="374"/>
      <c r="CO67" s="374"/>
      <c r="CP67" s="374"/>
      <c r="CQ67" s="374"/>
      <c r="CR67" s="374"/>
      <c r="CS67" s="374"/>
      <c r="CT67" s="374"/>
      <c r="CU67" s="374"/>
      <c r="CV67" s="374"/>
      <c r="CW67" s="374"/>
      <c r="CX67" s="374"/>
      <c r="CY67" s="374"/>
      <c r="CZ67" s="374"/>
      <c r="DA67" s="374"/>
      <c r="DB67" s="374"/>
      <c r="DC67" s="375"/>
    </row>
    <row r="68" spans="1:107" s="60" customFormat="1">
      <c r="A68" s="388"/>
      <c r="B68" s="358"/>
      <c r="C68" s="34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54"/>
      <c r="Q68" s="354"/>
      <c r="R68" s="354"/>
      <c r="S68" s="354"/>
      <c r="T68" s="352"/>
      <c r="U68" s="353"/>
      <c r="V68" s="353"/>
      <c r="W68" s="353"/>
      <c r="X68" s="349"/>
      <c r="Y68" s="349"/>
      <c r="Z68" s="349"/>
      <c r="AA68" s="349"/>
      <c r="AB68" s="349"/>
      <c r="AC68" s="349"/>
      <c r="AD68" s="349"/>
      <c r="AE68" s="349"/>
      <c r="AF68" s="349"/>
      <c r="AG68" s="349"/>
      <c r="AH68" s="349"/>
      <c r="AI68" s="349"/>
      <c r="AJ68" s="349"/>
      <c r="AK68" s="349"/>
      <c r="AL68" s="349"/>
      <c r="AM68" s="349"/>
      <c r="AN68" s="349"/>
      <c r="AO68" s="349"/>
      <c r="AP68" s="354"/>
      <c r="AQ68" s="352"/>
      <c r="AR68" s="389"/>
      <c r="AS68" s="362"/>
      <c r="AT68" s="362"/>
      <c r="AU68" s="390"/>
      <c r="AV68" s="391"/>
      <c r="AW68" s="353"/>
      <c r="AX68" s="349"/>
      <c r="AY68" s="352"/>
      <c r="AZ68" s="363"/>
      <c r="BA68" s="361"/>
      <c r="BB68" s="361"/>
      <c r="BC68" s="361"/>
      <c r="BD68" s="361"/>
      <c r="BE68" s="361"/>
      <c r="BF68" s="361"/>
      <c r="BG68" s="361"/>
      <c r="BH68" s="361"/>
      <c r="BI68" s="361"/>
      <c r="BJ68" s="361"/>
      <c r="BK68" s="361"/>
      <c r="BL68" s="361"/>
      <c r="BM68" s="361"/>
      <c r="BN68" s="361"/>
      <c r="BO68" s="361"/>
      <c r="BP68" s="361"/>
      <c r="BQ68" s="361"/>
      <c r="BR68" s="361"/>
      <c r="BS68" s="361"/>
      <c r="BT68" s="361"/>
      <c r="BU68" s="361"/>
      <c r="BV68" s="361"/>
      <c r="BW68" s="361"/>
      <c r="BX68" s="361"/>
      <c r="BY68" s="361"/>
      <c r="BZ68" s="361"/>
      <c r="CA68" s="361"/>
      <c r="CB68" s="361"/>
      <c r="CC68" s="392"/>
      <c r="CD68" s="392"/>
      <c r="CE68" s="392"/>
      <c r="CF68" s="392"/>
      <c r="CG68" s="392"/>
      <c r="CH68" s="392"/>
      <c r="CI68" s="392"/>
      <c r="CJ68" s="392"/>
      <c r="CK68" s="392"/>
      <c r="CL68" s="392"/>
      <c r="CM68" s="392"/>
      <c r="CN68" s="392"/>
      <c r="CO68" s="392"/>
      <c r="CP68" s="392"/>
      <c r="CQ68" s="392"/>
      <c r="CR68" s="392"/>
      <c r="CS68" s="392"/>
      <c r="CT68" s="392"/>
      <c r="CU68" s="392"/>
      <c r="CV68" s="392"/>
      <c r="CW68" s="392"/>
      <c r="CX68" s="392"/>
      <c r="CY68" s="392"/>
      <c r="CZ68" s="392"/>
      <c r="DA68" s="392"/>
      <c r="DB68" s="392"/>
      <c r="DC68" s="393"/>
    </row>
    <row r="69" spans="1:107">
      <c r="A69" s="347"/>
      <c r="B69" s="360" t="s">
        <v>463</v>
      </c>
      <c r="C69" s="349"/>
      <c r="D69" s="367">
        <f>ROUNDUP(471.28+73.44,0)</f>
        <v>545</v>
      </c>
      <c r="E69" s="350"/>
      <c r="F69" s="367"/>
      <c r="G69" s="350"/>
      <c r="H69" s="350"/>
      <c r="I69" s="350"/>
      <c r="J69" s="361"/>
      <c r="K69" s="350"/>
      <c r="L69" s="350"/>
      <c r="M69" s="350"/>
      <c r="N69" s="350"/>
      <c r="O69" s="350"/>
      <c r="P69" s="351"/>
      <c r="Q69" s="351"/>
      <c r="R69" s="351"/>
      <c r="S69" s="351"/>
      <c r="T69" s="352"/>
      <c r="U69" s="353"/>
      <c r="V69" s="353"/>
      <c r="W69" s="353"/>
      <c r="X69" s="349"/>
      <c r="Y69" s="349"/>
      <c r="Z69" s="349"/>
      <c r="AA69" s="349">
        <f>ROUNDUP(((69.4+5.5+4.92+1.9+2.5+2+1.5+54+3.3+10.75+1.4+2.1+1.4+5.05+2.5+12.3+8.8+6.4+7.2)*2.9)-((BG7*2)+BJ7+(BK7*2)+BM7+(BN7*16)+CA7+CB7),0)</f>
        <v>522</v>
      </c>
      <c r="AB69" s="349"/>
      <c r="AC69" s="349"/>
      <c r="AD69" s="349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354"/>
      <c r="AQ69" s="352"/>
      <c r="AR69" s="389">
        <f>D69</f>
        <v>545</v>
      </c>
      <c r="AS69" s="356"/>
      <c r="AT69" s="362"/>
      <c r="AU69" s="356"/>
      <c r="AV69" s="357"/>
      <c r="AW69" s="355">
        <f t="shared" ref="AW69:AW84" si="16">AA69</f>
        <v>522</v>
      </c>
      <c r="AX69" s="356"/>
      <c r="AY69" s="369">
        <f t="shared" ref="AY69:AY84" si="17">AR69</f>
        <v>545</v>
      </c>
      <c r="AZ69" s="363">
        <v>1</v>
      </c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  <c r="BS69" s="350"/>
      <c r="BT69" s="350"/>
      <c r="BU69" s="350"/>
      <c r="BV69" s="350"/>
      <c r="BW69" s="350"/>
      <c r="BX69" s="350"/>
      <c r="BY69" s="350"/>
      <c r="BZ69" s="350"/>
      <c r="CA69" s="350"/>
      <c r="CB69" s="361">
        <v>1</v>
      </c>
      <c r="CC69" s="392"/>
      <c r="CD69" s="351"/>
      <c r="CE69" s="351"/>
      <c r="CF69" s="351"/>
      <c r="CG69" s="351"/>
      <c r="CH69" s="351"/>
      <c r="CI69" s="351"/>
      <c r="CJ69" s="351"/>
      <c r="CK69" s="351"/>
      <c r="CL69" s="351"/>
      <c r="CM69" s="351"/>
      <c r="CN69" s="351"/>
      <c r="CO69" s="351"/>
      <c r="CP69" s="351"/>
      <c r="CQ69" s="351"/>
      <c r="CR69" s="351"/>
      <c r="CS69" s="351"/>
      <c r="CT69" s="351"/>
      <c r="CU69" s="351"/>
      <c r="CV69" s="351"/>
      <c r="CW69" s="351"/>
      <c r="CX69" s="351"/>
      <c r="CY69" s="351"/>
      <c r="CZ69" s="351"/>
      <c r="DA69" s="351"/>
      <c r="DB69" s="351"/>
      <c r="DC69" s="359"/>
    </row>
    <row r="70" spans="1:107">
      <c r="A70" s="347"/>
      <c r="B70" s="366" t="s">
        <v>485</v>
      </c>
      <c r="C70" s="367">
        <f>ROUNDUP(72.22,0)</f>
        <v>73</v>
      </c>
      <c r="D70" s="350"/>
      <c r="E70" s="350"/>
      <c r="F70" s="367"/>
      <c r="G70" s="367"/>
      <c r="H70" s="350"/>
      <c r="I70" s="350"/>
      <c r="J70" s="361"/>
      <c r="K70" s="350"/>
      <c r="L70" s="350"/>
      <c r="M70" s="350"/>
      <c r="N70" s="350"/>
      <c r="O70" s="350"/>
      <c r="P70" s="351"/>
      <c r="Q70" s="351"/>
      <c r="R70" s="351"/>
      <c r="S70" s="351"/>
      <c r="T70" s="352"/>
      <c r="U70" s="353">
        <f>ROUNDUP((34*2.9)-(BM7+CA7+CB7),0)</f>
        <v>92</v>
      </c>
      <c r="V70" s="353"/>
      <c r="W70" s="353"/>
      <c r="X70" s="349"/>
      <c r="Y70" s="349"/>
      <c r="Z70" s="349"/>
      <c r="AA70" s="349">
        <f>U70</f>
        <v>92</v>
      </c>
      <c r="AB70" s="349"/>
      <c r="AC70" s="349"/>
      <c r="AD70" s="349"/>
      <c r="AE70" s="349"/>
      <c r="AF70" s="349"/>
      <c r="AG70" s="349"/>
      <c r="AH70" s="349"/>
      <c r="AI70" s="349"/>
      <c r="AJ70" s="349"/>
      <c r="AK70" s="349"/>
      <c r="AL70" s="349"/>
      <c r="AM70" s="349"/>
      <c r="AN70" s="349">
        <f>ROUNDUP(BM9+CA9+CB9,0)</f>
        <v>9</v>
      </c>
      <c r="AO70" s="349"/>
      <c r="AP70" s="354"/>
      <c r="AQ70" s="352">
        <f>ROUNDUP(BM8+CA8+CB8,0)</f>
        <v>15</v>
      </c>
      <c r="AR70" s="389">
        <f>C70</f>
        <v>73</v>
      </c>
      <c r="AS70" s="356"/>
      <c r="AT70" s="362"/>
      <c r="AU70" s="356"/>
      <c r="AV70" s="357"/>
      <c r="AW70" s="355">
        <f t="shared" si="16"/>
        <v>92</v>
      </c>
      <c r="AX70" s="356"/>
      <c r="AY70" s="369">
        <f t="shared" si="17"/>
        <v>73</v>
      </c>
      <c r="AZ70" s="363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61">
        <v>1</v>
      </c>
      <c r="BN70" s="350"/>
      <c r="BO70" s="350"/>
      <c r="BP70" s="350"/>
      <c r="BQ70" s="350"/>
      <c r="BR70" s="350"/>
      <c r="BS70" s="350"/>
      <c r="BT70" s="350"/>
      <c r="BU70" s="350"/>
      <c r="BV70" s="350"/>
      <c r="BW70" s="350"/>
      <c r="BX70" s="350"/>
      <c r="BY70" s="350"/>
      <c r="BZ70" s="350"/>
      <c r="CA70" s="350"/>
      <c r="CB70" s="361">
        <v>1</v>
      </c>
      <c r="CC70" s="392"/>
      <c r="CD70" s="351"/>
      <c r="CE70" s="351"/>
      <c r="CF70" s="351"/>
      <c r="CG70" s="351"/>
      <c r="CH70" s="351"/>
      <c r="CI70" s="351"/>
      <c r="CJ70" s="351"/>
      <c r="CK70" s="351"/>
      <c r="CL70" s="351"/>
      <c r="CM70" s="351"/>
      <c r="CN70" s="351"/>
      <c r="CO70" s="351"/>
      <c r="CP70" s="351"/>
      <c r="CQ70" s="351"/>
      <c r="CR70" s="351"/>
      <c r="CS70" s="351"/>
      <c r="CT70" s="351"/>
      <c r="CU70" s="351"/>
      <c r="CV70" s="351"/>
      <c r="CW70" s="351"/>
      <c r="CX70" s="351"/>
      <c r="CY70" s="351"/>
      <c r="CZ70" s="351"/>
      <c r="DA70" s="351"/>
      <c r="DB70" s="351"/>
      <c r="DC70" s="359"/>
    </row>
    <row r="71" spans="1:107">
      <c r="A71" s="347"/>
      <c r="B71" s="366" t="s">
        <v>488</v>
      </c>
      <c r="C71" s="367">
        <f>ROUNDUP(29.68,0)</f>
        <v>30</v>
      </c>
      <c r="D71" s="350"/>
      <c r="E71" s="350"/>
      <c r="F71" s="367"/>
      <c r="G71" s="367"/>
      <c r="H71" s="350"/>
      <c r="I71" s="350"/>
      <c r="J71" s="361"/>
      <c r="K71" s="350"/>
      <c r="L71" s="350"/>
      <c r="M71" s="350"/>
      <c r="N71" s="350"/>
      <c r="O71" s="350"/>
      <c r="P71" s="351"/>
      <c r="Q71" s="351"/>
      <c r="R71" s="351"/>
      <c r="S71" s="351"/>
      <c r="T71" s="352"/>
      <c r="U71" s="353">
        <f>ROUNDUP((21.83*4.7)-(BG7+CA7),0)</f>
        <v>97</v>
      </c>
      <c r="V71" s="353"/>
      <c r="W71" s="353"/>
      <c r="X71" s="349"/>
      <c r="Y71" s="349"/>
      <c r="Z71" s="349">
        <f>ROUNDUP(((6+3.3)*4.7)-BW7,0)</f>
        <v>36</v>
      </c>
      <c r="AA71" s="349">
        <f>U71</f>
        <v>97</v>
      </c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>
        <f>ROUNDUP(BG9+BW9,0)</f>
        <v>8</v>
      </c>
      <c r="AO71" s="349"/>
      <c r="AP71" s="354"/>
      <c r="AQ71" s="352">
        <f>ROUNDUP(BG8+BW8,0)</f>
        <v>13</v>
      </c>
      <c r="AR71" s="389">
        <f>C71</f>
        <v>30</v>
      </c>
      <c r="AS71" s="356"/>
      <c r="AT71" s="362"/>
      <c r="AU71" s="356"/>
      <c r="AV71" s="357"/>
      <c r="AW71" s="355">
        <f t="shared" si="16"/>
        <v>97</v>
      </c>
      <c r="AX71" s="356"/>
      <c r="AY71" s="369">
        <f t="shared" si="17"/>
        <v>30</v>
      </c>
      <c r="AZ71" s="363"/>
      <c r="BA71" s="350"/>
      <c r="BB71" s="350"/>
      <c r="BC71" s="350"/>
      <c r="BD71" s="350"/>
      <c r="BE71" s="350"/>
      <c r="BF71" s="350"/>
      <c r="BG71" s="361">
        <v>1</v>
      </c>
      <c r="BH71" s="350"/>
      <c r="BI71" s="350"/>
      <c r="BJ71" s="350"/>
      <c r="BK71" s="350"/>
      <c r="BL71" s="350"/>
      <c r="BM71" s="361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350"/>
      <c r="BZ71" s="350"/>
      <c r="CA71" s="361">
        <v>1</v>
      </c>
      <c r="CB71" s="361"/>
      <c r="CC71" s="392"/>
      <c r="CD71" s="351"/>
      <c r="CE71" s="351"/>
      <c r="CF71" s="351"/>
      <c r="CG71" s="351"/>
      <c r="CH71" s="351"/>
      <c r="CI71" s="351"/>
      <c r="CJ71" s="351"/>
      <c r="CK71" s="351"/>
      <c r="CL71" s="351"/>
      <c r="CM71" s="351"/>
      <c r="CN71" s="351"/>
      <c r="CO71" s="351"/>
      <c r="CP71" s="351"/>
      <c r="CQ71" s="351"/>
      <c r="CR71" s="351"/>
      <c r="CS71" s="351"/>
      <c r="CT71" s="351"/>
      <c r="CU71" s="351"/>
      <c r="CV71" s="351"/>
      <c r="CW71" s="351"/>
      <c r="CX71" s="351"/>
      <c r="CY71" s="351"/>
      <c r="CZ71" s="351"/>
      <c r="DA71" s="351"/>
      <c r="DB71" s="351"/>
      <c r="DC71" s="359"/>
    </row>
    <row r="72" spans="1:107">
      <c r="A72" s="347"/>
      <c r="B72" s="360" t="s">
        <v>486</v>
      </c>
      <c r="C72" s="367">
        <f>ROUNDUP(25.78,0)</f>
        <v>26</v>
      </c>
      <c r="D72" s="350"/>
      <c r="E72" s="350"/>
      <c r="F72" s="367"/>
      <c r="G72" s="350"/>
      <c r="H72" s="350"/>
      <c r="I72" s="350"/>
      <c r="J72" s="361"/>
      <c r="K72" s="350"/>
      <c r="L72" s="350"/>
      <c r="M72" s="350"/>
      <c r="N72" s="350"/>
      <c r="O72" s="350"/>
      <c r="P72" s="351"/>
      <c r="Q72" s="351"/>
      <c r="R72" s="351"/>
      <c r="S72" s="351"/>
      <c r="T72" s="352"/>
      <c r="U72" s="353">
        <f>ROUNDUP(((5.8*2)*4.7)-BJ7,0)</f>
        <v>53</v>
      </c>
      <c r="V72" s="353">
        <f>ROUNDUP((3.11*2)*4.7,0)</f>
        <v>30</v>
      </c>
      <c r="W72" s="353"/>
      <c r="X72" s="349"/>
      <c r="Y72" s="349"/>
      <c r="Z72" s="349">
        <f>ROUNDUP((11.3*4.7)-(BJ7+CB7),0)</f>
        <v>48</v>
      </c>
      <c r="AA72" s="349">
        <f>ROUNDUP((U72/2)+(V72*2),0)</f>
        <v>87</v>
      </c>
      <c r="AB72" s="349"/>
      <c r="AC72" s="349"/>
      <c r="AD72" s="349"/>
      <c r="AE72" s="349"/>
      <c r="AF72" s="349"/>
      <c r="AG72" s="349"/>
      <c r="AH72" s="349"/>
      <c r="AI72" s="349"/>
      <c r="AJ72" s="349"/>
      <c r="AK72" s="349"/>
      <c r="AL72" s="349"/>
      <c r="AM72" s="349"/>
      <c r="AN72" s="349">
        <f>ROUNDUP((3*4.7)+BJ9,0)</f>
        <v>19</v>
      </c>
      <c r="AO72" s="349"/>
      <c r="AP72" s="354"/>
      <c r="AQ72" s="352">
        <f>BJ8</f>
        <v>1.1000000000000001</v>
      </c>
      <c r="AR72" s="389">
        <f>C72</f>
        <v>26</v>
      </c>
      <c r="AS72" s="356"/>
      <c r="AT72" s="362"/>
      <c r="AU72" s="356"/>
      <c r="AV72" s="357"/>
      <c r="AW72" s="355">
        <f t="shared" si="16"/>
        <v>87</v>
      </c>
      <c r="AX72" s="356">
        <f>Z72</f>
        <v>48</v>
      </c>
      <c r="AY72" s="369">
        <f t="shared" si="17"/>
        <v>26</v>
      </c>
      <c r="AZ72" s="363"/>
      <c r="BA72" s="350"/>
      <c r="BB72" s="350"/>
      <c r="BC72" s="350"/>
      <c r="BD72" s="350"/>
      <c r="BE72" s="350"/>
      <c r="BF72" s="350"/>
      <c r="BG72" s="350"/>
      <c r="BH72" s="350"/>
      <c r="BI72" s="350"/>
      <c r="BJ72" s="361">
        <v>1</v>
      </c>
      <c r="BK72" s="350"/>
      <c r="BL72" s="350"/>
      <c r="BM72" s="350"/>
      <c r="BN72" s="350"/>
      <c r="BO72" s="350"/>
      <c r="BP72" s="350"/>
      <c r="BQ72" s="350"/>
      <c r="BR72" s="350"/>
      <c r="BS72" s="350"/>
      <c r="BT72" s="350"/>
      <c r="BU72" s="350"/>
      <c r="BV72" s="350"/>
      <c r="BW72" s="350"/>
      <c r="BX72" s="350"/>
      <c r="BY72" s="350"/>
      <c r="BZ72" s="350"/>
      <c r="CA72" s="350"/>
      <c r="CB72" s="350"/>
      <c r="CC72" s="351"/>
      <c r="CD72" s="351"/>
      <c r="CE72" s="351"/>
      <c r="CF72" s="351"/>
      <c r="CG72" s="351"/>
      <c r="CH72" s="351"/>
      <c r="CI72" s="351"/>
      <c r="CJ72" s="351"/>
      <c r="CK72" s="351"/>
      <c r="CL72" s="351"/>
      <c r="CM72" s="351"/>
      <c r="CN72" s="351"/>
      <c r="CO72" s="351"/>
      <c r="CP72" s="351"/>
      <c r="CQ72" s="351"/>
      <c r="CR72" s="351"/>
      <c r="CS72" s="351"/>
      <c r="CT72" s="351"/>
      <c r="CU72" s="351"/>
      <c r="CV72" s="351"/>
      <c r="CW72" s="351"/>
      <c r="CX72" s="351"/>
      <c r="CY72" s="351"/>
      <c r="CZ72" s="351"/>
      <c r="DA72" s="351"/>
      <c r="DB72" s="351"/>
      <c r="DC72" s="359"/>
    </row>
    <row r="73" spans="1:107" s="59" customFormat="1">
      <c r="A73" s="365"/>
      <c r="B73" s="366" t="s">
        <v>470</v>
      </c>
      <c r="C73" s="349"/>
      <c r="D73" s="367">
        <f>ROUNDUP(85.49,0)</f>
        <v>86</v>
      </c>
      <c r="E73" s="367"/>
      <c r="F73" s="349"/>
      <c r="G73" s="349"/>
      <c r="H73" s="349"/>
      <c r="I73" s="349"/>
      <c r="J73" s="349"/>
      <c r="K73" s="349"/>
      <c r="L73" s="349"/>
      <c r="M73" s="349"/>
      <c r="N73" s="349"/>
      <c r="O73" s="349"/>
      <c r="P73" s="354"/>
      <c r="Q73" s="354"/>
      <c r="R73" s="354"/>
      <c r="S73" s="354"/>
      <c r="T73" s="352"/>
      <c r="U73" s="353">
        <f>ROUNDUP(((38.31+(0.7*5))*2.9)-((BN7*2)+(BW7*2)),0)</f>
        <v>99</v>
      </c>
      <c r="V73" s="353"/>
      <c r="W73" s="353"/>
      <c r="X73" s="349"/>
      <c r="Y73" s="349"/>
      <c r="Z73" s="349"/>
      <c r="AA73" s="349">
        <f>ROUNDUP((41.71*2.9)-((BN7*2)+(BW7*2)),0)</f>
        <v>99</v>
      </c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49"/>
      <c r="AM73" s="349"/>
      <c r="AN73" s="349">
        <f>ROUNDUP((6*2.9)+((BN9*2)+(BW9*2)),0)</f>
        <v>34</v>
      </c>
      <c r="AO73" s="349"/>
      <c r="AP73" s="354"/>
      <c r="AQ73" s="352">
        <f>ROUNDUP((BN8*2)+(BW8*2),0)</f>
        <v>23</v>
      </c>
      <c r="AR73" s="366">
        <f>D73</f>
        <v>86</v>
      </c>
      <c r="AS73" s="349"/>
      <c r="AT73" s="349"/>
      <c r="AU73" s="349"/>
      <c r="AV73" s="352"/>
      <c r="AW73" s="355">
        <f t="shared" si="16"/>
        <v>99</v>
      </c>
      <c r="AX73" s="349"/>
      <c r="AY73" s="369">
        <f t="shared" si="17"/>
        <v>86</v>
      </c>
      <c r="AZ73" s="353"/>
      <c r="BA73" s="349"/>
      <c r="BB73" s="349"/>
      <c r="BC73" s="349"/>
      <c r="BD73" s="349"/>
      <c r="BE73" s="349"/>
      <c r="BF73" s="349"/>
      <c r="BG73" s="349"/>
      <c r="BH73" s="349"/>
      <c r="BI73" s="349"/>
      <c r="BJ73" s="349"/>
      <c r="BK73" s="349"/>
      <c r="BL73" s="349"/>
      <c r="BM73" s="349"/>
      <c r="BN73" s="367">
        <v>2</v>
      </c>
      <c r="BO73" s="367"/>
      <c r="BP73" s="367"/>
      <c r="BQ73" s="349"/>
      <c r="BR73" s="349"/>
      <c r="BS73" s="349"/>
      <c r="BT73" s="349"/>
      <c r="BU73" s="349"/>
      <c r="BV73" s="349"/>
      <c r="BW73" s="367">
        <v>2</v>
      </c>
      <c r="BX73" s="367"/>
      <c r="BY73" s="349"/>
      <c r="BZ73" s="349"/>
      <c r="CA73" s="349"/>
      <c r="CB73" s="349"/>
      <c r="CC73" s="354"/>
      <c r="CD73" s="354"/>
      <c r="CE73" s="354"/>
      <c r="CF73" s="354"/>
      <c r="CG73" s="354"/>
      <c r="CH73" s="354"/>
      <c r="CI73" s="354"/>
      <c r="CJ73" s="354"/>
      <c r="CK73" s="354"/>
      <c r="CL73" s="354"/>
      <c r="CM73" s="354"/>
      <c r="CN73" s="354"/>
      <c r="CO73" s="354"/>
      <c r="CP73" s="354"/>
      <c r="CQ73" s="354"/>
      <c r="CR73" s="354"/>
      <c r="CS73" s="354"/>
      <c r="CT73" s="354"/>
      <c r="CU73" s="354"/>
      <c r="CV73" s="354"/>
      <c r="CW73" s="354"/>
      <c r="CX73" s="354"/>
      <c r="CY73" s="354"/>
      <c r="CZ73" s="354"/>
      <c r="DA73" s="354"/>
      <c r="DB73" s="354"/>
      <c r="DC73" s="352"/>
    </row>
    <row r="74" spans="1:107" s="59" customFormat="1">
      <c r="A74" s="365"/>
      <c r="B74" s="366" t="s">
        <v>471</v>
      </c>
      <c r="C74" s="349"/>
      <c r="D74" s="367">
        <f>ROUNDUP(84.33,0)</f>
        <v>85</v>
      </c>
      <c r="E74" s="367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54"/>
      <c r="Q74" s="354"/>
      <c r="R74" s="354"/>
      <c r="S74" s="354"/>
      <c r="T74" s="352"/>
      <c r="U74" s="353">
        <f>ROUNDUP(((38.31+(0.7*5))*2.9)-((BN7*2)+(BW7*2)),0)</f>
        <v>99</v>
      </c>
      <c r="V74" s="353"/>
      <c r="W74" s="353"/>
      <c r="X74" s="349"/>
      <c r="Y74" s="349"/>
      <c r="Z74" s="349"/>
      <c r="AA74" s="349">
        <f>ROUNDUP((41.71*2.9)-((BN7*2)+(BW7*2)),0)</f>
        <v>99</v>
      </c>
      <c r="AB74" s="349"/>
      <c r="AC74" s="349"/>
      <c r="AD74" s="349"/>
      <c r="AE74" s="349"/>
      <c r="AF74" s="349"/>
      <c r="AG74" s="349"/>
      <c r="AH74" s="349"/>
      <c r="AI74" s="349"/>
      <c r="AJ74" s="349"/>
      <c r="AK74" s="349"/>
      <c r="AL74" s="349"/>
      <c r="AM74" s="349"/>
      <c r="AN74" s="349">
        <f>ROUNDUP((6*2.9)+((BN9*2)+(BW9*2)),0)</f>
        <v>34</v>
      </c>
      <c r="AO74" s="349"/>
      <c r="AP74" s="354"/>
      <c r="AQ74" s="352">
        <f>ROUNDUP((BN8*2)+(BW8*2),0)</f>
        <v>23</v>
      </c>
      <c r="AR74" s="366">
        <f t="shared" ref="AR74:AR82" si="18">D74</f>
        <v>85</v>
      </c>
      <c r="AS74" s="349"/>
      <c r="AT74" s="349"/>
      <c r="AU74" s="349"/>
      <c r="AV74" s="352"/>
      <c r="AW74" s="355">
        <f t="shared" si="16"/>
        <v>99</v>
      </c>
      <c r="AX74" s="349"/>
      <c r="AY74" s="369">
        <f t="shared" si="17"/>
        <v>85</v>
      </c>
      <c r="AZ74" s="353"/>
      <c r="BA74" s="367">
        <v>2</v>
      </c>
      <c r="BB74" s="367"/>
      <c r="BC74" s="367">
        <v>1</v>
      </c>
      <c r="BD74" s="349"/>
      <c r="BE74" s="349"/>
      <c r="BF74" s="349"/>
      <c r="BG74" s="349"/>
      <c r="BH74" s="349"/>
      <c r="BI74" s="349"/>
      <c r="BJ74" s="349"/>
      <c r="BK74" s="349"/>
      <c r="BL74" s="349"/>
      <c r="BM74" s="349"/>
      <c r="BN74" s="367">
        <v>2</v>
      </c>
      <c r="BO74" s="349"/>
      <c r="BP74" s="349"/>
      <c r="BQ74" s="349"/>
      <c r="BR74" s="349"/>
      <c r="BS74" s="349"/>
      <c r="BT74" s="349"/>
      <c r="BU74" s="349"/>
      <c r="BV74" s="349"/>
      <c r="BW74" s="367">
        <v>2</v>
      </c>
      <c r="BX74" s="367"/>
      <c r="BY74" s="367"/>
      <c r="BZ74" s="349"/>
      <c r="CA74" s="349"/>
      <c r="CB74" s="349"/>
      <c r="CC74" s="354"/>
      <c r="CD74" s="354"/>
      <c r="CE74" s="354"/>
      <c r="CF74" s="354"/>
      <c r="CG74" s="354"/>
      <c r="CH74" s="354"/>
      <c r="CI74" s="354"/>
      <c r="CJ74" s="354"/>
      <c r="CK74" s="354"/>
      <c r="CL74" s="354"/>
      <c r="CM74" s="354"/>
      <c r="CN74" s="354"/>
      <c r="CO74" s="354"/>
      <c r="CP74" s="354"/>
      <c r="CQ74" s="354"/>
      <c r="CR74" s="354"/>
      <c r="CS74" s="354"/>
      <c r="CT74" s="354"/>
      <c r="CU74" s="354"/>
      <c r="CV74" s="354"/>
      <c r="CW74" s="354"/>
      <c r="CX74" s="354"/>
      <c r="CY74" s="354"/>
      <c r="CZ74" s="354"/>
      <c r="DA74" s="354"/>
      <c r="DB74" s="354"/>
      <c r="DC74" s="352"/>
    </row>
    <row r="75" spans="1:107" s="59" customFormat="1">
      <c r="A75" s="365"/>
      <c r="B75" s="366" t="s">
        <v>472</v>
      </c>
      <c r="C75" s="349"/>
      <c r="D75" s="367">
        <f>ROUNDUP(79.68,0)</f>
        <v>80</v>
      </c>
      <c r="E75" s="367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54"/>
      <c r="Q75" s="354"/>
      <c r="R75" s="354"/>
      <c r="S75" s="354"/>
      <c r="T75" s="352"/>
      <c r="U75" s="353">
        <f>ROUNDUP(((11.6+5.66+0.6+5.62+0.6+5.95+(0.7*3)+1.42)*2.9)-((BN7*2)+(BW7*2)),0)</f>
        <v>75</v>
      </c>
      <c r="V75" s="353"/>
      <c r="W75" s="353"/>
      <c r="X75" s="349"/>
      <c r="Y75" s="349"/>
      <c r="Z75" s="349">
        <f>ROUNDUP(((0.3+1.5+5.6+1.5+0.3+2.22+6)*3.8)-(BW7*2),0)</f>
        <v>50</v>
      </c>
      <c r="AA75" s="349">
        <f>ROUNDUP(((15+5.7+0.8+5.6+0.8+6+0.25+0.1+5.42+0.15)*2.9)-((BN7*2)+(BW7*2)),0)</f>
        <v>94</v>
      </c>
      <c r="AB75" s="349"/>
      <c r="AC75" s="349"/>
      <c r="AD75" s="349"/>
      <c r="AE75" s="349"/>
      <c r="AF75" s="349"/>
      <c r="AG75" s="349"/>
      <c r="AH75" s="349"/>
      <c r="AI75" s="349"/>
      <c r="AJ75" s="349"/>
      <c r="AK75" s="349"/>
      <c r="AL75" s="349"/>
      <c r="AM75" s="349"/>
      <c r="AN75" s="349">
        <f>ROUNDUP((5*3.8)+(BN7*2)+(BW7*2),0)</f>
        <v>42</v>
      </c>
      <c r="AO75" s="349"/>
      <c r="AP75" s="354"/>
      <c r="AQ75" s="352">
        <f>ROUNDUP((BN8*2)+(BW8*2),0)</f>
        <v>23</v>
      </c>
      <c r="AR75" s="366">
        <f t="shared" si="18"/>
        <v>80</v>
      </c>
      <c r="AS75" s="349"/>
      <c r="AT75" s="349"/>
      <c r="AU75" s="349"/>
      <c r="AV75" s="352"/>
      <c r="AW75" s="355">
        <f t="shared" si="16"/>
        <v>94</v>
      </c>
      <c r="AX75" s="349">
        <f t="shared" ref="AX75:AX84" si="19">Z75</f>
        <v>50</v>
      </c>
      <c r="AY75" s="369">
        <f t="shared" si="17"/>
        <v>80</v>
      </c>
      <c r="AZ75" s="353"/>
      <c r="BA75" s="349"/>
      <c r="BB75" s="367">
        <v>1</v>
      </c>
      <c r="BC75" s="349"/>
      <c r="BD75" s="349"/>
      <c r="BE75" s="349"/>
      <c r="BF75" s="349"/>
      <c r="BG75" s="349"/>
      <c r="BH75" s="349"/>
      <c r="BI75" s="349"/>
      <c r="BJ75" s="349"/>
      <c r="BK75" s="349"/>
      <c r="BL75" s="349"/>
      <c r="BM75" s="349"/>
      <c r="BN75" s="367">
        <v>2</v>
      </c>
      <c r="BO75" s="349"/>
      <c r="BP75" s="349"/>
      <c r="BQ75" s="349"/>
      <c r="BR75" s="349"/>
      <c r="BS75" s="349"/>
      <c r="BT75" s="349"/>
      <c r="BU75" s="349"/>
      <c r="BV75" s="349"/>
      <c r="BW75" s="367">
        <v>2</v>
      </c>
      <c r="BX75" s="367"/>
      <c r="BY75" s="367"/>
      <c r="BZ75" s="349"/>
      <c r="CA75" s="349"/>
      <c r="CB75" s="349"/>
      <c r="CC75" s="354"/>
      <c r="CD75" s="354"/>
      <c r="CE75" s="354"/>
      <c r="CF75" s="354"/>
      <c r="CG75" s="354"/>
      <c r="CH75" s="354"/>
      <c r="CI75" s="354"/>
      <c r="CJ75" s="354"/>
      <c r="CK75" s="354"/>
      <c r="CL75" s="354"/>
      <c r="CM75" s="354"/>
      <c r="CN75" s="354"/>
      <c r="CO75" s="354"/>
      <c r="CP75" s="354"/>
      <c r="CQ75" s="354"/>
      <c r="CR75" s="354"/>
      <c r="CS75" s="354"/>
      <c r="CT75" s="354"/>
      <c r="CU75" s="354"/>
      <c r="CV75" s="354"/>
      <c r="CW75" s="354"/>
      <c r="CX75" s="354"/>
      <c r="CY75" s="354"/>
      <c r="CZ75" s="354"/>
      <c r="DA75" s="354"/>
      <c r="DB75" s="354"/>
      <c r="DC75" s="352"/>
    </row>
    <row r="76" spans="1:107" s="59" customFormat="1">
      <c r="A76" s="365"/>
      <c r="B76" s="366" t="s">
        <v>473</v>
      </c>
      <c r="C76" s="349"/>
      <c r="D76" s="367">
        <f>ROUNDUP(75.77,0)</f>
        <v>76</v>
      </c>
      <c r="E76" s="367"/>
      <c r="F76" s="349"/>
      <c r="G76" s="349"/>
      <c r="H76" s="349"/>
      <c r="I76" s="349"/>
      <c r="J76" s="349"/>
      <c r="K76" s="349"/>
      <c r="L76" s="349"/>
      <c r="M76" s="349"/>
      <c r="N76" s="349"/>
      <c r="O76" s="349"/>
      <c r="P76" s="354"/>
      <c r="Q76" s="354"/>
      <c r="R76" s="354"/>
      <c r="S76" s="354"/>
      <c r="T76" s="352"/>
      <c r="U76" s="353">
        <f>ROUNDUP((36.55*2.9)-((BN7*2)+(BW7*2)),0)</f>
        <v>84</v>
      </c>
      <c r="V76" s="353"/>
      <c r="W76" s="353"/>
      <c r="X76" s="349"/>
      <c r="Y76" s="349"/>
      <c r="Z76" s="349">
        <f>ROUNDUP((12*3.8)-(BW7*2),0)</f>
        <v>29</v>
      </c>
      <c r="AA76" s="349">
        <f>U76</f>
        <v>84</v>
      </c>
      <c r="AB76" s="349"/>
      <c r="AC76" s="349"/>
      <c r="AD76" s="349"/>
      <c r="AE76" s="349"/>
      <c r="AF76" s="349"/>
      <c r="AG76" s="349"/>
      <c r="AH76" s="349"/>
      <c r="AI76" s="349"/>
      <c r="AJ76" s="349"/>
      <c r="AK76" s="349"/>
      <c r="AL76" s="349"/>
      <c r="AM76" s="349"/>
      <c r="AN76" s="349">
        <f>ROUNDUP(BN9+BW9,0)</f>
        <v>9</v>
      </c>
      <c r="AO76" s="349"/>
      <c r="AP76" s="354"/>
      <c r="AQ76" s="352">
        <f>ROUNDUP(BN8+BW8,0)</f>
        <v>12</v>
      </c>
      <c r="AR76" s="366">
        <f t="shared" si="18"/>
        <v>76</v>
      </c>
      <c r="AS76" s="349"/>
      <c r="AT76" s="349"/>
      <c r="AU76" s="349"/>
      <c r="AV76" s="352"/>
      <c r="AW76" s="355">
        <f t="shared" si="16"/>
        <v>84</v>
      </c>
      <c r="AX76" s="349">
        <f t="shared" si="19"/>
        <v>29</v>
      </c>
      <c r="AY76" s="369">
        <f t="shared" si="17"/>
        <v>76</v>
      </c>
      <c r="AZ76" s="353"/>
      <c r="BA76" s="367">
        <v>1</v>
      </c>
      <c r="BB76" s="349"/>
      <c r="BC76" s="349"/>
      <c r="BD76" s="349"/>
      <c r="BE76" s="349"/>
      <c r="BF76" s="349"/>
      <c r="BG76" s="349"/>
      <c r="BH76" s="349"/>
      <c r="BI76" s="349"/>
      <c r="BJ76" s="349"/>
      <c r="BK76" s="349"/>
      <c r="BL76" s="349"/>
      <c r="BM76" s="349"/>
      <c r="BN76" s="367">
        <v>2</v>
      </c>
      <c r="BO76" s="349"/>
      <c r="BP76" s="349"/>
      <c r="BQ76" s="349"/>
      <c r="BR76" s="349"/>
      <c r="BS76" s="349"/>
      <c r="BT76" s="349"/>
      <c r="BU76" s="349"/>
      <c r="BV76" s="349"/>
      <c r="BW76" s="367">
        <v>2</v>
      </c>
      <c r="BX76" s="367"/>
      <c r="BY76" s="367"/>
      <c r="BZ76" s="367"/>
      <c r="CA76" s="349"/>
      <c r="CB76" s="349"/>
      <c r="CC76" s="354"/>
      <c r="CD76" s="354"/>
      <c r="CE76" s="354"/>
      <c r="CF76" s="354"/>
      <c r="CG76" s="354"/>
      <c r="CH76" s="354"/>
      <c r="CI76" s="354"/>
      <c r="CJ76" s="354"/>
      <c r="CK76" s="354"/>
      <c r="CL76" s="354"/>
      <c r="CM76" s="354"/>
      <c r="CN76" s="354"/>
      <c r="CO76" s="354"/>
      <c r="CP76" s="354"/>
      <c r="CQ76" s="354"/>
      <c r="CR76" s="354"/>
      <c r="CS76" s="354"/>
      <c r="CT76" s="354"/>
      <c r="CU76" s="354"/>
      <c r="CV76" s="354"/>
      <c r="CW76" s="354"/>
      <c r="CX76" s="354"/>
      <c r="CY76" s="354"/>
      <c r="CZ76" s="354"/>
      <c r="DA76" s="354"/>
      <c r="DB76" s="354"/>
      <c r="DC76" s="352"/>
    </row>
    <row r="77" spans="1:107" s="59" customFormat="1">
      <c r="A77" s="368"/>
      <c r="B77" s="366" t="s">
        <v>474</v>
      </c>
      <c r="C77" s="349"/>
      <c r="D77" s="367">
        <f>ROUNDUP(75.79,0)</f>
        <v>76</v>
      </c>
      <c r="E77" s="367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54"/>
      <c r="Q77" s="354"/>
      <c r="R77" s="354"/>
      <c r="S77" s="354"/>
      <c r="T77" s="352"/>
      <c r="U77" s="353">
        <f>ROUNDUP((36.55*2.9)-((BN7*2)+(BW7*2)),0)</f>
        <v>84</v>
      </c>
      <c r="V77" s="353"/>
      <c r="W77" s="353"/>
      <c r="X77" s="349"/>
      <c r="Y77" s="349"/>
      <c r="Z77" s="349">
        <f>ROUNDUP((12*3.8)-(BW7*2),0)</f>
        <v>29</v>
      </c>
      <c r="AA77" s="349">
        <f>U77</f>
        <v>84</v>
      </c>
      <c r="AB77" s="349"/>
      <c r="AC77" s="349"/>
      <c r="AD77" s="349"/>
      <c r="AE77" s="349"/>
      <c r="AF77" s="349"/>
      <c r="AG77" s="349"/>
      <c r="AH77" s="349"/>
      <c r="AI77" s="349"/>
      <c r="AJ77" s="349"/>
      <c r="AK77" s="349"/>
      <c r="AL77" s="349"/>
      <c r="AM77" s="349"/>
      <c r="AN77" s="349">
        <f>ROUNDUP(BN9+BW9,0)</f>
        <v>9</v>
      </c>
      <c r="AO77" s="349"/>
      <c r="AP77" s="354"/>
      <c r="AQ77" s="352">
        <f>ROUNDUP(BN8+BW8,0)</f>
        <v>12</v>
      </c>
      <c r="AR77" s="366">
        <f t="shared" si="18"/>
        <v>76</v>
      </c>
      <c r="AS77" s="349"/>
      <c r="AT77" s="349"/>
      <c r="AU77" s="349"/>
      <c r="AV77" s="352"/>
      <c r="AW77" s="355">
        <f t="shared" si="16"/>
        <v>84</v>
      </c>
      <c r="AX77" s="349">
        <f t="shared" si="19"/>
        <v>29</v>
      </c>
      <c r="AY77" s="369">
        <f t="shared" si="17"/>
        <v>76</v>
      </c>
      <c r="AZ77" s="353"/>
      <c r="BA77" s="349"/>
      <c r="BB77" s="349"/>
      <c r="BC77" s="349"/>
      <c r="BD77" s="349"/>
      <c r="BE77" s="349"/>
      <c r="BF77" s="349"/>
      <c r="BG77" s="367"/>
      <c r="BH77" s="349"/>
      <c r="BI77" s="349"/>
      <c r="BJ77" s="349"/>
      <c r="BK77" s="349"/>
      <c r="BL77" s="349"/>
      <c r="BM77" s="349"/>
      <c r="BN77" s="367">
        <v>2</v>
      </c>
      <c r="BO77" s="349"/>
      <c r="BP77" s="349"/>
      <c r="BQ77" s="349"/>
      <c r="BR77" s="349"/>
      <c r="BS77" s="349"/>
      <c r="BT77" s="349"/>
      <c r="BU77" s="349"/>
      <c r="BV77" s="349"/>
      <c r="BW77" s="367">
        <v>2</v>
      </c>
      <c r="BX77" s="367"/>
      <c r="BY77" s="349"/>
      <c r="BZ77" s="349"/>
      <c r="CA77" s="349"/>
      <c r="CB77" s="349"/>
      <c r="CC77" s="354"/>
      <c r="CD77" s="354"/>
      <c r="CE77" s="354"/>
      <c r="CF77" s="354"/>
      <c r="CG77" s="354"/>
      <c r="CH77" s="354"/>
      <c r="CI77" s="354"/>
      <c r="CJ77" s="354"/>
      <c r="CK77" s="354"/>
      <c r="CL77" s="354"/>
      <c r="CM77" s="354"/>
      <c r="CN77" s="354"/>
      <c r="CO77" s="354"/>
      <c r="CP77" s="354"/>
      <c r="CQ77" s="354"/>
      <c r="CR77" s="354"/>
      <c r="CS77" s="354"/>
      <c r="CT77" s="354"/>
      <c r="CU77" s="354"/>
      <c r="CV77" s="354"/>
      <c r="CW77" s="354"/>
      <c r="CX77" s="354"/>
      <c r="CY77" s="354"/>
      <c r="CZ77" s="354"/>
      <c r="DA77" s="354"/>
      <c r="DB77" s="354"/>
      <c r="DC77" s="352"/>
    </row>
    <row r="78" spans="1:107" s="59" customFormat="1">
      <c r="A78" s="365"/>
      <c r="B78" s="366" t="s">
        <v>475</v>
      </c>
      <c r="C78" s="349"/>
      <c r="D78" s="367">
        <f>ROUNDUP(51.26,0)</f>
        <v>52</v>
      </c>
      <c r="E78" s="367"/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54"/>
      <c r="Q78" s="354"/>
      <c r="R78" s="354"/>
      <c r="S78" s="354"/>
      <c r="T78" s="352"/>
      <c r="U78" s="353">
        <f>ROUNDUP(((21.19+5.95+0.3+0.72)*2.9)-(BN7+BW7),0)</f>
        <v>71</v>
      </c>
      <c r="V78" s="353"/>
      <c r="W78" s="353"/>
      <c r="X78" s="349"/>
      <c r="Y78" s="349"/>
      <c r="Z78" s="349">
        <f>ROUNDUP(((6.88+6.37)*3.8)-BW7,0)</f>
        <v>42</v>
      </c>
      <c r="AA78" s="349">
        <f>U78</f>
        <v>71</v>
      </c>
      <c r="AB78" s="349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>
        <f>ROUNDUP(BN9+BW9,0)</f>
        <v>9</v>
      </c>
      <c r="AO78" s="349">
        <v>2.9</v>
      </c>
      <c r="AP78" s="354"/>
      <c r="AQ78" s="352">
        <f>ROUNDUP(BN8+BW8,0)</f>
        <v>12</v>
      </c>
      <c r="AR78" s="366">
        <f t="shared" si="18"/>
        <v>52</v>
      </c>
      <c r="AS78" s="349"/>
      <c r="AT78" s="349"/>
      <c r="AU78" s="349"/>
      <c r="AV78" s="352"/>
      <c r="AW78" s="355">
        <f t="shared" si="16"/>
        <v>71</v>
      </c>
      <c r="AX78" s="349">
        <f t="shared" si="19"/>
        <v>42</v>
      </c>
      <c r="AY78" s="369">
        <f t="shared" si="17"/>
        <v>52</v>
      </c>
      <c r="AZ78" s="353"/>
      <c r="BA78" s="349"/>
      <c r="BB78" s="349"/>
      <c r="BC78" s="349"/>
      <c r="BD78" s="349"/>
      <c r="BE78" s="349"/>
      <c r="BF78" s="349"/>
      <c r="BG78" s="367"/>
      <c r="BH78" s="349"/>
      <c r="BI78" s="349"/>
      <c r="BJ78" s="349"/>
      <c r="BK78" s="349"/>
      <c r="BL78" s="349"/>
      <c r="BM78" s="349"/>
      <c r="BN78" s="367">
        <v>1</v>
      </c>
      <c r="BO78" s="349"/>
      <c r="BP78" s="349"/>
      <c r="BQ78" s="349"/>
      <c r="BR78" s="349"/>
      <c r="BS78" s="349"/>
      <c r="BT78" s="349"/>
      <c r="BU78" s="349"/>
      <c r="BV78" s="349"/>
      <c r="BW78" s="367">
        <v>1</v>
      </c>
      <c r="BX78" s="367"/>
      <c r="BY78" s="349"/>
      <c r="BZ78" s="349"/>
      <c r="CA78" s="349"/>
      <c r="CB78" s="349"/>
      <c r="CC78" s="354"/>
      <c r="CD78" s="354"/>
      <c r="CE78" s="354"/>
      <c r="CF78" s="354"/>
      <c r="CG78" s="354"/>
      <c r="CH78" s="354"/>
      <c r="CI78" s="354"/>
      <c r="CJ78" s="354"/>
      <c r="CK78" s="354"/>
      <c r="CL78" s="354"/>
      <c r="CM78" s="354"/>
      <c r="CN78" s="354"/>
      <c r="CO78" s="354"/>
      <c r="CP78" s="354"/>
      <c r="CQ78" s="354"/>
      <c r="CR78" s="354"/>
      <c r="CS78" s="354"/>
      <c r="CT78" s="354"/>
      <c r="CU78" s="354"/>
      <c r="CV78" s="354"/>
      <c r="CW78" s="354"/>
      <c r="CX78" s="354"/>
      <c r="CY78" s="354"/>
      <c r="CZ78" s="354"/>
      <c r="DA78" s="354"/>
      <c r="DB78" s="354"/>
      <c r="DC78" s="352"/>
    </row>
    <row r="79" spans="1:107" s="59" customFormat="1">
      <c r="A79" s="365"/>
      <c r="B79" s="366" t="s">
        <v>476</v>
      </c>
      <c r="C79" s="349"/>
      <c r="D79" s="367">
        <f>ROUNDUP(40.82,0)</f>
        <v>41</v>
      </c>
      <c r="E79" s="367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54"/>
      <c r="Q79" s="354"/>
      <c r="R79" s="354"/>
      <c r="S79" s="354"/>
      <c r="T79" s="352"/>
      <c r="U79" s="353">
        <f>ROUNDUP((27.2*2.9)-(BN7+BW7),0)</f>
        <v>68</v>
      </c>
      <c r="V79" s="353"/>
      <c r="W79" s="353"/>
      <c r="X79" s="349"/>
      <c r="Y79" s="349"/>
      <c r="Z79" s="349">
        <f>ROUNDUP(((5.6+(1.5*2)+(0.3*2))*3.8)-BW7,0)</f>
        <v>27</v>
      </c>
      <c r="AA79" s="349">
        <f>U79</f>
        <v>68</v>
      </c>
      <c r="AB79" s="349"/>
      <c r="AC79" s="349"/>
      <c r="AD79" s="349"/>
      <c r="AE79" s="349"/>
      <c r="AF79" s="349"/>
      <c r="AG79" s="349"/>
      <c r="AH79" s="349"/>
      <c r="AI79" s="349"/>
      <c r="AJ79" s="349"/>
      <c r="AK79" s="349"/>
      <c r="AL79" s="349"/>
      <c r="AM79" s="349"/>
      <c r="AN79" s="349">
        <f>ROUNDUP(BN9+BW9,0)</f>
        <v>9</v>
      </c>
      <c r="AO79" s="349"/>
      <c r="AP79" s="354"/>
      <c r="AQ79" s="352">
        <f>ROUNDUP(BN8+BW8,0)</f>
        <v>12</v>
      </c>
      <c r="AR79" s="366">
        <f t="shared" si="18"/>
        <v>41</v>
      </c>
      <c r="AS79" s="349"/>
      <c r="AT79" s="349"/>
      <c r="AU79" s="349"/>
      <c r="AV79" s="352"/>
      <c r="AW79" s="355">
        <f t="shared" si="16"/>
        <v>68</v>
      </c>
      <c r="AX79" s="349">
        <f t="shared" si="19"/>
        <v>27</v>
      </c>
      <c r="AY79" s="369">
        <f t="shared" si="17"/>
        <v>41</v>
      </c>
      <c r="AZ79" s="353"/>
      <c r="BA79" s="349"/>
      <c r="BB79" s="349"/>
      <c r="BC79" s="349"/>
      <c r="BD79" s="349"/>
      <c r="BE79" s="349"/>
      <c r="BF79" s="349"/>
      <c r="BG79" s="367"/>
      <c r="BH79" s="349"/>
      <c r="BI79" s="349"/>
      <c r="BJ79" s="349"/>
      <c r="BK79" s="349"/>
      <c r="BL79" s="349"/>
      <c r="BM79" s="349"/>
      <c r="BN79" s="367">
        <v>1</v>
      </c>
      <c r="BO79" s="349"/>
      <c r="BP79" s="349"/>
      <c r="BQ79" s="349"/>
      <c r="BR79" s="349"/>
      <c r="BS79" s="349"/>
      <c r="BT79" s="349"/>
      <c r="BU79" s="349"/>
      <c r="BV79" s="349"/>
      <c r="BW79" s="367">
        <v>1</v>
      </c>
      <c r="BX79" s="367"/>
      <c r="BY79" s="349"/>
      <c r="BZ79" s="349"/>
      <c r="CA79" s="349"/>
      <c r="CB79" s="349"/>
      <c r="CC79" s="354"/>
      <c r="CD79" s="354"/>
      <c r="CE79" s="354"/>
      <c r="CF79" s="354"/>
      <c r="CG79" s="354"/>
      <c r="CH79" s="354"/>
      <c r="CI79" s="354"/>
      <c r="CJ79" s="354"/>
      <c r="CK79" s="354"/>
      <c r="CL79" s="354"/>
      <c r="CM79" s="354"/>
      <c r="CN79" s="354"/>
      <c r="CO79" s="354"/>
      <c r="CP79" s="354"/>
      <c r="CQ79" s="354"/>
      <c r="CR79" s="354"/>
      <c r="CS79" s="354"/>
      <c r="CT79" s="354"/>
      <c r="CU79" s="354"/>
      <c r="CV79" s="354"/>
      <c r="CW79" s="354"/>
      <c r="CX79" s="354"/>
      <c r="CY79" s="354"/>
      <c r="CZ79" s="354"/>
      <c r="DA79" s="354"/>
      <c r="DB79" s="354"/>
      <c r="DC79" s="352"/>
    </row>
    <row r="80" spans="1:107" s="59" customFormat="1">
      <c r="A80" s="365"/>
      <c r="B80" s="366" t="s">
        <v>477</v>
      </c>
      <c r="C80" s="349"/>
      <c r="D80" s="367">
        <f>ROUNDUP(41.88,0)</f>
        <v>42</v>
      </c>
      <c r="E80" s="367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54"/>
      <c r="Q80" s="354"/>
      <c r="R80" s="354"/>
      <c r="S80" s="354"/>
      <c r="T80" s="352"/>
      <c r="U80" s="353">
        <f>ROUNDUP((27.2*2.9)-(BN7+BW7),0)</f>
        <v>68</v>
      </c>
      <c r="V80" s="353"/>
      <c r="W80" s="353"/>
      <c r="X80" s="349"/>
      <c r="Y80" s="349"/>
      <c r="Z80" s="349">
        <f>ROUNDUP(((5.6+(1.5*2)+(0.3*2))*3.8)-BW7,0)</f>
        <v>27</v>
      </c>
      <c r="AA80" s="349">
        <f t="shared" ref="AA80:AA83" si="20">U80</f>
        <v>68</v>
      </c>
      <c r="AB80" s="349"/>
      <c r="AC80" s="349"/>
      <c r="AD80" s="349"/>
      <c r="AE80" s="349"/>
      <c r="AF80" s="349"/>
      <c r="AG80" s="349"/>
      <c r="AH80" s="349"/>
      <c r="AI80" s="349"/>
      <c r="AJ80" s="349"/>
      <c r="AK80" s="349"/>
      <c r="AL80" s="349"/>
      <c r="AM80" s="349"/>
      <c r="AN80" s="349">
        <f>ROUNDUP(BN9+BW9,0)</f>
        <v>9</v>
      </c>
      <c r="AO80" s="349"/>
      <c r="AP80" s="354"/>
      <c r="AQ80" s="352">
        <f>ROUNDUP(BN8+BW8,0)</f>
        <v>12</v>
      </c>
      <c r="AR80" s="366">
        <f t="shared" si="18"/>
        <v>42</v>
      </c>
      <c r="AS80" s="349"/>
      <c r="AT80" s="349"/>
      <c r="AU80" s="349"/>
      <c r="AV80" s="352"/>
      <c r="AW80" s="355">
        <f t="shared" si="16"/>
        <v>68</v>
      </c>
      <c r="AX80" s="349">
        <f t="shared" si="19"/>
        <v>27</v>
      </c>
      <c r="AY80" s="369">
        <f t="shared" si="17"/>
        <v>42</v>
      </c>
      <c r="AZ80" s="353"/>
      <c r="BA80" s="349"/>
      <c r="BB80" s="349"/>
      <c r="BC80" s="349"/>
      <c r="BD80" s="349"/>
      <c r="BE80" s="349"/>
      <c r="BF80" s="349"/>
      <c r="BG80" s="367"/>
      <c r="BH80" s="349"/>
      <c r="BI80" s="349"/>
      <c r="BJ80" s="349"/>
      <c r="BK80" s="349"/>
      <c r="BL80" s="349"/>
      <c r="BM80" s="349"/>
      <c r="BN80" s="367">
        <v>1</v>
      </c>
      <c r="BO80" s="349"/>
      <c r="BP80" s="349"/>
      <c r="BQ80" s="349"/>
      <c r="BR80" s="349"/>
      <c r="BS80" s="349"/>
      <c r="BT80" s="349"/>
      <c r="BU80" s="349"/>
      <c r="BV80" s="349"/>
      <c r="BW80" s="367">
        <v>1</v>
      </c>
      <c r="BX80" s="367"/>
      <c r="BY80" s="349"/>
      <c r="BZ80" s="349"/>
      <c r="CA80" s="349"/>
      <c r="CB80" s="349"/>
      <c r="CC80" s="354"/>
      <c r="CD80" s="354"/>
      <c r="CE80" s="354"/>
      <c r="CF80" s="354"/>
      <c r="CG80" s="354"/>
      <c r="CH80" s="354"/>
      <c r="CI80" s="354"/>
      <c r="CJ80" s="354"/>
      <c r="CK80" s="354"/>
      <c r="CL80" s="354"/>
      <c r="CM80" s="354"/>
      <c r="CN80" s="354"/>
      <c r="CO80" s="354"/>
      <c r="CP80" s="354"/>
      <c r="CQ80" s="354"/>
      <c r="CR80" s="354"/>
      <c r="CS80" s="354"/>
      <c r="CT80" s="354"/>
      <c r="CU80" s="354"/>
      <c r="CV80" s="354"/>
      <c r="CW80" s="354"/>
      <c r="CX80" s="354"/>
      <c r="CY80" s="354"/>
      <c r="CZ80" s="354"/>
      <c r="DA80" s="354"/>
      <c r="DB80" s="354"/>
      <c r="DC80" s="352"/>
    </row>
    <row r="81" spans="1:116" s="59" customFormat="1">
      <c r="A81" s="368"/>
      <c r="B81" s="366" t="s">
        <v>478</v>
      </c>
      <c r="C81" s="349"/>
      <c r="D81" s="367">
        <f>ROUNDUP(41.8,0)</f>
        <v>42</v>
      </c>
      <c r="E81" s="367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54"/>
      <c r="Q81" s="354"/>
      <c r="R81" s="354"/>
      <c r="S81" s="354"/>
      <c r="T81" s="352"/>
      <c r="U81" s="353">
        <f>ROUNDUP((27.2*2.9)-(BN7+BW7),0)</f>
        <v>68</v>
      </c>
      <c r="V81" s="353"/>
      <c r="W81" s="353"/>
      <c r="X81" s="349"/>
      <c r="Y81" s="349"/>
      <c r="Z81" s="349">
        <f>ROUNDUP(((5.6+(1.5*2)+(0.3*2))*3.8)-BW7,0)</f>
        <v>27</v>
      </c>
      <c r="AA81" s="349">
        <f t="shared" si="20"/>
        <v>68</v>
      </c>
      <c r="AB81" s="349"/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49"/>
      <c r="AN81" s="349">
        <f>ROUNDUP(BN9+BW9,0)</f>
        <v>9</v>
      </c>
      <c r="AO81" s="349"/>
      <c r="AP81" s="354"/>
      <c r="AQ81" s="352">
        <f>ROUNDUP(BN8+BW8,0)</f>
        <v>12</v>
      </c>
      <c r="AR81" s="366">
        <f>D81</f>
        <v>42</v>
      </c>
      <c r="AS81" s="349"/>
      <c r="AT81" s="349"/>
      <c r="AU81" s="349"/>
      <c r="AV81" s="352"/>
      <c r="AW81" s="355">
        <f t="shared" si="16"/>
        <v>68</v>
      </c>
      <c r="AX81" s="349">
        <f t="shared" si="19"/>
        <v>27</v>
      </c>
      <c r="AY81" s="369">
        <f t="shared" si="17"/>
        <v>42</v>
      </c>
      <c r="AZ81" s="353"/>
      <c r="BA81" s="349"/>
      <c r="BB81" s="349"/>
      <c r="BC81" s="349"/>
      <c r="BD81" s="349"/>
      <c r="BE81" s="349"/>
      <c r="BF81" s="349"/>
      <c r="BG81" s="367"/>
      <c r="BH81" s="349"/>
      <c r="BI81" s="349"/>
      <c r="BJ81" s="349"/>
      <c r="BK81" s="349"/>
      <c r="BL81" s="349"/>
      <c r="BM81" s="349"/>
      <c r="BN81" s="367">
        <v>1</v>
      </c>
      <c r="BO81" s="349"/>
      <c r="BP81" s="349"/>
      <c r="BQ81" s="349"/>
      <c r="BR81" s="349"/>
      <c r="BS81" s="349"/>
      <c r="BT81" s="349"/>
      <c r="BU81" s="349"/>
      <c r="BV81" s="349"/>
      <c r="BW81" s="367">
        <v>1</v>
      </c>
      <c r="BX81" s="367"/>
      <c r="BY81" s="349"/>
      <c r="BZ81" s="349"/>
      <c r="CA81" s="349"/>
      <c r="CB81" s="349"/>
      <c r="CC81" s="354"/>
      <c r="CD81" s="354"/>
      <c r="CE81" s="354"/>
      <c r="CF81" s="354"/>
      <c r="CG81" s="354"/>
      <c r="CH81" s="354"/>
      <c r="CI81" s="354"/>
      <c r="CJ81" s="354"/>
      <c r="CK81" s="354"/>
      <c r="CL81" s="354"/>
      <c r="CM81" s="354"/>
      <c r="CN81" s="354"/>
      <c r="CO81" s="354"/>
      <c r="CP81" s="354"/>
      <c r="CQ81" s="354"/>
      <c r="CR81" s="354"/>
      <c r="CS81" s="354"/>
      <c r="CT81" s="354"/>
      <c r="CU81" s="354"/>
      <c r="CV81" s="354"/>
      <c r="CW81" s="354"/>
      <c r="CX81" s="354"/>
      <c r="CY81" s="354"/>
      <c r="CZ81" s="354"/>
      <c r="DA81" s="354"/>
      <c r="DB81" s="354"/>
      <c r="DC81" s="352"/>
    </row>
    <row r="82" spans="1:116" s="59" customFormat="1">
      <c r="A82" s="368"/>
      <c r="B82" s="366" t="s">
        <v>479</v>
      </c>
      <c r="C82" s="349"/>
      <c r="D82" s="367">
        <f>ROUNDUP(41.89,0)</f>
        <v>42</v>
      </c>
      <c r="E82" s="367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54"/>
      <c r="Q82" s="354"/>
      <c r="R82" s="354"/>
      <c r="S82" s="354"/>
      <c r="T82" s="352"/>
      <c r="U82" s="353">
        <f>ROUNDUP((27.2*2.9)-(BN7+BW7),0)</f>
        <v>68</v>
      </c>
      <c r="V82" s="353"/>
      <c r="W82" s="353"/>
      <c r="X82" s="349"/>
      <c r="Y82" s="349"/>
      <c r="Z82" s="349">
        <f>ROUNDUP(((5.6+(1.5*2)+(0.3*2))*3.8)-BW7,0)</f>
        <v>27</v>
      </c>
      <c r="AA82" s="349">
        <f t="shared" si="20"/>
        <v>68</v>
      </c>
      <c r="AB82" s="349"/>
      <c r="AC82" s="349"/>
      <c r="AD82" s="349"/>
      <c r="AE82" s="349"/>
      <c r="AF82" s="349"/>
      <c r="AG82" s="349"/>
      <c r="AH82" s="349"/>
      <c r="AI82" s="349"/>
      <c r="AJ82" s="349"/>
      <c r="AK82" s="349"/>
      <c r="AL82" s="349"/>
      <c r="AM82" s="349"/>
      <c r="AN82" s="349">
        <f>ROUNDUP(BN9+BW9,0)</f>
        <v>9</v>
      </c>
      <c r="AO82" s="349"/>
      <c r="AP82" s="354"/>
      <c r="AQ82" s="352">
        <f>ROUNDUP(BN8+BW8,0)</f>
        <v>12</v>
      </c>
      <c r="AR82" s="366">
        <f t="shared" si="18"/>
        <v>42</v>
      </c>
      <c r="AS82" s="349"/>
      <c r="AT82" s="349"/>
      <c r="AU82" s="349"/>
      <c r="AV82" s="352"/>
      <c r="AW82" s="355">
        <f t="shared" si="16"/>
        <v>68</v>
      </c>
      <c r="AX82" s="349">
        <f t="shared" si="19"/>
        <v>27</v>
      </c>
      <c r="AY82" s="369">
        <f t="shared" si="17"/>
        <v>42</v>
      </c>
      <c r="AZ82" s="353"/>
      <c r="BA82" s="349"/>
      <c r="BB82" s="349"/>
      <c r="BC82" s="349"/>
      <c r="BD82" s="349"/>
      <c r="BE82" s="349"/>
      <c r="BF82" s="349"/>
      <c r="BG82" s="367"/>
      <c r="BH82" s="349"/>
      <c r="BI82" s="349"/>
      <c r="BJ82" s="349"/>
      <c r="BK82" s="349"/>
      <c r="BL82" s="349"/>
      <c r="BM82" s="349"/>
      <c r="BN82" s="367">
        <v>1</v>
      </c>
      <c r="BO82" s="349"/>
      <c r="BP82" s="349"/>
      <c r="BQ82" s="349"/>
      <c r="BR82" s="349"/>
      <c r="BS82" s="349"/>
      <c r="BT82" s="349"/>
      <c r="BU82" s="349"/>
      <c r="BV82" s="349"/>
      <c r="BW82" s="367">
        <v>1</v>
      </c>
      <c r="BX82" s="367"/>
      <c r="BY82" s="349"/>
      <c r="BZ82" s="349"/>
      <c r="CA82" s="349"/>
      <c r="CB82" s="349"/>
      <c r="CC82" s="354"/>
      <c r="CD82" s="354"/>
      <c r="CE82" s="354"/>
      <c r="CF82" s="354"/>
      <c r="CG82" s="354"/>
      <c r="CH82" s="354"/>
      <c r="CI82" s="354"/>
      <c r="CJ82" s="354"/>
      <c r="CK82" s="354"/>
      <c r="CL82" s="354"/>
      <c r="CM82" s="354"/>
      <c r="CN82" s="354"/>
      <c r="CO82" s="354"/>
      <c r="CP82" s="354"/>
      <c r="CQ82" s="354"/>
      <c r="CR82" s="354"/>
      <c r="CS82" s="354"/>
      <c r="CT82" s="354"/>
      <c r="CU82" s="354"/>
      <c r="CV82" s="354"/>
      <c r="CW82" s="354"/>
      <c r="CX82" s="354"/>
      <c r="CY82" s="354"/>
      <c r="CZ82" s="354"/>
      <c r="DA82" s="354"/>
      <c r="DB82" s="354"/>
      <c r="DC82" s="352"/>
    </row>
    <row r="83" spans="1:116" s="59" customFormat="1">
      <c r="A83" s="368"/>
      <c r="B83" s="366" t="s">
        <v>480</v>
      </c>
      <c r="C83" s="349"/>
      <c r="D83" s="367">
        <f>ROUNDUP(41.86,0)</f>
        <v>42</v>
      </c>
      <c r="E83" s="367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54"/>
      <c r="Q83" s="354"/>
      <c r="R83" s="354"/>
      <c r="S83" s="354"/>
      <c r="T83" s="352"/>
      <c r="U83" s="353">
        <f>ROUNDUP((27.2*2.9)-(BN7+BW7),0)</f>
        <v>68</v>
      </c>
      <c r="V83" s="353"/>
      <c r="W83" s="353"/>
      <c r="X83" s="349"/>
      <c r="Y83" s="349"/>
      <c r="Z83" s="349">
        <f>ROUNDUP(((5.6+(1.5*2)+(0.3*2))*3.8)-BW7,0)</f>
        <v>27</v>
      </c>
      <c r="AA83" s="349">
        <f t="shared" si="20"/>
        <v>68</v>
      </c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/>
      <c r="AM83" s="349"/>
      <c r="AN83" s="349">
        <f>ROUNDUP(BN9+BW9,0)</f>
        <v>9</v>
      </c>
      <c r="AO83" s="349"/>
      <c r="AP83" s="354"/>
      <c r="AQ83" s="352">
        <f>ROUNDUP(BN8+BW8,0)</f>
        <v>12</v>
      </c>
      <c r="AR83" s="366">
        <f>D83</f>
        <v>42</v>
      </c>
      <c r="AS83" s="349"/>
      <c r="AT83" s="349"/>
      <c r="AU83" s="349"/>
      <c r="AV83" s="352"/>
      <c r="AW83" s="355">
        <f t="shared" si="16"/>
        <v>68</v>
      </c>
      <c r="AX83" s="349">
        <f t="shared" si="19"/>
        <v>27</v>
      </c>
      <c r="AY83" s="369">
        <f t="shared" si="17"/>
        <v>42</v>
      </c>
      <c r="AZ83" s="353"/>
      <c r="BA83" s="349"/>
      <c r="BB83" s="349"/>
      <c r="BC83" s="349"/>
      <c r="BD83" s="349"/>
      <c r="BE83" s="349"/>
      <c r="BF83" s="349"/>
      <c r="BG83" s="367"/>
      <c r="BH83" s="349"/>
      <c r="BI83" s="349"/>
      <c r="BJ83" s="349"/>
      <c r="BK83" s="349"/>
      <c r="BL83" s="349"/>
      <c r="BM83" s="349"/>
      <c r="BN83" s="367">
        <v>1</v>
      </c>
      <c r="BO83" s="349"/>
      <c r="BP83" s="349"/>
      <c r="BQ83" s="349"/>
      <c r="BR83" s="349"/>
      <c r="BS83" s="349"/>
      <c r="BT83" s="349"/>
      <c r="BU83" s="349"/>
      <c r="BV83" s="349"/>
      <c r="BW83" s="367">
        <v>1</v>
      </c>
      <c r="BX83" s="367"/>
      <c r="BY83" s="349"/>
      <c r="BZ83" s="349"/>
      <c r="CA83" s="349"/>
      <c r="CB83" s="349"/>
      <c r="CC83" s="354"/>
      <c r="CD83" s="354"/>
      <c r="CE83" s="354"/>
      <c r="CF83" s="354"/>
      <c r="CG83" s="354"/>
      <c r="CH83" s="354"/>
      <c r="CI83" s="354"/>
      <c r="CJ83" s="354"/>
      <c r="CK83" s="354"/>
      <c r="CL83" s="354"/>
      <c r="CM83" s="354"/>
      <c r="CN83" s="354"/>
      <c r="CO83" s="354"/>
      <c r="CP83" s="354"/>
      <c r="CQ83" s="354"/>
      <c r="CR83" s="354"/>
      <c r="CS83" s="354"/>
      <c r="CT83" s="354"/>
      <c r="CU83" s="354"/>
      <c r="CV83" s="354"/>
      <c r="CW83" s="354"/>
      <c r="CX83" s="354"/>
      <c r="CY83" s="354"/>
      <c r="CZ83" s="354"/>
      <c r="DA83" s="354"/>
      <c r="DB83" s="354"/>
      <c r="DC83" s="352"/>
    </row>
    <row r="84" spans="1:116" s="59" customFormat="1">
      <c r="A84" s="368"/>
      <c r="B84" s="366" t="s">
        <v>483</v>
      </c>
      <c r="C84" s="349"/>
      <c r="D84" s="367">
        <f>ROUNDUP(170.61,0)</f>
        <v>171</v>
      </c>
      <c r="E84" s="367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54"/>
      <c r="Q84" s="354"/>
      <c r="R84" s="354"/>
      <c r="S84" s="354"/>
      <c r="T84" s="352"/>
      <c r="U84" s="353">
        <f>ROUNDUP((63.9*2.9)-(BO7+(BW7*4)),0)</f>
        <v>146</v>
      </c>
      <c r="V84" s="353"/>
      <c r="W84" s="353"/>
      <c r="X84" s="349"/>
      <c r="Y84" s="349"/>
      <c r="Z84" s="349">
        <f>ROUNDUP(((24.4+(1.5*8)+(0.3*4))*3.8)-(BW7*4),0)</f>
        <v>110</v>
      </c>
      <c r="AA84" s="349">
        <f>U84</f>
        <v>146</v>
      </c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/>
      <c r="AP84" s="354"/>
      <c r="AQ84" s="352"/>
      <c r="AR84" s="366">
        <f>D84</f>
        <v>171</v>
      </c>
      <c r="AS84" s="349"/>
      <c r="AT84" s="349"/>
      <c r="AU84" s="349"/>
      <c r="AV84" s="352"/>
      <c r="AW84" s="353">
        <f t="shared" si="16"/>
        <v>146</v>
      </c>
      <c r="AX84" s="349">
        <f t="shared" si="19"/>
        <v>110</v>
      </c>
      <c r="AY84" s="369">
        <f t="shared" si="17"/>
        <v>171</v>
      </c>
      <c r="AZ84" s="353"/>
      <c r="BA84" s="349"/>
      <c r="BB84" s="349"/>
      <c r="BC84" s="349"/>
      <c r="BD84" s="349"/>
      <c r="BE84" s="349"/>
      <c r="BF84" s="349"/>
      <c r="BG84" s="367"/>
      <c r="BH84" s="349"/>
      <c r="BI84" s="349"/>
      <c r="BJ84" s="349"/>
      <c r="BK84" s="349"/>
      <c r="BL84" s="349"/>
      <c r="BM84" s="349"/>
      <c r="BN84" s="349"/>
      <c r="BO84" s="367">
        <v>1</v>
      </c>
      <c r="BP84" s="367"/>
      <c r="BQ84" s="349"/>
      <c r="BR84" s="349"/>
      <c r="BS84" s="349"/>
      <c r="BT84" s="349"/>
      <c r="BU84" s="349"/>
      <c r="BV84" s="349"/>
      <c r="BW84" s="367">
        <v>4</v>
      </c>
      <c r="BX84" s="367"/>
      <c r="BY84" s="349"/>
      <c r="BZ84" s="349"/>
      <c r="CA84" s="349"/>
      <c r="CB84" s="349"/>
      <c r="CC84" s="354"/>
      <c r="CD84" s="354"/>
      <c r="CE84" s="354"/>
      <c r="CF84" s="354"/>
      <c r="CG84" s="354"/>
      <c r="CH84" s="354"/>
      <c r="CI84" s="354"/>
      <c r="CJ84" s="354"/>
      <c r="CK84" s="354"/>
      <c r="CL84" s="354"/>
      <c r="CM84" s="354"/>
      <c r="CN84" s="354"/>
      <c r="CO84" s="354"/>
      <c r="CP84" s="354"/>
      <c r="CQ84" s="354"/>
      <c r="CR84" s="354"/>
      <c r="CS84" s="354"/>
      <c r="CT84" s="354"/>
      <c r="CU84" s="354"/>
      <c r="CV84" s="354"/>
      <c r="CW84" s="354"/>
      <c r="CX84" s="354"/>
      <c r="CY84" s="354"/>
      <c r="CZ84" s="354"/>
      <c r="DA84" s="354"/>
      <c r="DB84" s="354"/>
      <c r="DC84" s="352"/>
    </row>
    <row r="85" spans="1:116" s="59" customFormat="1">
      <c r="A85" s="365"/>
      <c r="B85" s="366" t="s">
        <v>446</v>
      </c>
      <c r="C85" s="349"/>
      <c r="D85" s="349"/>
      <c r="E85" s="367">
        <f>ROUNDUP(29.72,0)</f>
        <v>30</v>
      </c>
      <c r="F85" s="349"/>
      <c r="G85" s="349"/>
      <c r="H85" s="367"/>
      <c r="I85" s="349"/>
      <c r="J85" s="349"/>
      <c r="K85" s="349"/>
      <c r="L85" s="349"/>
      <c r="M85" s="349"/>
      <c r="N85" s="349"/>
      <c r="O85" s="349"/>
      <c r="P85" s="354"/>
      <c r="Q85" s="354"/>
      <c r="R85" s="354"/>
      <c r="S85" s="354"/>
      <c r="T85" s="352">
        <f t="shared" ref="T85:T90" si="21">SUM(C85:O85)</f>
        <v>30</v>
      </c>
      <c r="U85" s="353">
        <f>ROUNDUP((((1.4+4.95+4.6+5.6+4+4)*4.7)+(4.6*0.7)+(3.2*1.38))-(BK7+(CD7*2)),0)</f>
        <v>118</v>
      </c>
      <c r="V85" s="353"/>
      <c r="W85" s="353"/>
      <c r="X85" s="349"/>
      <c r="Y85" s="349"/>
      <c r="Z85" s="349"/>
      <c r="AA85" s="349">
        <f>ROUNDUP(((1.4+4.95+4.6+0.3+0.7+5.6+4.1+0.1+4.1+3.9+1.1)*4.7)-(BK7+(CD7*2)),0)</f>
        <v>140</v>
      </c>
      <c r="AB85" s="349"/>
      <c r="AC85" s="349"/>
      <c r="AD85" s="349">
        <f>AA85</f>
        <v>140</v>
      </c>
      <c r="AE85" s="349"/>
      <c r="AF85" s="349"/>
      <c r="AG85" s="349"/>
      <c r="AH85" s="349"/>
      <c r="AI85" s="349"/>
      <c r="AJ85" s="349"/>
      <c r="AK85" s="349"/>
      <c r="AL85" s="349"/>
      <c r="AM85" s="349"/>
      <c r="AN85" s="349">
        <f>ROUNDUP((6*4.7)+BK9+(CD9*2),0)</f>
        <v>36</v>
      </c>
      <c r="AO85" s="349"/>
      <c r="AP85" s="354"/>
      <c r="AQ85" s="352">
        <f>ROUNDUP(BK8+(CD8*2),0)</f>
        <v>12</v>
      </c>
      <c r="AR85" s="353"/>
      <c r="AS85" s="367">
        <f>E85</f>
        <v>30</v>
      </c>
      <c r="AT85" s="349"/>
      <c r="AU85" s="349"/>
      <c r="AV85" s="352"/>
      <c r="AW85" s="353"/>
      <c r="AX85" s="349"/>
      <c r="AY85" s="369">
        <f t="shared" ref="AY85:AY90" si="22">AS85</f>
        <v>30</v>
      </c>
      <c r="AZ85" s="353"/>
      <c r="BA85" s="349"/>
      <c r="BB85" s="349"/>
      <c r="BC85" s="349"/>
      <c r="BD85" s="349"/>
      <c r="BE85" s="349"/>
      <c r="BF85" s="349"/>
      <c r="BG85" s="349"/>
      <c r="BH85" s="349"/>
      <c r="BI85" s="349"/>
      <c r="BJ85" s="349"/>
      <c r="BK85" s="367">
        <v>1</v>
      </c>
      <c r="BL85" s="367"/>
      <c r="BM85" s="349"/>
      <c r="BN85" s="349"/>
      <c r="BO85" s="349"/>
      <c r="BP85" s="349"/>
      <c r="BQ85" s="349"/>
      <c r="BR85" s="349"/>
      <c r="BS85" s="349"/>
      <c r="BT85" s="349"/>
      <c r="BU85" s="349"/>
      <c r="BV85" s="349"/>
      <c r="BW85" s="349"/>
      <c r="BX85" s="349"/>
      <c r="BY85" s="349"/>
      <c r="BZ85" s="349"/>
      <c r="CA85" s="349"/>
      <c r="CB85" s="349"/>
      <c r="CC85" s="354"/>
      <c r="CD85" s="370">
        <v>2</v>
      </c>
      <c r="CE85" s="370"/>
      <c r="CF85" s="354"/>
      <c r="CG85" s="354"/>
      <c r="CH85" s="354"/>
      <c r="CI85" s="354"/>
      <c r="CJ85" s="354"/>
      <c r="CK85" s="354"/>
      <c r="CL85" s="354"/>
      <c r="CM85" s="354"/>
      <c r="CN85" s="354"/>
      <c r="CO85" s="354"/>
      <c r="CP85" s="354"/>
      <c r="CQ85" s="354"/>
      <c r="CR85" s="354"/>
      <c r="CS85" s="354"/>
      <c r="CT85" s="354"/>
      <c r="CU85" s="354"/>
      <c r="CV85" s="354"/>
      <c r="CW85" s="354"/>
      <c r="CX85" s="354"/>
      <c r="CY85" s="354"/>
      <c r="CZ85" s="354"/>
      <c r="DA85" s="354"/>
      <c r="DB85" s="354"/>
      <c r="DC85" s="352"/>
    </row>
    <row r="86" spans="1:116" s="59" customFormat="1">
      <c r="A86" s="365"/>
      <c r="B86" s="366" t="s">
        <v>447</v>
      </c>
      <c r="C86" s="349"/>
      <c r="D86" s="349"/>
      <c r="E86" s="367">
        <f>ROUNDUP(29.65,0)</f>
        <v>30</v>
      </c>
      <c r="F86" s="349"/>
      <c r="G86" s="349"/>
      <c r="H86" s="367"/>
      <c r="I86" s="349"/>
      <c r="J86" s="349"/>
      <c r="K86" s="349"/>
      <c r="L86" s="349"/>
      <c r="M86" s="349"/>
      <c r="N86" s="349"/>
      <c r="O86" s="349"/>
      <c r="P86" s="354"/>
      <c r="Q86" s="354"/>
      <c r="R86" s="354"/>
      <c r="S86" s="354"/>
      <c r="T86" s="352">
        <f t="shared" si="21"/>
        <v>30</v>
      </c>
      <c r="U86" s="353">
        <f>ROUNDUP((((1.4+4.95+4.6+5.6+4+4+1.7)*4.7)+(4.6*0.7)+(3.2*1.38))-(BK7+(CD7*2)),0)</f>
        <v>126</v>
      </c>
      <c r="V86" s="353"/>
      <c r="W86" s="353"/>
      <c r="X86" s="349"/>
      <c r="Y86" s="349"/>
      <c r="Z86" s="349"/>
      <c r="AA86" s="349">
        <f>ROUNDUP(((1.3+4.95+4.6+0.3+0.7+5.6+0.1+3.2+1.8+0.1+0.7)*4.7)-(BK7+(CD7*2)),0)</f>
        <v>105</v>
      </c>
      <c r="AB86" s="349"/>
      <c r="AC86" s="349"/>
      <c r="AD86" s="349">
        <f>AA86</f>
        <v>105</v>
      </c>
      <c r="AE86" s="349"/>
      <c r="AF86" s="349"/>
      <c r="AG86" s="349"/>
      <c r="AH86" s="349"/>
      <c r="AI86" s="349"/>
      <c r="AJ86" s="349"/>
      <c r="AK86" s="349"/>
      <c r="AL86" s="349"/>
      <c r="AM86" s="349"/>
      <c r="AN86" s="349">
        <f>ROUNDUP((5*4.7)+BK9+(CD9*2),0)</f>
        <v>32</v>
      </c>
      <c r="AO86" s="349"/>
      <c r="AP86" s="354"/>
      <c r="AQ86" s="352">
        <f>ROUNDUP(BK8+(CD8*2),0)</f>
        <v>12</v>
      </c>
      <c r="AR86" s="353"/>
      <c r="AS86" s="367">
        <f t="shared" ref="AS86:AS90" si="23">E86</f>
        <v>30</v>
      </c>
      <c r="AT86" s="349"/>
      <c r="AU86" s="349"/>
      <c r="AV86" s="352"/>
      <c r="AW86" s="353"/>
      <c r="AX86" s="349"/>
      <c r="AY86" s="369">
        <f t="shared" si="22"/>
        <v>30</v>
      </c>
      <c r="AZ86" s="353"/>
      <c r="BA86" s="349"/>
      <c r="BB86" s="349"/>
      <c r="BC86" s="349"/>
      <c r="BD86" s="349"/>
      <c r="BE86" s="349"/>
      <c r="BF86" s="349"/>
      <c r="BG86" s="349"/>
      <c r="BH86" s="349"/>
      <c r="BI86" s="349"/>
      <c r="BJ86" s="349"/>
      <c r="BK86" s="367">
        <v>1</v>
      </c>
      <c r="BL86" s="367"/>
      <c r="BM86" s="349"/>
      <c r="BN86" s="349"/>
      <c r="BO86" s="349"/>
      <c r="BP86" s="349"/>
      <c r="BQ86" s="349"/>
      <c r="BR86" s="349"/>
      <c r="BS86" s="349"/>
      <c r="BT86" s="349"/>
      <c r="BU86" s="349"/>
      <c r="BV86" s="349"/>
      <c r="BW86" s="349"/>
      <c r="BX86" s="349"/>
      <c r="BY86" s="349"/>
      <c r="BZ86" s="349"/>
      <c r="CA86" s="349"/>
      <c r="CB86" s="349"/>
      <c r="CC86" s="354"/>
      <c r="CD86" s="370">
        <v>2</v>
      </c>
      <c r="CE86" s="370"/>
      <c r="CF86" s="354"/>
      <c r="CG86" s="354"/>
      <c r="CH86" s="354"/>
      <c r="CI86" s="354"/>
      <c r="CJ86" s="354"/>
      <c r="CK86" s="354"/>
      <c r="CL86" s="354"/>
      <c r="CM86" s="354"/>
      <c r="CN86" s="354"/>
      <c r="CO86" s="354"/>
      <c r="CP86" s="354"/>
      <c r="CQ86" s="354"/>
      <c r="CR86" s="354"/>
      <c r="CS86" s="354"/>
      <c r="CT86" s="354"/>
      <c r="CU86" s="354"/>
      <c r="CV86" s="354"/>
      <c r="CW86" s="354"/>
      <c r="CX86" s="354"/>
      <c r="CY86" s="354"/>
      <c r="CZ86" s="354"/>
      <c r="DA86" s="354"/>
      <c r="DB86" s="354"/>
      <c r="DC86" s="352"/>
    </row>
    <row r="87" spans="1:116" s="59" customFormat="1">
      <c r="A87" s="368"/>
      <c r="B87" s="366" t="s">
        <v>448</v>
      </c>
      <c r="C87" s="349"/>
      <c r="D87" s="349"/>
      <c r="E87" s="367">
        <f>ROUNDUP(9.9,0)</f>
        <v>10</v>
      </c>
      <c r="F87" s="349"/>
      <c r="G87" s="349"/>
      <c r="H87" s="367"/>
      <c r="I87" s="349"/>
      <c r="J87" s="349"/>
      <c r="K87" s="349"/>
      <c r="L87" s="349"/>
      <c r="M87" s="349"/>
      <c r="N87" s="349"/>
      <c r="O87" s="349"/>
      <c r="P87" s="354"/>
      <c r="Q87" s="354"/>
      <c r="R87" s="354"/>
      <c r="S87" s="354"/>
      <c r="T87" s="352">
        <f t="shared" si="21"/>
        <v>10</v>
      </c>
      <c r="U87" s="353">
        <f>ROUNDUP((12.83*4.7)-BL7,0)</f>
        <v>58</v>
      </c>
      <c r="V87" s="353"/>
      <c r="W87" s="353"/>
      <c r="X87" s="349"/>
      <c r="Y87" s="349"/>
      <c r="Z87" s="349"/>
      <c r="AA87" s="349">
        <f>U87</f>
        <v>58</v>
      </c>
      <c r="AB87" s="349"/>
      <c r="AC87" s="349"/>
      <c r="AD87" s="349">
        <f>AA87</f>
        <v>58</v>
      </c>
      <c r="AE87" s="349"/>
      <c r="AF87" s="349"/>
      <c r="AG87" s="349"/>
      <c r="AH87" s="349"/>
      <c r="AI87" s="349"/>
      <c r="AJ87" s="349"/>
      <c r="AK87" s="349"/>
      <c r="AL87" s="349"/>
      <c r="AM87" s="349"/>
      <c r="AN87" s="349">
        <f>BL9</f>
        <v>5</v>
      </c>
      <c r="AO87" s="349"/>
      <c r="AP87" s="354"/>
      <c r="AQ87" s="352">
        <f>BL8</f>
        <v>1</v>
      </c>
      <c r="AR87" s="353"/>
      <c r="AS87" s="367">
        <f t="shared" si="23"/>
        <v>10</v>
      </c>
      <c r="AT87" s="349"/>
      <c r="AU87" s="349"/>
      <c r="AV87" s="352"/>
      <c r="AW87" s="353"/>
      <c r="AX87" s="349"/>
      <c r="AY87" s="369">
        <f t="shared" si="22"/>
        <v>10</v>
      </c>
      <c r="AZ87" s="353"/>
      <c r="BA87" s="349"/>
      <c r="BB87" s="349"/>
      <c r="BC87" s="349"/>
      <c r="BD87" s="349"/>
      <c r="BE87" s="349"/>
      <c r="BF87" s="349"/>
      <c r="BG87" s="349"/>
      <c r="BH87" s="349"/>
      <c r="BI87" s="349"/>
      <c r="BJ87" s="349"/>
      <c r="BK87" s="367"/>
      <c r="BL87" s="367">
        <v>1</v>
      </c>
      <c r="BM87" s="349"/>
      <c r="BN87" s="349"/>
      <c r="BO87" s="349"/>
      <c r="BP87" s="349"/>
      <c r="BQ87" s="349"/>
      <c r="BR87" s="349"/>
      <c r="BS87" s="349"/>
      <c r="BT87" s="349"/>
      <c r="BU87" s="349"/>
      <c r="BV87" s="349"/>
      <c r="BW87" s="349"/>
      <c r="BX87" s="349"/>
      <c r="BY87" s="349"/>
      <c r="BZ87" s="349"/>
      <c r="CA87" s="349"/>
      <c r="CB87" s="349"/>
      <c r="CC87" s="354"/>
      <c r="CD87" s="370"/>
      <c r="CE87" s="370"/>
      <c r="CF87" s="354"/>
      <c r="CG87" s="354"/>
      <c r="CH87" s="354"/>
      <c r="CI87" s="354"/>
      <c r="CJ87" s="354"/>
      <c r="CK87" s="354"/>
      <c r="CL87" s="354"/>
      <c r="CM87" s="354"/>
      <c r="CN87" s="354"/>
      <c r="CO87" s="354"/>
      <c r="CP87" s="354"/>
      <c r="CQ87" s="354"/>
      <c r="CR87" s="354"/>
      <c r="CS87" s="354"/>
      <c r="CT87" s="354"/>
      <c r="CU87" s="354"/>
      <c r="CV87" s="354"/>
      <c r="CW87" s="354"/>
      <c r="CX87" s="354"/>
      <c r="CY87" s="354"/>
      <c r="CZ87" s="354"/>
      <c r="DA87" s="354"/>
      <c r="DB87" s="354"/>
      <c r="DC87" s="352"/>
    </row>
    <row r="88" spans="1:116" s="59" customFormat="1">
      <c r="A88" s="368"/>
      <c r="B88" s="366" t="s">
        <v>449</v>
      </c>
      <c r="C88" s="349"/>
      <c r="D88" s="349"/>
      <c r="E88" s="367">
        <f>ROUNDUP(27.98,0)</f>
        <v>28</v>
      </c>
      <c r="F88" s="349"/>
      <c r="G88" s="349"/>
      <c r="H88" s="367"/>
      <c r="I88" s="349"/>
      <c r="J88" s="349"/>
      <c r="K88" s="349"/>
      <c r="L88" s="349"/>
      <c r="M88" s="349"/>
      <c r="N88" s="349"/>
      <c r="O88" s="349"/>
      <c r="P88" s="354"/>
      <c r="Q88" s="354"/>
      <c r="R88" s="354"/>
      <c r="S88" s="354"/>
      <c r="T88" s="352">
        <f t="shared" si="21"/>
        <v>28</v>
      </c>
      <c r="U88" s="353">
        <f>ROUNDUP(((3+0.61+1.6+5+0.82+1.8+0.2+1.2)*4.7)-(BK7+BM7),0)</f>
        <v>62</v>
      </c>
      <c r="V88" s="353"/>
      <c r="W88" s="353"/>
      <c r="X88" s="349"/>
      <c r="Y88" s="349"/>
      <c r="Z88" s="349"/>
      <c r="AA88" s="349">
        <f>ROUNDUP(((7.16+3.2+0.71+1.7+5+3.52+0.3+1.2)*4.7)-(BK7+BM7),0)</f>
        <v>103</v>
      </c>
      <c r="AB88" s="349"/>
      <c r="AC88" s="349"/>
      <c r="AD88" s="349">
        <f t="shared" ref="AD88:AD90" si="24">AA88</f>
        <v>103</v>
      </c>
      <c r="AE88" s="349"/>
      <c r="AF88" s="349"/>
      <c r="AG88" s="349"/>
      <c r="AH88" s="349"/>
      <c r="AI88" s="349"/>
      <c r="AJ88" s="349"/>
      <c r="AK88" s="349"/>
      <c r="AL88" s="349"/>
      <c r="AM88" s="349"/>
      <c r="AN88" s="349">
        <f>ROUNDUP((8*4.7)+BK9+BM9,0)</f>
        <v>47</v>
      </c>
      <c r="AO88" s="349"/>
      <c r="AP88" s="354"/>
      <c r="AQ88" s="352">
        <f>ROUNDUP(BK8+BM8,0)</f>
        <v>4</v>
      </c>
      <c r="AR88" s="353"/>
      <c r="AS88" s="367">
        <f t="shared" si="23"/>
        <v>28</v>
      </c>
      <c r="AT88" s="349"/>
      <c r="AU88" s="349"/>
      <c r="AV88" s="352"/>
      <c r="AW88" s="353"/>
      <c r="AX88" s="349"/>
      <c r="AY88" s="369">
        <f t="shared" si="22"/>
        <v>28</v>
      </c>
      <c r="AZ88" s="353"/>
      <c r="BA88" s="349"/>
      <c r="BB88" s="349"/>
      <c r="BC88" s="349"/>
      <c r="BD88" s="349"/>
      <c r="BE88" s="349"/>
      <c r="BF88" s="349"/>
      <c r="BG88" s="349"/>
      <c r="BH88" s="349"/>
      <c r="BI88" s="349"/>
      <c r="BJ88" s="349"/>
      <c r="BK88" s="367">
        <v>1</v>
      </c>
      <c r="BL88" s="367"/>
      <c r="BM88" s="349"/>
      <c r="BN88" s="349"/>
      <c r="BO88" s="349"/>
      <c r="BP88" s="349"/>
      <c r="BQ88" s="349"/>
      <c r="BR88" s="349"/>
      <c r="BS88" s="349"/>
      <c r="BT88" s="349"/>
      <c r="BU88" s="349"/>
      <c r="BV88" s="349"/>
      <c r="BW88" s="349"/>
      <c r="BX88" s="349"/>
      <c r="BY88" s="349"/>
      <c r="BZ88" s="349"/>
      <c r="CA88" s="349"/>
      <c r="CB88" s="349"/>
      <c r="CC88" s="354"/>
      <c r="CD88" s="370"/>
      <c r="CE88" s="370"/>
      <c r="CF88" s="354"/>
      <c r="CG88" s="354"/>
      <c r="CH88" s="354"/>
      <c r="CI88" s="354"/>
      <c r="CJ88" s="354"/>
      <c r="CK88" s="354"/>
      <c r="CL88" s="354"/>
      <c r="CM88" s="354"/>
      <c r="CN88" s="354"/>
      <c r="CO88" s="354"/>
      <c r="CP88" s="354"/>
      <c r="CQ88" s="354"/>
      <c r="CR88" s="354"/>
      <c r="CS88" s="354"/>
      <c r="CT88" s="354"/>
      <c r="CU88" s="354"/>
      <c r="CV88" s="354"/>
      <c r="CW88" s="354"/>
      <c r="CX88" s="354"/>
      <c r="CY88" s="354"/>
      <c r="CZ88" s="354"/>
      <c r="DA88" s="354"/>
      <c r="DB88" s="354"/>
      <c r="DC88" s="352"/>
    </row>
    <row r="89" spans="1:116" s="59" customFormat="1">
      <c r="A89" s="368"/>
      <c r="B89" s="366" t="s">
        <v>516</v>
      </c>
      <c r="C89" s="349"/>
      <c r="D89" s="349"/>
      <c r="E89" s="367">
        <f>ROUNDUP(7.7,0)</f>
        <v>8</v>
      </c>
      <c r="F89" s="349"/>
      <c r="G89" s="349"/>
      <c r="H89" s="367"/>
      <c r="I89" s="349"/>
      <c r="J89" s="349"/>
      <c r="K89" s="349"/>
      <c r="L89" s="349"/>
      <c r="M89" s="349"/>
      <c r="N89" s="349"/>
      <c r="O89" s="349"/>
      <c r="P89" s="354"/>
      <c r="Q89" s="354"/>
      <c r="R89" s="354"/>
      <c r="S89" s="354"/>
      <c r="T89" s="352">
        <f t="shared" si="21"/>
        <v>8</v>
      </c>
      <c r="U89" s="353">
        <f>ROUNDUP((2.25*4.7)-CF7,0)</f>
        <v>10</v>
      </c>
      <c r="V89" s="353"/>
      <c r="W89" s="353"/>
      <c r="X89" s="349"/>
      <c r="Y89" s="349"/>
      <c r="Z89" s="349">
        <f>ROUNDUP(((2.39+0.7)*4.7)-CF7,0)</f>
        <v>14</v>
      </c>
      <c r="AA89" s="349">
        <f>ROUNDUP(((4+1.08+4.25+2.65)*4.7)-(BM7+CF7),0)</f>
        <v>53</v>
      </c>
      <c r="AB89" s="349"/>
      <c r="AC89" s="349"/>
      <c r="AD89" s="349">
        <f t="shared" si="24"/>
        <v>53</v>
      </c>
      <c r="AE89" s="349"/>
      <c r="AF89" s="349"/>
      <c r="AG89" s="349"/>
      <c r="AH89" s="349"/>
      <c r="AI89" s="349"/>
      <c r="AJ89" s="349"/>
      <c r="AK89" s="349"/>
      <c r="AL89" s="349"/>
      <c r="AM89" s="349"/>
      <c r="AN89" s="349"/>
      <c r="AO89" s="349"/>
      <c r="AP89" s="354"/>
      <c r="AQ89" s="352">
        <f>CF8</f>
        <v>3.4</v>
      </c>
      <c r="AR89" s="353"/>
      <c r="AS89" s="367">
        <f t="shared" si="23"/>
        <v>8</v>
      </c>
      <c r="AT89" s="349"/>
      <c r="AU89" s="349"/>
      <c r="AV89" s="352"/>
      <c r="AW89" s="353"/>
      <c r="AX89" s="349">
        <f>Z89</f>
        <v>14</v>
      </c>
      <c r="AY89" s="369">
        <f t="shared" si="22"/>
        <v>8</v>
      </c>
      <c r="AZ89" s="353"/>
      <c r="BA89" s="349"/>
      <c r="BB89" s="349"/>
      <c r="BC89" s="349"/>
      <c r="BD89" s="349"/>
      <c r="BE89" s="349"/>
      <c r="BF89" s="349"/>
      <c r="BG89" s="349"/>
      <c r="BH89" s="349"/>
      <c r="BI89" s="349"/>
      <c r="BJ89" s="349"/>
      <c r="BK89" s="367"/>
      <c r="BL89" s="367"/>
      <c r="BM89" s="367">
        <v>1</v>
      </c>
      <c r="BN89" s="349"/>
      <c r="BO89" s="349"/>
      <c r="BP89" s="349"/>
      <c r="BQ89" s="349"/>
      <c r="BR89" s="349"/>
      <c r="BS89" s="349"/>
      <c r="BT89" s="349"/>
      <c r="BU89" s="349"/>
      <c r="BV89" s="349"/>
      <c r="BW89" s="349"/>
      <c r="BX89" s="349"/>
      <c r="BY89" s="349"/>
      <c r="BZ89" s="349"/>
      <c r="CA89" s="349"/>
      <c r="CB89" s="349"/>
      <c r="CC89" s="354"/>
      <c r="CD89" s="370"/>
      <c r="CE89" s="370"/>
      <c r="CF89" s="370">
        <v>1</v>
      </c>
      <c r="CG89" s="370"/>
      <c r="CH89" s="354"/>
      <c r="CI89" s="354"/>
      <c r="CJ89" s="354"/>
      <c r="CK89" s="354"/>
      <c r="CL89" s="354"/>
      <c r="CM89" s="354"/>
      <c r="CN89" s="354"/>
      <c r="CO89" s="354"/>
      <c r="CP89" s="354"/>
      <c r="CQ89" s="354"/>
      <c r="CR89" s="354"/>
      <c r="CS89" s="354"/>
      <c r="CT89" s="354"/>
      <c r="CU89" s="354"/>
      <c r="CV89" s="354"/>
      <c r="CW89" s="354"/>
      <c r="CX89" s="354"/>
      <c r="CY89" s="354"/>
      <c r="CZ89" s="354"/>
      <c r="DA89" s="354"/>
      <c r="DB89" s="354"/>
      <c r="DC89" s="352"/>
    </row>
    <row r="90" spans="1:116" s="59" customFormat="1">
      <c r="A90" s="368"/>
      <c r="B90" s="366" t="s">
        <v>450</v>
      </c>
      <c r="C90" s="349"/>
      <c r="D90" s="349"/>
      <c r="E90" s="367">
        <f>ROUNDUP(55.46,0)</f>
        <v>56</v>
      </c>
      <c r="F90" s="349"/>
      <c r="G90" s="349"/>
      <c r="H90" s="367"/>
      <c r="I90" s="349"/>
      <c r="J90" s="349"/>
      <c r="K90" s="349"/>
      <c r="L90" s="349"/>
      <c r="M90" s="349"/>
      <c r="N90" s="349"/>
      <c r="O90" s="349"/>
      <c r="P90" s="354"/>
      <c r="Q90" s="354"/>
      <c r="R90" s="354"/>
      <c r="S90" s="354"/>
      <c r="T90" s="352">
        <f t="shared" si="21"/>
        <v>56</v>
      </c>
      <c r="U90" s="353">
        <f>ROUNDUP(((1.9+1.4+7.2+5.6+7.2+1.4)*4.7)-(BK7+(CD7*2)),0)</f>
        <v>111</v>
      </c>
      <c r="V90" s="353"/>
      <c r="W90" s="353"/>
      <c r="X90" s="349"/>
      <c r="Y90" s="349"/>
      <c r="Z90" s="349"/>
      <c r="AA90" s="349">
        <f>ROUNDUP(((5.9+10.1+5.6+8.7+0.3+1.4)*4.7)-(BK7+(CD7*2)),0)</f>
        <v>145</v>
      </c>
      <c r="AB90" s="349"/>
      <c r="AC90" s="349"/>
      <c r="AD90" s="349">
        <f t="shared" si="24"/>
        <v>145</v>
      </c>
      <c r="AE90" s="349"/>
      <c r="AF90" s="349"/>
      <c r="AG90" s="349"/>
      <c r="AH90" s="349"/>
      <c r="AI90" s="349"/>
      <c r="AJ90" s="349"/>
      <c r="AK90" s="349"/>
      <c r="AL90" s="349"/>
      <c r="AM90" s="349"/>
      <c r="AN90" s="349">
        <f>ROUNDUP(((3*4.7)+BK9+(CD9*2)),0)</f>
        <v>22</v>
      </c>
      <c r="AO90" s="349"/>
      <c r="AP90" s="354"/>
      <c r="AQ90" s="352">
        <f>ROUNDUP(BK8+(CD8*2),0)</f>
        <v>12</v>
      </c>
      <c r="AR90" s="353"/>
      <c r="AS90" s="367">
        <f t="shared" si="23"/>
        <v>56</v>
      </c>
      <c r="AT90" s="349"/>
      <c r="AU90" s="349"/>
      <c r="AV90" s="352"/>
      <c r="AW90" s="353"/>
      <c r="AX90" s="349"/>
      <c r="AY90" s="369">
        <f t="shared" si="22"/>
        <v>56</v>
      </c>
      <c r="AZ90" s="353"/>
      <c r="BA90" s="349"/>
      <c r="BB90" s="349"/>
      <c r="BC90" s="349"/>
      <c r="BD90" s="349"/>
      <c r="BE90" s="349"/>
      <c r="BF90" s="349"/>
      <c r="BG90" s="349"/>
      <c r="BH90" s="349"/>
      <c r="BI90" s="349"/>
      <c r="BJ90" s="349"/>
      <c r="BK90" s="367">
        <v>1</v>
      </c>
      <c r="BL90" s="367"/>
      <c r="BM90" s="349"/>
      <c r="BN90" s="349"/>
      <c r="BO90" s="349"/>
      <c r="BP90" s="349"/>
      <c r="BQ90" s="349"/>
      <c r="BR90" s="349"/>
      <c r="BS90" s="349"/>
      <c r="BT90" s="349"/>
      <c r="BU90" s="349"/>
      <c r="BV90" s="349"/>
      <c r="BW90" s="349"/>
      <c r="BX90" s="349"/>
      <c r="BY90" s="349"/>
      <c r="BZ90" s="349"/>
      <c r="CA90" s="349"/>
      <c r="CB90" s="349"/>
      <c r="CC90" s="354"/>
      <c r="CD90" s="370">
        <v>2</v>
      </c>
      <c r="CE90" s="370"/>
      <c r="CF90" s="354"/>
      <c r="CG90" s="354"/>
      <c r="CH90" s="354"/>
      <c r="CI90" s="354"/>
      <c r="CJ90" s="354"/>
      <c r="CK90" s="354"/>
      <c r="CL90" s="354"/>
      <c r="CM90" s="354"/>
      <c r="CN90" s="354"/>
      <c r="CO90" s="354"/>
      <c r="CP90" s="354"/>
      <c r="CQ90" s="354"/>
      <c r="CR90" s="354"/>
      <c r="CS90" s="354"/>
      <c r="CT90" s="354"/>
      <c r="CU90" s="354"/>
      <c r="CV90" s="354"/>
      <c r="CW90" s="354"/>
      <c r="CX90" s="354"/>
      <c r="CY90" s="354"/>
      <c r="CZ90" s="354"/>
      <c r="DA90" s="354"/>
      <c r="DB90" s="354"/>
      <c r="DC90" s="352"/>
    </row>
    <row r="91" spans="1:116" s="59" customFormat="1">
      <c r="A91" s="368"/>
      <c r="B91" s="366" t="s">
        <v>484</v>
      </c>
      <c r="C91" s="349"/>
      <c r="D91" s="367"/>
      <c r="E91" s="349"/>
      <c r="F91" s="349"/>
      <c r="G91" s="349"/>
      <c r="H91" s="367">
        <f>ROUNDUP((8.39*9)+(8.39*5)+65.69+147.55+228.06+67.53,0)</f>
        <v>627</v>
      </c>
      <c r="I91" s="349"/>
      <c r="J91" s="349"/>
      <c r="K91" s="367"/>
      <c r="L91" s="349"/>
      <c r="M91" s="349"/>
      <c r="N91" s="349"/>
      <c r="O91" s="349"/>
      <c r="P91" s="354"/>
      <c r="Q91" s="354"/>
      <c r="R91" s="354"/>
      <c r="S91" s="354"/>
      <c r="T91" s="352"/>
      <c r="U91" s="353"/>
      <c r="V91" s="353"/>
      <c r="W91" s="353"/>
      <c r="X91" s="349"/>
      <c r="Y91" s="349"/>
      <c r="Z91" s="349"/>
      <c r="AA91" s="349"/>
      <c r="AB91" s="349"/>
      <c r="AC91" s="349"/>
      <c r="AD91" s="349"/>
      <c r="AE91" s="349"/>
      <c r="AF91" s="349"/>
      <c r="AG91" s="349"/>
      <c r="AH91" s="349"/>
      <c r="AI91" s="349"/>
      <c r="AJ91" s="349"/>
      <c r="AK91" s="349"/>
      <c r="AL91" s="349"/>
      <c r="AM91" s="349"/>
      <c r="AN91" s="349"/>
      <c r="AO91" s="349"/>
      <c r="AP91" s="354"/>
      <c r="AQ91" s="352"/>
      <c r="AR91" s="366"/>
      <c r="AS91" s="349"/>
      <c r="AT91" s="349"/>
      <c r="AU91" s="349"/>
      <c r="AV91" s="352"/>
      <c r="AW91" s="353"/>
      <c r="AX91" s="349"/>
      <c r="AY91" s="369"/>
      <c r="AZ91" s="353"/>
      <c r="BA91" s="349"/>
      <c r="BB91" s="349"/>
      <c r="BC91" s="349"/>
      <c r="BD91" s="349"/>
      <c r="BE91" s="349"/>
      <c r="BF91" s="349"/>
      <c r="BG91" s="349"/>
      <c r="BH91" s="349"/>
      <c r="BI91" s="349"/>
      <c r="BJ91" s="349"/>
      <c r="BK91" s="349"/>
      <c r="BL91" s="349"/>
      <c r="BM91" s="349"/>
      <c r="BN91" s="349"/>
      <c r="BO91" s="349"/>
      <c r="BP91" s="349"/>
      <c r="BQ91" s="349"/>
      <c r="BR91" s="349"/>
      <c r="BS91" s="349"/>
      <c r="BT91" s="349"/>
      <c r="BU91" s="349"/>
      <c r="BV91" s="349"/>
      <c r="BW91" s="349"/>
      <c r="BX91" s="349"/>
      <c r="BY91" s="349"/>
      <c r="BZ91" s="349"/>
      <c r="CA91" s="349"/>
      <c r="CB91" s="349"/>
      <c r="CC91" s="354"/>
      <c r="CD91" s="354"/>
      <c r="CE91" s="354"/>
      <c r="CF91" s="354"/>
      <c r="CG91" s="354"/>
      <c r="CH91" s="354"/>
      <c r="CI91" s="354"/>
      <c r="CJ91" s="354"/>
      <c r="CK91" s="354"/>
      <c r="CL91" s="354"/>
      <c r="CM91" s="354"/>
      <c r="CN91" s="354"/>
      <c r="CO91" s="354"/>
      <c r="CP91" s="354"/>
      <c r="CQ91" s="354"/>
      <c r="CR91" s="354"/>
      <c r="CS91" s="354"/>
      <c r="CT91" s="354"/>
      <c r="CU91" s="354"/>
      <c r="CV91" s="354"/>
      <c r="CW91" s="354"/>
      <c r="CX91" s="354"/>
      <c r="CY91" s="354"/>
      <c r="CZ91" s="354"/>
      <c r="DA91" s="354"/>
      <c r="DB91" s="354"/>
      <c r="DC91" s="352"/>
    </row>
    <row r="92" spans="1:116" s="59" customFormat="1">
      <c r="A92" s="368"/>
      <c r="B92" s="360" t="s">
        <v>561</v>
      </c>
      <c r="C92" s="367">
        <v>59</v>
      </c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54"/>
      <c r="Q92" s="354"/>
      <c r="R92" s="354"/>
      <c r="S92" s="354"/>
      <c r="T92" s="352"/>
      <c r="U92" s="353">
        <f>ROUNDUP((30.48*2.9)-(BI65+BM65+CF65),0)</f>
        <v>84</v>
      </c>
      <c r="V92" s="353"/>
      <c r="W92" s="353"/>
      <c r="X92" s="349"/>
      <c r="Y92" s="349"/>
      <c r="Z92" s="349">
        <f>ROUNDUP((8.4*3.8)-CF7,0)</f>
        <v>31</v>
      </c>
      <c r="AA92" s="349">
        <f>U92</f>
        <v>84</v>
      </c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>
        <f>ROUNDUP(BI9+BM9+CF9,0)</f>
        <v>12</v>
      </c>
      <c r="AO92" s="349"/>
      <c r="AP92" s="354"/>
      <c r="AQ92" s="352">
        <f>ROUNDUP(BI8+CF8+BM8,0)</f>
        <v>7</v>
      </c>
      <c r="AR92" s="366">
        <f>C92</f>
        <v>59</v>
      </c>
      <c r="AS92" s="349"/>
      <c r="AT92" s="349"/>
      <c r="AU92" s="349"/>
      <c r="AV92" s="352"/>
      <c r="AW92" s="353">
        <f>AA92</f>
        <v>84</v>
      </c>
      <c r="AX92" s="349">
        <f>Z92</f>
        <v>31</v>
      </c>
      <c r="AY92" s="369">
        <f>AR92</f>
        <v>59</v>
      </c>
      <c r="AZ92" s="353"/>
      <c r="BA92" s="349"/>
      <c r="BB92" s="349"/>
      <c r="BC92" s="349"/>
      <c r="BD92" s="349"/>
      <c r="BE92" s="349"/>
      <c r="BF92" s="349"/>
      <c r="BG92" s="349"/>
      <c r="BH92" s="349"/>
      <c r="BI92" s="349">
        <v>1</v>
      </c>
      <c r="BJ92" s="349"/>
      <c r="BK92" s="349"/>
      <c r="BL92" s="349"/>
      <c r="BM92" s="349">
        <v>1</v>
      </c>
      <c r="BN92" s="349"/>
      <c r="BO92" s="349"/>
      <c r="BP92" s="349"/>
      <c r="BQ92" s="349"/>
      <c r="BR92" s="349"/>
      <c r="BS92" s="349"/>
      <c r="BT92" s="349"/>
      <c r="BU92" s="349"/>
      <c r="BV92" s="349"/>
      <c r="BW92" s="349"/>
      <c r="BX92" s="349"/>
      <c r="BY92" s="349"/>
      <c r="BZ92" s="349"/>
      <c r="CA92" s="349"/>
      <c r="CB92" s="349"/>
      <c r="CC92" s="354"/>
      <c r="CD92" s="354"/>
      <c r="CE92" s="354"/>
      <c r="CF92" s="354">
        <v>1</v>
      </c>
      <c r="CG92" s="354"/>
      <c r="CH92" s="354"/>
      <c r="CI92" s="354"/>
      <c r="CJ92" s="354"/>
      <c r="CK92" s="354"/>
      <c r="CL92" s="354"/>
      <c r="CM92" s="354"/>
      <c r="CN92" s="354"/>
      <c r="CO92" s="354"/>
      <c r="CP92" s="354"/>
      <c r="CQ92" s="354"/>
      <c r="CR92" s="354"/>
      <c r="CS92" s="354"/>
      <c r="CT92" s="354"/>
      <c r="CU92" s="354"/>
      <c r="CV92" s="354"/>
      <c r="CW92" s="354"/>
      <c r="CX92" s="354"/>
      <c r="CY92" s="354"/>
      <c r="CZ92" s="354"/>
      <c r="DA92" s="354"/>
      <c r="DB92" s="354"/>
      <c r="DC92" s="352"/>
      <c r="DJ92" s="58" t="s">
        <v>528</v>
      </c>
      <c r="DL92" s="364">
        <f>ROUNDUP(CA65*2500,0)</f>
        <v>0</v>
      </c>
    </row>
    <row r="93" spans="1:116">
      <c r="A93" s="394"/>
      <c r="B93" s="395" t="s">
        <v>464</v>
      </c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54"/>
      <c r="Q93" s="354"/>
      <c r="R93" s="354"/>
      <c r="S93" s="354"/>
      <c r="T93" s="352"/>
      <c r="U93" s="353"/>
      <c r="V93" s="353"/>
      <c r="W93" s="353"/>
      <c r="X93" s="349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349"/>
      <c r="AN93" s="349"/>
      <c r="AO93" s="349"/>
      <c r="AP93" s="354"/>
      <c r="AQ93" s="352"/>
      <c r="AR93" s="355"/>
      <c r="AS93" s="356"/>
      <c r="AT93" s="356"/>
      <c r="AU93" s="387"/>
      <c r="AV93" s="357"/>
      <c r="AW93" s="353"/>
      <c r="AX93" s="349"/>
      <c r="AY93" s="352"/>
      <c r="AZ93" s="372"/>
      <c r="BA93" s="373"/>
      <c r="BB93" s="373"/>
      <c r="BC93" s="373"/>
      <c r="BD93" s="373"/>
      <c r="BE93" s="373"/>
      <c r="BF93" s="373"/>
      <c r="BG93" s="373"/>
      <c r="BH93" s="373"/>
      <c r="BI93" s="373"/>
      <c r="BJ93" s="373"/>
      <c r="BK93" s="373"/>
      <c r="BL93" s="373"/>
      <c r="BM93" s="373"/>
      <c r="BN93" s="373"/>
      <c r="BO93" s="373"/>
      <c r="BP93" s="373"/>
      <c r="BQ93" s="373"/>
      <c r="BR93" s="373"/>
      <c r="BS93" s="373"/>
      <c r="BT93" s="373"/>
      <c r="BU93" s="373"/>
      <c r="BV93" s="373"/>
      <c r="BW93" s="373"/>
      <c r="BX93" s="373"/>
      <c r="BY93" s="373"/>
      <c r="BZ93" s="373"/>
      <c r="CA93" s="373"/>
      <c r="CB93" s="373"/>
      <c r="CC93" s="374"/>
      <c r="CD93" s="374"/>
      <c r="CE93" s="374"/>
      <c r="CF93" s="374"/>
      <c r="CG93" s="374"/>
      <c r="CH93" s="374"/>
      <c r="CI93" s="374"/>
      <c r="CJ93" s="374"/>
      <c r="CK93" s="374"/>
      <c r="CL93" s="374"/>
      <c r="CM93" s="374"/>
      <c r="CN93" s="374"/>
      <c r="CO93" s="374"/>
      <c r="CP93" s="374"/>
      <c r="CQ93" s="374"/>
      <c r="CR93" s="374"/>
      <c r="CS93" s="374"/>
      <c r="CT93" s="374"/>
      <c r="CU93" s="374"/>
      <c r="CV93" s="374"/>
      <c r="CW93" s="374"/>
      <c r="CX93" s="374"/>
      <c r="CY93" s="374"/>
      <c r="CZ93" s="374"/>
      <c r="DA93" s="374"/>
      <c r="DB93" s="392">
        <f>ROUNDUP(56.57,0)</f>
        <v>57</v>
      </c>
      <c r="DC93" s="375"/>
    </row>
    <row r="94" spans="1:116">
      <c r="A94" s="394"/>
      <c r="B94" s="396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54"/>
      <c r="Q94" s="354"/>
      <c r="R94" s="354"/>
      <c r="S94" s="354"/>
      <c r="T94" s="352"/>
      <c r="U94" s="353"/>
      <c r="V94" s="353"/>
      <c r="W94" s="353"/>
      <c r="X94" s="349"/>
      <c r="Y94" s="349"/>
      <c r="Z94" s="349"/>
      <c r="AA94" s="349"/>
      <c r="AB94" s="349"/>
      <c r="AC94" s="349"/>
      <c r="AD94" s="349"/>
      <c r="AE94" s="349"/>
      <c r="AF94" s="349"/>
      <c r="AG94" s="349"/>
      <c r="AH94" s="349"/>
      <c r="AI94" s="349"/>
      <c r="AJ94" s="349"/>
      <c r="AK94" s="349"/>
      <c r="AL94" s="349"/>
      <c r="AM94" s="349"/>
      <c r="AN94" s="349"/>
      <c r="AO94" s="349"/>
      <c r="AP94" s="354"/>
      <c r="AQ94" s="352"/>
      <c r="AR94" s="355"/>
      <c r="AS94" s="356"/>
      <c r="AT94" s="356"/>
      <c r="AU94" s="387"/>
      <c r="AV94" s="357"/>
      <c r="AW94" s="353"/>
      <c r="AX94" s="349"/>
      <c r="AY94" s="352"/>
      <c r="AZ94" s="372"/>
      <c r="BA94" s="373"/>
      <c r="BB94" s="373"/>
      <c r="BC94" s="373"/>
      <c r="BD94" s="373"/>
      <c r="BE94" s="373"/>
      <c r="BF94" s="373"/>
      <c r="BG94" s="373"/>
      <c r="BH94" s="373"/>
      <c r="BI94" s="373"/>
      <c r="BJ94" s="373"/>
      <c r="BK94" s="373"/>
      <c r="BL94" s="373"/>
      <c r="BM94" s="373"/>
      <c r="BN94" s="373"/>
      <c r="BO94" s="373"/>
      <c r="BP94" s="373"/>
      <c r="BQ94" s="373"/>
      <c r="BR94" s="373"/>
      <c r="BS94" s="373"/>
      <c r="BT94" s="373"/>
      <c r="BU94" s="373"/>
      <c r="BV94" s="373"/>
      <c r="BW94" s="373"/>
      <c r="BX94" s="373"/>
      <c r="BY94" s="373"/>
      <c r="BZ94" s="373"/>
      <c r="CA94" s="373"/>
      <c r="CB94" s="373"/>
      <c r="CC94" s="374"/>
      <c r="CD94" s="374"/>
      <c r="CE94" s="374"/>
      <c r="CF94" s="374"/>
      <c r="CG94" s="374"/>
      <c r="CH94" s="374"/>
      <c r="CI94" s="374"/>
      <c r="CJ94" s="374"/>
      <c r="CK94" s="374"/>
      <c r="CL94" s="374"/>
      <c r="CM94" s="374"/>
      <c r="CN94" s="374"/>
      <c r="CO94" s="374"/>
      <c r="CP94" s="374"/>
      <c r="CQ94" s="374"/>
      <c r="CR94" s="374"/>
      <c r="CS94" s="374"/>
      <c r="CT94" s="374"/>
      <c r="CU94" s="374"/>
      <c r="CV94" s="374"/>
      <c r="CW94" s="374"/>
      <c r="CX94" s="374"/>
      <c r="CY94" s="374"/>
      <c r="CZ94" s="374"/>
      <c r="DA94" s="374"/>
      <c r="DB94" s="374"/>
      <c r="DC94" s="375"/>
    </row>
    <row r="95" spans="1:116">
      <c r="A95" s="376"/>
      <c r="B95" s="396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54"/>
      <c r="Q95" s="354"/>
      <c r="R95" s="354"/>
      <c r="S95" s="354"/>
      <c r="T95" s="352"/>
      <c r="U95" s="353"/>
      <c r="V95" s="353"/>
      <c r="W95" s="353"/>
      <c r="X95" s="349"/>
      <c r="Y95" s="349"/>
      <c r="Z95" s="349"/>
      <c r="AA95" s="349"/>
      <c r="AB95" s="349"/>
      <c r="AC95" s="349"/>
      <c r="AD95" s="349"/>
      <c r="AE95" s="349"/>
      <c r="AF95" s="349"/>
      <c r="AG95" s="349"/>
      <c r="AH95" s="349"/>
      <c r="AI95" s="349"/>
      <c r="AJ95" s="349"/>
      <c r="AK95" s="349"/>
      <c r="AL95" s="349"/>
      <c r="AM95" s="349"/>
      <c r="AN95" s="349"/>
      <c r="AO95" s="349"/>
      <c r="AP95" s="354"/>
      <c r="AQ95" s="352"/>
      <c r="AR95" s="355"/>
      <c r="AS95" s="356"/>
      <c r="AT95" s="356"/>
      <c r="AU95" s="387"/>
      <c r="AV95" s="357"/>
      <c r="AW95" s="353"/>
      <c r="AX95" s="349"/>
      <c r="AY95" s="352"/>
      <c r="AZ95" s="372"/>
      <c r="BA95" s="373"/>
      <c r="BB95" s="373"/>
      <c r="BC95" s="373"/>
      <c r="BD95" s="373"/>
      <c r="BE95" s="373"/>
      <c r="BF95" s="373"/>
      <c r="BG95" s="373"/>
      <c r="BH95" s="373"/>
      <c r="BI95" s="373"/>
      <c r="BJ95" s="373"/>
      <c r="BK95" s="373"/>
      <c r="BL95" s="373"/>
      <c r="BM95" s="373"/>
      <c r="BN95" s="373"/>
      <c r="BO95" s="373"/>
      <c r="BP95" s="373"/>
      <c r="BQ95" s="373"/>
      <c r="BR95" s="373"/>
      <c r="BS95" s="373"/>
      <c r="BT95" s="373"/>
      <c r="BU95" s="373"/>
      <c r="BV95" s="373"/>
      <c r="BW95" s="373"/>
      <c r="BX95" s="373"/>
      <c r="BY95" s="373"/>
      <c r="BZ95" s="373"/>
      <c r="CA95" s="373"/>
      <c r="CB95" s="373"/>
      <c r="CC95" s="374"/>
      <c r="CD95" s="374"/>
      <c r="CE95" s="374"/>
      <c r="CF95" s="374"/>
      <c r="CG95" s="374"/>
      <c r="CH95" s="374"/>
      <c r="CI95" s="374"/>
      <c r="CJ95" s="374"/>
      <c r="CK95" s="374"/>
      <c r="CL95" s="374"/>
      <c r="CM95" s="374"/>
      <c r="CN95" s="374"/>
      <c r="CO95" s="374"/>
      <c r="CP95" s="374"/>
      <c r="CQ95" s="374"/>
      <c r="CR95" s="374"/>
      <c r="CS95" s="374"/>
      <c r="CT95" s="374"/>
      <c r="CU95" s="374"/>
      <c r="CV95" s="374"/>
      <c r="CW95" s="374"/>
      <c r="CX95" s="374"/>
      <c r="CY95" s="374"/>
      <c r="CZ95" s="374"/>
      <c r="DA95" s="374"/>
      <c r="DB95" s="374"/>
      <c r="DC95" s="375"/>
    </row>
    <row r="96" spans="1:116">
      <c r="A96" s="376"/>
      <c r="B96" s="396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54"/>
      <c r="Q96" s="354"/>
      <c r="R96" s="354"/>
      <c r="S96" s="354"/>
      <c r="T96" s="352"/>
      <c r="U96" s="353"/>
      <c r="V96" s="353"/>
      <c r="W96" s="353"/>
      <c r="X96" s="349"/>
      <c r="Y96" s="349"/>
      <c r="Z96" s="349"/>
      <c r="AA96" s="349"/>
      <c r="AB96" s="349"/>
      <c r="AC96" s="349"/>
      <c r="AD96" s="349"/>
      <c r="AE96" s="349"/>
      <c r="AF96" s="349"/>
      <c r="AG96" s="349"/>
      <c r="AH96" s="349"/>
      <c r="AI96" s="349"/>
      <c r="AJ96" s="349"/>
      <c r="AK96" s="349"/>
      <c r="AL96" s="349"/>
      <c r="AM96" s="349"/>
      <c r="AN96" s="349"/>
      <c r="AO96" s="349"/>
      <c r="AP96" s="354"/>
      <c r="AQ96" s="352"/>
      <c r="AR96" s="355"/>
      <c r="AS96" s="356"/>
      <c r="AT96" s="356"/>
      <c r="AU96" s="387"/>
      <c r="AV96" s="357"/>
      <c r="AW96" s="353"/>
      <c r="AX96" s="349"/>
      <c r="AY96" s="352"/>
      <c r="AZ96" s="372"/>
      <c r="BA96" s="373"/>
      <c r="BB96" s="373"/>
      <c r="BC96" s="373"/>
      <c r="BD96" s="373"/>
      <c r="BE96" s="373"/>
      <c r="BF96" s="373"/>
      <c r="BG96" s="373"/>
      <c r="BH96" s="373"/>
      <c r="BI96" s="373"/>
      <c r="BJ96" s="373"/>
      <c r="BK96" s="373"/>
      <c r="BL96" s="373"/>
      <c r="BM96" s="373"/>
      <c r="BN96" s="373"/>
      <c r="BO96" s="373"/>
      <c r="BP96" s="373"/>
      <c r="BQ96" s="373"/>
      <c r="BR96" s="373"/>
      <c r="BS96" s="373"/>
      <c r="BT96" s="373"/>
      <c r="BU96" s="373"/>
      <c r="BV96" s="373"/>
      <c r="BW96" s="373"/>
      <c r="BX96" s="373"/>
      <c r="BY96" s="373"/>
      <c r="BZ96" s="373"/>
      <c r="CA96" s="373"/>
      <c r="CB96" s="373"/>
      <c r="CC96" s="374"/>
      <c r="CD96" s="374"/>
      <c r="CE96" s="374"/>
      <c r="CF96" s="374"/>
      <c r="CG96" s="374"/>
      <c r="CH96" s="374"/>
      <c r="CI96" s="374"/>
      <c r="CJ96" s="374"/>
      <c r="CK96" s="374"/>
      <c r="CL96" s="374"/>
      <c r="CM96" s="374"/>
      <c r="CN96" s="374"/>
      <c r="CO96" s="374"/>
      <c r="CP96" s="374"/>
      <c r="CQ96" s="374"/>
      <c r="CR96" s="374"/>
      <c r="CS96" s="374"/>
      <c r="CT96" s="374"/>
      <c r="CU96" s="374"/>
      <c r="CV96" s="374"/>
      <c r="CW96" s="374"/>
      <c r="CX96" s="374"/>
      <c r="CY96" s="374"/>
      <c r="CZ96" s="374"/>
      <c r="DA96" s="374"/>
      <c r="DB96" s="374"/>
      <c r="DC96" s="375"/>
    </row>
    <row r="97" spans="1:107">
      <c r="A97" s="376"/>
      <c r="B97" s="353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54"/>
      <c r="Q97" s="354"/>
      <c r="R97" s="354"/>
      <c r="S97" s="354"/>
      <c r="T97" s="359"/>
      <c r="U97" s="353"/>
      <c r="V97" s="353"/>
      <c r="W97" s="353"/>
      <c r="X97" s="349"/>
      <c r="Y97" s="349"/>
      <c r="Z97" s="349"/>
      <c r="AA97" s="349"/>
      <c r="AB97" s="349"/>
      <c r="AC97" s="349"/>
      <c r="AD97" s="349"/>
      <c r="AE97" s="349"/>
      <c r="AF97" s="349"/>
      <c r="AG97" s="349"/>
      <c r="AH97" s="349"/>
      <c r="AI97" s="349"/>
      <c r="AJ97" s="349"/>
      <c r="AK97" s="349"/>
      <c r="AL97" s="349"/>
      <c r="AM97" s="349"/>
      <c r="AN97" s="349"/>
      <c r="AO97" s="349"/>
      <c r="AP97" s="354"/>
      <c r="AQ97" s="352"/>
      <c r="AR97" s="353"/>
      <c r="AS97" s="349"/>
      <c r="AT97" s="349"/>
      <c r="AU97" s="354"/>
      <c r="AV97" s="352"/>
      <c r="AW97" s="353"/>
      <c r="AX97" s="349"/>
      <c r="AY97" s="352"/>
      <c r="AZ97" s="372"/>
      <c r="BA97" s="373"/>
      <c r="BB97" s="373"/>
      <c r="BC97" s="373"/>
      <c r="BD97" s="373"/>
      <c r="BE97" s="373"/>
      <c r="BF97" s="373"/>
      <c r="BG97" s="373"/>
      <c r="BH97" s="373"/>
      <c r="BI97" s="373"/>
      <c r="BJ97" s="373"/>
      <c r="BK97" s="373"/>
      <c r="BL97" s="373"/>
      <c r="BM97" s="373"/>
      <c r="BN97" s="373"/>
      <c r="BO97" s="373"/>
      <c r="BP97" s="373"/>
      <c r="BQ97" s="373"/>
      <c r="BR97" s="373"/>
      <c r="BS97" s="373"/>
      <c r="BT97" s="373"/>
      <c r="BU97" s="373"/>
      <c r="BV97" s="373"/>
      <c r="BW97" s="373"/>
      <c r="BX97" s="373"/>
      <c r="BY97" s="373"/>
      <c r="BZ97" s="373"/>
      <c r="CA97" s="373"/>
      <c r="CB97" s="373"/>
      <c r="CC97" s="374"/>
      <c r="CD97" s="374"/>
      <c r="CE97" s="374"/>
      <c r="CF97" s="374"/>
      <c r="CG97" s="374"/>
      <c r="CH97" s="374"/>
      <c r="CI97" s="374"/>
      <c r="CJ97" s="374"/>
      <c r="CK97" s="374"/>
      <c r="CL97" s="374"/>
      <c r="CM97" s="374"/>
      <c r="CN97" s="374"/>
      <c r="CO97" s="374"/>
      <c r="CP97" s="374"/>
      <c r="CQ97" s="374"/>
      <c r="CR97" s="374"/>
      <c r="CS97" s="374"/>
      <c r="CT97" s="374"/>
      <c r="CU97" s="374"/>
      <c r="CV97" s="374"/>
      <c r="CW97" s="374"/>
      <c r="CX97" s="374"/>
      <c r="CY97" s="374"/>
      <c r="CZ97" s="374"/>
      <c r="DA97" s="374"/>
      <c r="DB97" s="374"/>
      <c r="DC97" s="375"/>
    </row>
    <row r="98" spans="1:107" ht="18.75">
      <c r="A98" s="376"/>
      <c r="B98" s="377" t="s">
        <v>171</v>
      </c>
      <c r="C98" s="378">
        <f t="shared" ref="C98:AQ98" si="25">SUM(C68:C97)</f>
        <v>188</v>
      </c>
      <c r="D98" s="378">
        <f t="shared" si="25"/>
        <v>1380</v>
      </c>
      <c r="E98" s="378">
        <f t="shared" si="25"/>
        <v>162</v>
      </c>
      <c r="F98" s="378">
        <f t="shared" si="25"/>
        <v>0</v>
      </c>
      <c r="G98" s="378">
        <f t="shared" si="25"/>
        <v>0</v>
      </c>
      <c r="H98" s="378">
        <f t="shared" si="25"/>
        <v>627</v>
      </c>
      <c r="I98" s="378">
        <f t="shared" si="25"/>
        <v>0</v>
      </c>
      <c r="J98" s="378">
        <f t="shared" si="25"/>
        <v>0</v>
      </c>
      <c r="K98" s="378">
        <f t="shared" si="25"/>
        <v>0</v>
      </c>
      <c r="L98" s="378">
        <f t="shared" si="25"/>
        <v>0</v>
      </c>
      <c r="M98" s="378">
        <f t="shared" si="25"/>
        <v>0</v>
      </c>
      <c r="N98" s="378">
        <f t="shared" si="25"/>
        <v>0</v>
      </c>
      <c r="O98" s="378">
        <f t="shared" si="25"/>
        <v>0</v>
      </c>
      <c r="P98" s="378">
        <f t="shared" si="25"/>
        <v>0</v>
      </c>
      <c r="Q98" s="378">
        <f t="shared" si="25"/>
        <v>0</v>
      </c>
      <c r="R98" s="378">
        <f t="shared" si="25"/>
        <v>0</v>
      </c>
      <c r="S98" s="378">
        <f t="shared" si="25"/>
        <v>0</v>
      </c>
      <c r="T98" s="380">
        <f t="shared" si="25"/>
        <v>162</v>
      </c>
      <c r="U98" s="381">
        <f t="shared" si="25"/>
        <v>1809</v>
      </c>
      <c r="V98" s="381">
        <f t="shared" si="25"/>
        <v>30</v>
      </c>
      <c r="W98" s="381">
        <f t="shared" si="25"/>
        <v>0</v>
      </c>
      <c r="X98" s="381">
        <f t="shared" si="25"/>
        <v>0</v>
      </c>
      <c r="Y98" s="381">
        <f t="shared" si="25"/>
        <v>0</v>
      </c>
      <c r="Z98" s="381">
        <f t="shared" si="25"/>
        <v>524</v>
      </c>
      <c r="AA98" s="381">
        <f t="shared" si="25"/>
        <v>2503</v>
      </c>
      <c r="AB98" s="381">
        <f t="shared" si="25"/>
        <v>0</v>
      </c>
      <c r="AC98" s="381">
        <f t="shared" si="25"/>
        <v>0</v>
      </c>
      <c r="AD98" s="381">
        <f t="shared" si="25"/>
        <v>604</v>
      </c>
      <c r="AE98" s="381">
        <f t="shared" si="25"/>
        <v>0</v>
      </c>
      <c r="AF98" s="381">
        <f t="shared" si="25"/>
        <v>0</v>
      </c>
      <c r="AG98" s="381">
        <f t="shared" si="25"/>
        <v>0</v>
      </c>
      <c r="AH98" s="381">
        <f t="shared" si="25"/>
        <v>0</v>
      </c>
      <c r="AI98" s="381">
        <f t="shared" si="25"/>
        <v>0</v>
      </c>
      <c r="AJ98" s="381">
        <f t="shared" si="25"/>
        <v>0</v>
      </c>
      <c r="AK98" s="381">
        <f t="shared" si="25"/>
        <v>0</v>
      </c>
      <c r="AL98" s="381">
        <f t="shared" si="25"/>
        <v>0</v>
      </c>
      <c r="AM98" s="381">
        <f t="shared" si="25"/>
        <v>0</v>
      </c>
      <c r="AN98" s="381">
        <f t="shared" si="25"/>
        <v>372</v>
      </c>
      <c r="AO98" s="381">
        <f t="shared" si="25"/>
        <v>2.9</v>
      </c>
      <c r="AP98" s="381">
        <f t="shared" si="25"/>
        <v>0</v>
      </c>
      <c r="AQ98" s="381">
        <f t="shared" si="25"/>
        <v>245.5</v>
      </c>
      <c r="AR98" s="381">
        <f t="shared" ref="AR98:AY98" si="26">SUM(AR73:AR97)</f>
        <v>894</v>
      </c>
      <c r="AS98" s="378">
        <f t="shared" si="26"/>
        <v>162</v>
      </c>
      <c r="AT98" s="378">
        <f t="shared" si="26"/>
        <v>0</v>
      </c>
      <c r="AU98" s="378">
        <f t="shared" si="26"/>
        <v>0</v>
      </c>
      <c r="AV98" s="380">
        <f t="shared" si="26"/>
        <v>0</v>
      </c>
      <c r="AW98" s="381">
        <f t="shared" si="26"/>
        <v>1101</v>
      </c>
      <c r="AX98" s="378">
        <f t="shared" si="26"/>
        <v>440</v>
      </c>
      <c r="AY98" s="380">
        <f t="shared" si="26"/>
        <v>1056</v>
      </c>
      <c r="AZ98" s="381">
        <f>SUM(AZ68:AZ97)</f>
        <v>1</v>
      </c>
      <c r="BA98" s="378">
        <f>SUM(BA73:BA97)</f>
        <v>3</v>
      </c>
      <c r="BB98" s="378">
        <f t="shared" ref="BB98:DB98" si="27">SUM(BB69:BB97)</f>
        <v>1</v>
      </c>
      <c r="BC98" s="378">
        <f t="shared" si="27"/>
        <v>1</v>
      </c>
      <c r="BD98" s="378">
        <f t="shared" si="27"/>
        <v>0</v>
      </c>
      <c r="BE98" s="378">
        <f t="shared" si="27"/>
        <v>0</v>
      </c>
      <c r="BF98" s="378">
        <f t="shared" si="27"/>
        <v>0</v>
      </c>
      <c r="BG98" s="378">
        <f t="shared" si="27"/>
        <v>1</v>
      </c>
      <c r="BH98" s="378">
        <f t="shared" si="27"/>
        <v>0</v>
      </c>
      <c r="BI98" s="378">
        <f t="shared" si="27"/>
        <v>1</v>
      </c>
      <c r="BJ98" s="378">
        <f t="shared" si="27"/>
        <v>1</v>
      </c>
      <c r="BK98" s="378">
        <f t="shared" si="27"/>
        <v>4</v>
      </c>
      <c r="BL98" s="378">
        <f t="shared" si="27"/>
        <v>1</v>
      </c>
      <c r="BM98" s="378">
        <f t="shared" si="27"/>
        <v>3</v>
      </c>
      <c r="BN98" s="378">
        <f t="shared" si="27"/>
        <v>16</v>
      </c>
      <c r="BO98" s="378">
        <f t="shared" si="27"/>
        <v>1</v>
      </c>
      <c r="BP98" s="378">
        <f t="shared" si="27"/>
        <v>0</v>
      </c>
      <c r="BQ98" s="378">
        <f t="shared" si="27"/>
        <v>0</v>
      </c>
      <c r="BR98" s="378">
        <f t="shared" si="27"/>
        <v>0</v>
      </c>
      <c r="BS98" s="378">
        <f t="shared" si="27"/>
        <v>0</v>
      </c>
      <c r="BT98" s="378">
        <f t="shared" si="27"/>
        <v>0</v>
      </c>
      <c r="BU98" s="378">
        <f t="shared" si="27"/>
        <v>0</v>
      </c>
      <c r="BV98" s="378">
        <f t="shared" si="27"/>
        <v>0</v>
      </c>
      <c r="BW98" s="378">
        <f t="shared" si="27"/>
        <v>20</v>
      </c>
      <c r="BX98" s="378"/>
      <c r="BY98" s="378">
        <f t="shared" si="27"/>
        <v>0</v>
      </c>
      <c r="BZ98" s="378">
        <f t="shared" si="27"/>
        <v>0</v>
      </c>
      <c r="CA98" s="378">
        <f t="shared" si="27"/>
        <v>1</v>
      </c>
      <c r="CB98" s="378">
        <f t="shared" si="27"/>
        <v>2</v>
      </c>
      <c r="CC98" s="378"/>
      <c r="CD98" s="378">
        <f t="shared" si="27"/>
        <v>6</v>
      </c>
      <c r="CE98" s="378"/>
      <c r="CF98" s="378">
        <f t="shared" si="27"/>
        <v>2</v>
      </c>
      <c r="CG98" s="378"/>
      <c r="CH98" s="378">
        <f t="shared" si="27"/>
        <v>0</v>
      </c>
      <c r="CI98" s="378">
        <f t="shared" si="27"/>
        <v>0</v>
      </c>
      <c r="CJ98" s="378">
        <f t="shared" si="27"/>
        <v>0</v>
      </c>
      <c r="CK98" s="378"/>
      <c r="CL98" s="378"/>
      <c r="CM98" s="378">
        <f t="shared" si="27"/>
        <v>0</v>
      </c>
      <c r="CN98" s="378">
        <f t="shared" si="27"/>
        <v>0</v>
      </c>
      <c r="CO98" s="378">
        <f t="shared" si="27"/>
        <v>0</v>
      </c>
      <c r="CP98" s="378">
        <f t="shared" si="27"/>
        <v>0</v>
      </c>
      <c r="CQ98" s="378">
        <f t="shared" si="27"/>
        <v>0</v>
      </c>
      <c r="CR98" s="378">
        <f t="shared" si="27"/>
        <v>0</v>
      </c>
      <c r="CS98" s="378">
        <f t="shared" si="27"/>
        <v>0</v>
      </c>
      <c r="CT98" s="378">
        <f t="shared" si="27"/>
        <v>0</v>
      </c>
      <c r="CU98" s="378">
        <f t="shared" si="27"/>
        <v>0</v>
      </c>
      <c r="CV98" s="378">
        <f t="shared" si="27"/>
        <v>0</v>
      </c>
      <c r="CW98" s="378">
        <f t="shared" si="27"/>
        <v>0</v>
      </c>
      <c r="CX98" s="378">
        <f t="shared" si="27"/>
        <v>0</v>
      </c>
      <c r="CY98" s="378">
        <f t="shared" si="27"/>
        <v>0</v>
      </c>
      <c r="CZ98" s="378">
        <f t="shared" si="27"/>
        <v>0</v>
      </c>
      <c r="DA98" s="378">
        <f t="shared" si="27"/>
        <v>0</v>
      </c>
      <c r="DB98" s="378">
        <f t="shared" si="27"/>
        <v>57</v>
      </c>
      <c r="DC98" s="380">
        <f>SUM(DC73:DC97)</f>
        <v>0</v>
      </c>
    </row>
    <row r="99" spans="1:107" ht="18.75">
      <c r="A99" s="397"/>
      <c r="B99" s="398"/>
      <c r="C99" s="399"/>
      <c r="D99" s="400"/>
      <c r="E99" s="400"/>
      <c r="F99" s="400"/>
      <c r="G99" s="400"/>
      <c r="H99" s="400"/>
      <c r="I99" s="400"/>
      <c r="J99" s="400"/>
      <c r="K99" s="400"/>
      <c r="L99" s="400"/>
      <c r="M99" s="400"/>
      <c r="N99" s="400"/>
      <c r="O99" s="400"/>
      <c r="P99" s="401"/>
      <c r="Q99" s="401"/>
      <c r="R99" s="401"/>
      <c r="S99" s="401"/>
      <c r="T99" s="402"/>
      <c r="U99" s="396"/>
      <c r="V99" s="396"/>
      <c r="W99" s="396"/>
      <c r="X99" s="399"/>
      <c r="Y99" s="399"/>
      <c r="Z99" s="399"/>
      <c r="AA99" s="399"/>
      <c r="AB99" s="399"/>
      <c r="AC99" s="399"/>
      <c r="AD99" s="399"/>
      <c r="AE99" s="399"/>
      <c r="AF99" s="399"/>
      <c r="AG99" s="399"/>
      <c r="AH99" s="399"/>
      <c r="AI99" s="399"/>
      <c r="AJ99" s="399"/>
      <c r="AK99" s="399"/>
      <c r="AL99" s="399"/>
      <c r="AM99" s="399"/>
      <c r="AN99" s="399"/>
      <c r="AO99" s="399"/>
      <c r="AP99" s="403"/>
      <c r="AQ99" s="404"/>
      <c r="AR99" s="396"/>
      <c r="AS99" s="399"/>
      <c r="AT99" s="399"/>
      <c r="AU99" s="403"/>
      <c r="AV99" s="404"/>
      <c r="AW99" s="396"/>
      <c r="AX99" s="399"/>
      <c r="AY99" s="404"/>
      <c r="AZ99" s="405"/>
      <c r="BA99" s="406"/>
      <c r="BB99" s="406"/>
      <c r="BC99" s="406"/>
      <c r="BD99" s="406"/>
      <c r="BE99" s="406"/>
      <c r="BF99" s="471"/>
      <c r="BG99" s="406"/>
      <c r="BH99" s="406"/>
      <c r="BI99" s="406"/>
      <c r="BJ99" s="406"/>
      <c r="BK99" s="406"/>
      <c r="BL99" s="406"/>
      <c r="BM99" s="406"/>
      <c r="BN99" s="406"/>
      <c r="BO99" s="406"/>
      <c r="BP99" s="471"/>
      <c r="BQ99" s="406"/>
      <c r="BR99" s="406"/>
      <c r="BS99" s="406"/>
      <c r="BT99" s="471"/>
      <c r="BU99" s="471"/>
      <c r="BV99" s="471"/>
      <c r="BW99" s="406"/>
      <c r="BX99" s="471"/>
      <c r="BY99" s="406"/>
      <c r="BZ99" s="406"/>
      <c r="CA99" s="406"/>
      <c r="CB99" s="406"/>
      <c r="CC99" s="473"/>
      <c r="CD99" s="407"/>
      <c r="CE99" s="473"/>
      <c r="CF99" s="407"/>
      <c r="CG99" s="473"/>
      <c r="CH99" s="407"/>
      <c r="CI99" s="407"/>
      <c r="CJ99" s="407"/>
      <c r="CK99" s="473"/>
      <c r="CL99" s="473"/>
      <c r="CM99" s="407"/>
      <c r="CN99" s="407"/>
      <c r="CO99" s="407"/>
      <c r="CP99" s="407"/>
      <c r="CQ99" s="407"/>
      <c r="CR99" s="473"/>
      <c r="CS99" s="473"/>
      <c r="CT99" s="407"/>
      <c r="CU99" s="407"/>
      <c r="CV99" s="407"/>
      <c r="CW99" s="407"/>
      <c r="CX99" s="407"/>
      <c r="CY99" s="407"/>
      <c r="CZ99" s="407"/>
      <c r="DA99" s="407"/>
      <c r="DB99" s="407"/>
      <c r="DC99" s="408"/>
    </row>
    <row r="100" spans="1:107">
      <c r="A100" s="397"/>
      <c r="B100" s="386" t="s">
        <v>248</v>
      </c>
      <c r="C100" s="399"/>
      <c r="D100" s="400"/>
      <c r="E100" s="400"/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1"/>
      <c r="Q100" s="401"/>
      <c r="R100" s="401"/>
      <c r="S100" s="401"/>
      <c r="T100" s="402"/>
      <c r="U100" s="396"/>
      <c r="V100" s="396"/>
      <c r="W100" s="396"/>
      <c r="X100" s="399"/>
      <c r="Y100" s="399"/>
      <c r="Z100" s="399"/>
      <c r="AA100" s="399"/>
      <c r="AB100" s="399"/>
      <c r="AC100" s="399"/>
      <c r="AD100" s="399"/>
      <c r="AE100" s="399"/>
      <c r="AF100" s="399"/>
      <c r="AG100" s="399"/>
      <c r="AH100" s="399"/>
      <c r="AI100" s="399"/>
      <c r="AJ100" s="399"/>
      <c r="AK100" s="399"/>
      <c r="AL100" s="399"/>
      <c r="AM100" s="399"/>
      <c r="AN100" s="399"/>
      <c r="AO100" s="399"/>
      <c r="AP100" s="403"/>
      <c r="AQ100" s="404"/>
      <c r="AR100" s="396"/>
      <c r="AS100" s="399"/>
      <c r="AT100" s="399"/>
      <c r="AU100" s="403"/>
      <c r="AV100" s="404"/>
      <c r="AW100" s="396"/>
      <c r="AX100" s="399"/>
      <c r="AY100" s="404"/>
      <c r="AZ100" s="405"/>
      <c r="BA100" s="406"/>
      <c r="BB100" s="406"/>
      <c r="BC100" s="406"/>
      <c r="BD100" s="406"/>
      <c r="BE100" s="406"/>
      <c r="BF100" s="471"/>
      <c r="BG100" s="406"/>
      <c r="BH100" s="406"/>
      <c r="BI100" s="406"/>
      <c r="BJ100" s="406"/>
      <c r="BK100" s="406"/>
      <c r="BL100" s="406"/>
      <c r="BM100" s="406"/>
      <c r="BN100" s="406"/>
      <c r="BO100" s="406"/>
      <c r="BP100" s="471"/>
      <c r="BQ100" s="406"/>
      <c r="BR100" s="406"/>
      <c r="BS100" s="406"/>
      <c r="BT100" s="471"/>
      <c r="BU100" s="471"/>
      <c r="BV100" s="471"/>
      <c r="BW100" s="406"/>
      <c r="BX100" s="471"/>
      <c r="BY100" s="406"/>
      <c r="BZ100" s="406"/>
      <c r="CA100" s="406"/>
      <c r="CB100" s="406"/>
      <c r="CC100" s="473"/>
      <c r="CD100" s="407"/>
      <c r="CE100" s="473"/>
      <c r="CF100" s="407"/>
      <c r="CG100" s="473"/>
      <c r="CH100" s="407"/>
      <c r="CI100" s="407"/>
      <c r="CJ100" s="407"/>
      <c r="CK100" s="473"/>
      <c r="CL100" s="473"/>
      <c r="CM100" s="407"/>
      <c r="CN100" s="407"/>
      <c r="CO100" s="407"/>
      <c r="CP100" s="407"/>
      <c r="CQ100" s="407"/>
      <c r="CR100" s="473"/>
      <c r="CS100" s="473"/>
      <c r="CT100" s="407"/>
      <c r="CU100" s="407"/>
      <c r="CV100" s="407"/>
      <c r="CW100" s="407"/>
      <c r="CX100" s="407"/>
      <c r="CY100" s="407"/>
      <c r="CZ100" s="407"/>
      <c r="DA100" s="407"/>
      <c r="DB100" s="407"/>
      <c r="DC100" s="408"/>
    </row>
    <row r="101" spans="1:107">
      <c r="A101" s="397"/>
      <c r="B101" s="358"/>
      <c r="C101" s="399"/>
      <c r="D101" s="400"/>
      <c r="E101" s="400"/>
      <c r="F101" s="400"/>
      <c r="G101" s="400"/>
      <c r="H101" s="400"/>
      <c r="I101" s="400"/>
      <c r="J101" s="400"/>
      <c r="K101" s="400"/>
      <c r="L101" s="400"/>
      <c r="M101" s="400"/>
      <c r="N101" s="400"/>
      <c r="O101" s="400"/>
      <c r="P101" s="401"/>
      <c r="Q101" s="401"/>
      <c r="R101" s="401"/>
      <c r="S101" s="401"/>
      <c r="T101" s="352">
        <f t="shared" ref="T101:T150" si="28">SUM(C101:O101)</f>
        <v>0</v>
      </c>
      <c r="U101" s="396"/>
      <c r="V101" s="396"/>
      <c r="W101" s="396"/>
      <c r="X101" s="399"/>
      <c r="Y101" s="399"/>
      <c r="Z101" s="399"/>
      <c r="AA101" s="399"/>
      <c r="AB101" s="399"/>
      <c r="AC101" s="399"/>
      <c r="AD101" s="399"/>
      <c r="AE101" s="399"/>
      <c r="AF101" s="399"/>
      <c r="AG101" s="399"/>
      <c r="AH101" s="399"/>
      <c r="AI101" s="399"/>
      <c r="AJ101" s="399"/>
      <c r="AK101" s="399"/>
      <c r="AL101" s="399"/>
      <c r="AM101" s="399"/>
      <c r="AN101" s="399"/>
      <c r="AO101" s="399"/>
      <c r="AP101" s="403"/>
      <c r="AQ101" s="404"/>
      <c r="AR101" s="396"/>
      <c r="AS101" s="399"/>
      <c r="AT101" s="399"/>
      <c r="AU101" s="403"/>
      <c r="AV101" s="404"/>
      <c r="AW101" s="396"/>
      <c r="AX101" s="399"/>
      <c r="AY101" s="404"/>
      <c r="AZ101" s="405"/>
      <c r="BA101" s="406"/>
      <c r="BB101" s="406"/>
      <c r="BC101" s="406"/>
      <c r="BD101" s="406"/>
      <c r="BE101" s="406"/>
      <c r="BF101" s="471"/>
      <c r="BG101" s="406"/>
      <c r="BH101" s="406"/>
      <c r="BI101" s="406"/>
      <c r="BJ101" s="406"/>
      <c r="BK101" s="406"/>
      <c r="BL101" s="406"/>
      <c r="BM101" s="406"/>
      <c r="BN101" s="406"/>
      <c r="BO101" s="406"/>
      <c r="BP101" s="471"/>
      <c r="BQ101" s="406"/>
      <c r="BR101" s="406"/>
      <c r="BS101" s="406"/>
      <c r="BT101" s="471"/>
      <c r="BU101" s="471"/>
      <c r="BV101" s="471"/>
      <c r="BW101" s="406"/>
      <c r="BX101" s="471"/>
      <c r="BY101" s="406"/>
      <c r="BZ101" s="406"/>
      <c r="CA101" s="406"/>
      <c r="CB101" s="406"/>
      <c r="CC101" s="473"/>
      <c r="CD101" s="407"/>
      <c r="CE101" s="473"/>
      <c r="CF101" s="407"/>
      <c r="CG101" s="473"/>
      <c r="CH101" s="407"/>
      <c r="CI101" s="407"/>
      <c r="CJ101" s="407"/>
      <c r="CK101" s="473"/>
      <c r="CL101" s="473"/>
      <c r="CM101" s="407"/>
      <c r="CN101" s="407"/>
      <c r="CO101" s="407"/>
      <c r="CP101" s="407"/>
      <c r="CQ101" s="407"/>
      <c r="CR101" s="473"/>
      <c r="CS101" s="473"/>
      <c r="CT101" s="407"/>
      <c r="CU101" s="407"/>
      <c r="CV101" s="407"/>
      <c r="CW101" s="407"/>
      <c r="CX101" s="407"/>
      <c r="CY101" s="407"/>
      <c r="CZ101" s="407"/>
      <c r="DA101" s="407"/>
      <c r="DB101" s="407"/>
      <c r="DC101" s="408"/>
    </row>
    <row r="102" spans="1:107">
      <c r="A102" s="347"/>
      <c r="B102" s="360" t="s">
        <v>463</v>
      </c>
      <c r="C102" s="349"/>
      <c r="D102" s="367">
        <f>ROUNDUP(993.49+73.44,0)</f>
        <v>1067</v>
      </c>
      <c r="E102" s="350"/>
      <c r="F102" s="367"/>
      <c r="G102" s="350"/>
      <c r="H102" s="350"/>
      <c r="I102" s="350"/>
      <c r="J102" s="361"/>
      <c r="K102" s="350"/>
      <c r="L102" s="350"/>
      <c r="M102" s="350"/>
      <c r="N102" s="350"/>
      <c r="O102" s="350"/>
      <c r="P102" s="351"/>
      <c r="Q102" s="351"/>
      <c r="R102" s="351"/>
      <c r="S102" s="351"/>
      <c r="T102" s="352"/>
      <c r="U102" s="353"/>
      <c r="V102" s="353"/>
      <c r="W102" s="353"/>
      <c r="X102" s="349"/>
      <c r="Y102" s="349"/>
      <c r="Z102" s="349"/>
      <c r="AA102" s="349">
        <f>ROUNDUP(((69+5.5+4.92+2+2.5+2+1.5+10.1+(7.2*8)+(12.3*2)+8.6+4.5+3.3+17.9+2.5+1.3+13.6+6.3+2.4)*2.9)-((BE7*2)+BJ7+(BK7*4)+BL7+BM7+(BN7*28)),0)</f>
        <v>590</v>
      </c>
      <c r="AB102" s="349"/>
      <c r="AC102" s="349"/>
      <c r="AD102" s="349"/>
      <c r="AE102" s="349"/>
      <c r="AF102" s="349"/>
      <c r="AG102" s="349"/>
      <c r="AH102" s="349"/>
      <c r="AI102" s="349"/>
      <c r="AJ102" s="349"/>
      <c r="AK102" s="349"/>
      <c r="AL102" s="349"/>
      <c r="AM102" s="349"/>
      <c r="AN102" s="349"/>
      <c r="AO102" s="349"/>
      <c r="AP102" s="354"/>
      <c r="AQ102" s="352"/>
      <c r="AR102" s="389">
        <f>D102</f>
        <v>1067</v>
      </c>
      <c r="AS102" s="356"/>
      <c r="AT102" s="362"/>
      <c r="AU102" s="356"/>
      <c r="AV102" s="357"/>
      <c r="AW102" s="355"/>
      <c r="AX102" s="356"/>
      <c r="AY102" s="369">
        <f t="shared" ref="AY102:AY134" si="29">AR102</f>
        <v>1067</v>
      </c>
      <c r="AZ102" s="363"/>
      <c r="BA102" s="350"/>
      <c r="BB102" s="350"/>
      <c r="BC102" s="350"/>
      <c r="BD102" s="350"/>
      <c r="BE102" s="350"/>
      <c r="BF102" s="350"/>
      <c r="BG102" s="350"/>
      <c r="BH102" s="350"/>
      <c r="BI102" s="350"/>
      <c r="BJ102" s="350"/>
      <c r="BK102" s="350"/>
      <c r="BL102" s="350"/>
      <c r="BM102" s="350"/>
      <c r="BN102" s="350"/>
      <c r="BO102" s="350"/>
      <c r="BP102" s="350"/>
      <c r="BQ102" s="350"/>
      <c r="BR102" s="350"/>
      <c r="BS102" s="350"/>
      <c r="BT102" s="350"/>
      <c r="BU102" s="350"/>
      <c r="BV102" s="350"/>
      <c r="BW102" s="350"/>
      <c r="BX102" s="350"/>
      <c r="BY102" s="350"/>
      <c r="BZ102" s="350"/>
      <c r="CA102" s="350"/>
      <c r="CB102" s="361"/>
      <c r="CC102" s="392"/>
      <c r="CD102" s="351"/>
      <c r="CE102" s="351"/>
      <c r="CF102" s="351"/>
      <c r="CG102" s="351"/>
      <c r="CH102" s="351"/>
      <c r="CI102" s="351"/>
      <c r="CJ102" s="351"/>
      <c r="CK102" s="351"/>
      <c r="CL102" s="351"/>
      <c r="CM102" s="351"/>
      <c r="CN102" s="351"/>
      <c r="CO102" s="351"/>
      <c r="CP102" s="351"/>
      <c r="CQ102" s="351"/>
      <c r="CR102" s="351"/>
      <c r="CS102" s="351"/>
      <c r="CT102" s="351"/>
      <c r="CU102" s="351"/>
      <c r="CV102" s="351"/>
      <c r="CW102" s="351"/>
      <c r="CX102" s="351"/>
      <c r="CY102" s="351"/>
      <c r="CZ102" s="351"/>
      <c r="DA102" s="351"/>
      <c r="DB102" s="351"/>
      <c r="DC102" s="359"/>
    </row>
    <row r="103" spans="1:107">
      <c r="A103" s="347"/>
      <c r="B103" s="366" t="s">
        <v>489</v>
      </c>
      <c r="C103" s="367">
        <f>ROUNDUP(20.58,0)</f>
        <v>21</v>
      </c>
      <c r="D103" s="350"/>
      <c r="E103" s="350"/>
      <c r="F103" s="367"/>
      <c r="G103" s="367"/>
      <c r="H103" s="350"/>
      <c r="I103" s="350"/>
      <c r="J103" s="361"/>
      <c r="K103" s="350"/>
      <c r="L103" s="350"/>
      <c r="M103" s="350"/>
      <c r="N103" s="350"/>
      <c r="O103" s="350"/>
      <c r="P103" s="351"/>
      <c r="Q103" s="351"/>
      <c r="R103" s="351"/>
      <c r="S103" s="351"/>
      <c r="T103" s="352"/>
      <c r="U103" s="353">
        <f>ROUNDUP((22*2.9)-(BM7+CB7),0)</f>
        <v>59</v>
      </c>
      <c r="V103" s="353"/>
      <c r="W103" s="353"/>
      <c r="X103" s="349"/>
      <c r="Y103" s="349"/>
      <c r="Z103" s="349"/>
      <c r="AA103" s="349">
        <f>U103</f>
        <v>59</v>
      </c>
      <c r="AB103" s="349"/>
      <c r="AC103" s="349"/>
      <c r="AD103" s="349"/>
      <c r="AE103" s="349"/>
      <c r="AF103" s="349"/>
      <c r="AG103" s="349"/>
      <c r="AH103" s="349"/>
      <c r="AI103" s="349"/>
      <c r="AJ103" s="349"/>
      <c r="AK103" s="349"/>
      <c r="AL103" s="349"/>
      <c r="AM103" s="349"/>
      <c r="AN103" s="349">
        <f>ROUNDUP(BM9+CB9,0)</f>
        <v>8</v>
      </c>
      <c r="AO103" s="349"/>
      <c r="AP103" s="354"/>
      <c r="AQ103" s="352">
        <f>ROUNDUP(BM8+CB8,0)</f>
        <v>5</v>
      </c>
      <c r="AR103" s="389">
        <f>C103</f>
        <v>21</v>
      </c>
      <c r="AS103" s="356"/>
      <c r="AT103" s="362"/>
      <c r="AU103" s="356"/>
      <c r="AV103" s="357"/>
      <c r="AW103" s="355">
        <f t="shared" ref="AW103:AW134" si="30">AA103</f>
        <v>59</v>
      </c>
      <c r="AX103" s="356"/>
      <c r="AY103" s="369">
        <f t="shared" si="29"/>
        <v>21</v>
      </c>
      <c r="AZ103" s="363"/>
      <c r="BA103" s="350"/>
      <c r="BB103" s="350"/>
      <c r="BC103" s="350"/>
      <c r="BD103" s="350"/>
      <c r="BE103" s="350"/>
      <c r="BF103" s="350"/>
      <c r="BG103" s="350"/>
      <c r="BH103" s="350"/>
      <c r="BI103" s="350"/>
      <c r="BJ103" s="350"/>
      <c r="BK103" s="350"/>
      <c r="BL103" s="350"/>
      <c r="BM103" s="361">
        <v>1</v>
      </c>
      <c r="BN103" s="350"/>
      <c r="BO103" s="350"/>
      <c r="BP103" s="350"/>
      <c r="BQ103" s="350"/>
      <c r="BR103" s="350"/>
      <c r="BS103" s="350"/>
      <c r="BT103" s="350"/>
      <c r="BU103" s="350"/>
      <c r="BV103" s="350"/>
      <c r="BW103" s="350"/>
      <c r="BX103" s="350"/>
      <c r="BY103" s="350"/>
      <c r="BZ103" s="350"/>
      <c r="CA103" s="350"/>
      <c r="CB103" s="361">
        <v>1</v>
      </c>
      <c r="CC103" s="392"/>
      <c r="CD103" s="351"/>
      <c r="CE103" s="351"/>
      <c r="CF103" s="351"/>
      <c r="CG103" s="351"/>
      <c r="CH103" s="351"/>
      <c r="CI103" s="351"/>
      <c r="CJ103" s="351"/>
      <c r="CK103" s="351"/>
      <c r="CL103" s="351"/>
      <c r="CM103" s="351"/>
      <c r="CN103" s="351"/>
      <c r="CO103" s="351"/>
      <c r="CP103" s="351"/>
      <c r="CQ103" s="351"/>
      <c r="CR103" s="351"/>
      <c r="CS103" s="351"/>
      <c r="CT103" s="351"/>
      <c r="CU103" s="351"/>
      <c r="CV103" s="351"/>
      <c r="CW103" s="351"/>
      <c r="CX103" s="351"/>
      <c r="CY103" s="351"/>
      <c r="CZ103" s="351"/>
      <c r="DA103" s="351"/>
      <c r="DB103" s="351"/>
      <c r="DC103" s="359"/>
    </row>
    <row r="104" spans="1:107">
      <c r="A104" s="347"/>
      <c r="B104" s="366" t="s">
        <v>490</v>
      </c>
      <c r="C104" s="367">
        <f>ROUNDUP(29.68,0)</f>
        <v>30</v>
      </c>
      <c r="D104" s="350"/>
      <c r="E104" s="350"/>
      <c r="F104" s="367"/>
      <c r="G104" s="367"/>
      <c r="H104" s="350"/>
      <c r="I104" s="350"/>
      <c r="J104" s="361"/>
      <c r="K104" s="350"/>
      <c r="L104" s="350"/>
      <c r="M104" s="350"/>
      <c r="N104" s="350"/>
      <c r="O104" s="350"/>
      <c r="P104" s="351"/>
      <c r="Q104" s="351"/>
      <c r="R104" s="351"/>
      <c r="S104" s="351"/>
      <c r="T104" s="352"/>
      <c r="U104" s="353">
        <f>ROUNDUP((21.83*4.7)-(BG7+CA7),0)</f>
        <v>97</v>
      </c>
      <c r="V104" s="353"/>
      <c r="W104" s="353"/>
      <c r="X104" s="349"/>
      <c r="Y104" s="349"/>
      <c r="Z104" s="349">
        <f>ROUNDUP(((6+3.3)*4.7)-BW7,0)</f>
        <v>36</v>
      </c>
      <c r="AA104" s="349">
        <f>U104</f>
        <v>97</v>
      </c>
      <c r="AB104" s="349"/>
      <c r="AC104" s="349"/>
      <c r="AD104" s="349"/>
      <c r="AE104" s="349"/>
      <c r="AF104" s="349"/>
      <c r="AG104" s="349"/>
      <c r="AH104" s="349"/>
      <c r="AI104" s="349"/>
      <c r="AJ104" s="349"/>
      <c r="AK104" s="349"/>
      <c r="AL104" s="349"/>
      <c r="AM104" s="349"/>
      <c r="AN104" s="349">
        <f>ROUNDUP(BG9+BW9,0)</f>
        <v>8</v>
      </c>
      <c r="AO104" s="349"/>
      <c r="AP104" s="354"/>
      <c r="AQ104" s="352">
        <f>ROUNDUP(BG8+BW8,0)</f>
        <v>13</v>
      </c>
      <c r="AR104" s="389">
        <f>C104</f>
        <v>30</v>
      </c>
      <c r="AS104" s="356"/>
      <c r="AT104" s="362"/>
      <c r="AU104" s="356"/>
      <c r="AV104" s="357"/>
      <c r="AW104" s="355">
        <f t="shared" si="30"/>
        <v>97</v>
      </c>
      <c r="AX104" s="356">
        <f t="shared" ref="AX104:AX118" si="31">Z104</f>
        <v>36</v>
      </c>
      <c r="AY104" s="369">
        <f t="shared" si="29"/>
        <v>30</v>
      </c>
      <c r="AZ104" s="363"/>
      <c r="BA104" s="350"/>
      <c r="BB104" s="350"/>
      <c r="BC104" s="350"/>
      <c r="BD104" s="350"/>
      <c r="BE104" s="361">
        <v>1</v>
      </c>
      <c r="BF104" s="361"/>
      <c r="BG104" s="361"/>
      <c r="BH104" s="350"/>
      <c r="BI104" s="350"/>
      <c r="BJ104" s="350"/>
      <c r="BK104" s="350"/>
      <c r="BL104" s="350"/>
      <c r="BM104" s="361"/>
      <c r="BN104" s="350"/>
      <c r="BO104" s="350"/>
      <c r="BP104" s="350"/>
      <c r="BQ104" s="350"/>
      <c r="BR104" s="350"/>
      <c r="BS104" s="350"/>
      <c r="BT104" s="350"/>
      <c r="BU104" s="350"/>
      <c r="BV104" s="350"/>
      <c r="BW104" s="350"/>
      <c r="BX104" s="350"/>
      <c r="BY104" s="350"/>
      <c r="BZ104" s="350"/>
      <c r="CA104" s="361">
        <v>1</v>
      </c>
      <c r="CB104" s="361"/>
      <c r="CC104" s="392"/>
      <c r="CD104" s="351"/>
      <c r="CE104" s="351"/>
      <c r="CF104" s="351"/>
      <c r="CG104" s="351"/>
      <c r="CH104" s="351"/>
      <c r="CI104" s="351"/>
      <c r="CJ104" s="351"/>
      <c r="CK104" s="351"/>
      <c r="CL104" s="351"/>
      <c r="CM104" s="351"/>
      <c r="CN104" s="351"/>
      <c r="CO104" s="351"/>
      <c r="CP104" s="351"/>
      <c r="CQ104" s="351"/>
      <c r="CR104" s="351"/>
      <c r="CS104" s="351"/>
      <c r="CT104" s="351"/>
      <c r="CU104" s="351"/>
      <c r="CV104" s="351"/>
      <c r="CW104" s="351"/>
      <c r="CX104" s="351"/>
      <c r="CY104" s="351"/>
      <c r="CZ104" s="351"/>
      <c r="DA104" s="351"/>
      <c r="DB104" s="351"/>
      <c r="DC104" s="359"/>
    </row>
    <row r="105" spans="1:107">
      <c r="A105" s="347"/>
      <c r="B105" s="360" t="s">
        <v>486</v>
      </c>
      <c r="C105" s="367">
        <f>ROUNDUP(25.78,0)</f>
        <v>26</v>
      </c>
      <c r="D105" s="350"/>
      <c r="E105" s="350"/>
      <c r="F105" s="367"/>
      <c r="G105" s="350"/>
      <c r="H105" s="350"/>
      <c r="I105" s="350"/>
      <c r="J105" s="361"/>
      <c r="K105" s="350"/>
      <c r="L105" s="350"/>
      <c r="M105" s="350"/>
      <c r="N105" s="350"/>
      <c r="O105" s="350"/>
      <c r="P105" s="351"/>
      <c r="Q105" s="351"/>
      <c r="R105" s="351"/>
      <c r="S105" s="351"/>
      <c r="T105" s="352"/>
      <c r="U105" s="353">
        <f>ROUNDUP(((5.8*2)*4.7)-BJ7,0)</f>
        <v>53</v>
      </c>
      <c r="V105" s="353">
        <f>ROUNDUP((3.11*2)*4.7,0)</f>
        <v>30</v>
      </c>
      <c r="W105" s="353"/>
      <c r="X105" s="349"/>
      <c r="Y105" s="349"/>
      <c r="Z105" s="349">
        <f>ROUNDUP((11.3*4.7)-(BJ7+CB7),0)</f>
        <v>48</v>
      </c>
      <c r="AA105" s="349">
        <f>ROUNDUP((U105/2)+(V105*2),0)</f>
        <v>87</v>
      </c>
      <c r="AB105" s="349"/>
      <c r="AC105" s="349"/>
      <c r="AD105" s="349"/>
      <c r="AE105" s="349"/>
      <c r="AF105" s="349"/>
      <c r="AG105" s="349"/>
      <c r="AH105" s="349"/>
      <c r="AI105" s="349"/>
      <c r="AJ105" s="349"/>
      <c r="AK105" s="349"/>
      <c r="AL105" s="349"/>
      <c r="AM105" s="349"/>
      <c r="AN105" s="349">
        <f>ROUNDUP((3*4.7)+BJ9,0)</f>
        <v>19</v>
      </c>
      <c r="AO105" s="349"/>
      <c r="AP105" s="354"/>
      <c r="AQ105" s="352">
        <f>BJ8</f>
        <v>1.1000000000000001</v>
      </c>
      <c r="AR105" s="389">
        <f>C105</f>
        <v>26</v>
      </c>
      <c r="AS105" s="356"/>
      <c r="AT105" s="362"/>
      <c r="AU105" s="356"/>
      <c r="AV105" s="357"/>
      <c r="AW105" s="355">
        <f t="shared" si="30"/>
        <v>87</v>
      </c>
      <c r="AX105" s="356">
        <f t="shared" si="31"/>
        <v>48</v>
      </c>
      <c r="AY105" s="369">
        <f t="shared" si="29"/>
        <v>26</v>
      </c>
      <c r="AZ105" s="363"/>
      <c r="BA105" s="350"/>
      <c r="BB105" s="350"/>
      <c r="BC105" s="350"/>
      <c r="BD105" s="350"/>
      <c r="BE105" s="350"/>
      <c r="BF105" s="350"/>
      <c r="BG105" s="350"/>
      <c r="BH105" s="350"/>
      <c r="BI105" s="350"/>
      <c r="BJ105" s="361">
        <v>1</v>
      </c>
      <c r="BK105" s="350"/>
      <c r="BL105" s="350"/>
      <c r="BM105" s="350"/>
      <c r="BN105" s="350"/>
      <c r="BO105" s="350"/>
      <c r="BP105" s="350"/>
      <c r="BQ105" s="350"/>
      <c r="BR105" s="350"/>
      <c r="BS105" s="350"/>
      <c r="BT105" s="350"/>
      <c r="BU105" s="350"/>
      <c r="BV105" s="350"/>
      <c r="BW105" s="350"/>
      <c r="BX105" s="350"/>
      <c r="BY105" s="350"/>
      <c r="BZ105" s="350"/>
      <c r="CA105" s="350"/>
      <c r="CB105" s="350"/>
      <c r="CC105" s="351"/>
      <c r="CD105" s="351"/>
      <c r="CE105" s="351"/>
      <c r="CF105" s="351"/>
      <c r="CG105" s="351"/>
      <c r="CH105" s="351"/>
      <c r="CI105" s="351"/>
      <c r="CJ105" s="351"/>
      <c r="CK105" s="351"/>
      <c r="CL105" s="351"/>
      <c r="CM105" s="351"/>
      <c r="CN105" s="351"/>
      <c r="CO105" s="351"/>
      <c r="CP105" s="351"/>
      <c r="CQ105" s="351"/>
      <c r="CR105" s="351"/>
      <c r="CS105" s="351"/>
      <c r="CT105" s="351"/>
      <c r="CU105" s="351"/>
      <c r="CV105" s="351"/>
      <c r="CW105" s="351"/>
      <c r="CX105" s="351"/>
      <c r="CY105" s="351"/>
      <c r="CZ105" s="351"/>
      <c r="DA105" s="351"/>
      <c r="DB105" s="351"/>
      <c r="DC105" s="359"/>
    </row>
    <row r="106" spans="1:107" s="59" customFormat="1">
      <c r="A106" s="365"/>
      <c r="B106" s="366" t="s">
        <v>491</v>
      </c>
      <c r="C106" s="349"/>
      <c r="D106" s="367">
        <f>ROUNDUP(79.06,0)</f>
        <v>80</v>
      </c>
      <c r="E106" s="367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54"/>
      <c r="Q106" s="354"/>
      <c r="R106" s="354"/>
      <c r="S106" s="354"/>
      <c r="T106" s="352"/>
      <c r="U106" s="353">
        <f>ROUNDUP((39*2.9)-(BE7+CA7),0)</f>
        <v>106</v>
      </c>
      <c r="V106" s="353"/>
      <c r="W106" s="353"/>
      <c r="X106" s="349"/>
      <c r="Y106" s="349"/>
      <c r="Z106" s="349"/>
      <c r="AA106" s="349">
        <f>U106</f>
        <v>106</v>
      </c>
      <c r="AB106" s="349"/>
      <c r="AC106" s="349"/>
      <c r="AD106" s="349"/>
      <c r="AE106" s="349"/>
      <c r="AF106" s="349"/>
      <c r="AG106" s="349"/>
      <c r="AH106" s="349"/>
      <c r="AI106" s="349"/>
      <c r="AJ106" s="349"/>
      <c r="AK106" s="349"/>
      <c r="AL106" s="349"/>
      <c r="AM106" s="349"/>
      <c r="AN106" s="349">
        <f>ROUNDUP(BE9+CA9,0)</f>
        <v>7</v>
      </c>
      <c r="AO106" s="349"/>
      <c r="AP106" s="354"/>
      <c r="AQ106" s="352">
        <f>ROUNDUP(BE8+CA8,0)</f>
        <v>13</v>
      </c>
      <c r="AR106" s="366">
        <f>D106</f>
        <v>80</v>
      </c>
      <c r="AS106" s="349"/>
      <c r="AT106" s="349"/>
      <c r="AU106" s="349"/>
      <c r="AV106" s="352"/>
      <c r="AW106" s="355">
        <f t="shared" si="30"/>
        <v>106</v>
      </c>
      <c r="AX106" s="356">
        <f t="shared" si="31"/>
        <v>0</v>
      </c>
      <c r="AY106" s="369">
        <f t="shared" si="29"/>
        <v>80</v>
      </c>
      <c r="AZ106" s="353"/>
      <c r="BA106" s="349"/>
      <c r="BB106" s="349"/>
      <c r="BC106" s="349"/>
      <c r="BD106" s="349"/>
      <c r="BE106" s="349"/>
      <c r="BF106" s="349"/>
      <c r="BG106" s="409">
        <v>1</v>
      </c>
      <c r="BH106" s="349"/>
      <c r="BI106" s="349"/>
      <c r="BJ106" s="349"/>
      <c r="BK106" s="349"/>
      <c r="BL106" s="349"/>
      <c r="BM106" s="349"/>
      <c r="BN106" s="367"/>
      <c r="BO106" s="367"/>
      <c r="BP106" s="367"/>
      <c r="BQ106" s="349"/>
      <c r="BR106" s="349"/>
      <c r="BS106" s="349"/>
      <c r="BT106" s="349"/>
      <c r="BU106" s="349"/>
      <c r="BV106" s="349"/>
      <c r="BW106" s="367"/>
      <c r="BX106" s="367"/>
      <c r="BY106" s="349"/>
      <c r="BZ106" s="349"/>
      <c r="CA106" s="367">
        <v>1</v>
      </c>
      <c r="CB106" s="349"/>
      <c r="CC106" s="354"/>
      <c r="CD106" s="354"/>
      <c r="CE106" s="354"/>
      <c r="CF106" s="354"/>
      <c r="CG106" s="354"/>
      <c r="CH106" s="354"/>
      <c r="CI106" s="354"/>
      <c r="CJ106" s="354"/>
      <c r="CK106" s="354"/>
      <c r="CL106" s="354"/>
      <c r="CM106" s="354"/>
      <c r="CN106" s="354"/>
      <c r="CO106" s="354"/>
      <c r="CP106" s="354"/>
      <c r="CQ106" s="354"/>
      <c r="CR106" s="354"/>
      <c r="CS106" s="354"/>
      <c r="CT106" s="354"/>
      <c r="CU106" s="354"/>
      <c r="CV106" s="354"/>
      <c r="CW106" s="354"/>
      <c r="CX106" s="354"/>
      <c r="CY106" s="354"/>
      <c r="CZ106" s="354"/>
      <c r="DA106" s="354"/>
      <c r="DB106" s="354"/>
      <c r="DC106" s="352"/>
    </row>
    <row r="107" spans="1:107" s="59" customFormat="1">
      <c r="A107" s="365"/>
      <c r="B107" s="366" t="s">
        <v>470</v>
      </c>
      <c r="C107" s="349"/>
      <c r="D107" s="367">
        <f>ROUNDUP(42.92,0)</f>
        <v>43</v>
      </c>
      <c r="E107" s="367"/>
      <c r="F107" s="349"/>
      <c r="G107" s="349"/>
      <c r="H107" s="349"/>
      <c r="I107" s="349"/>
      <c r="J107" s="349"/>
      <c r="K107" s="349"/>
      <c r="L107" s="349"/>
      <c r="M107" s="349"/>
      <c r="N107" s="349"/>
      <c r="O107" s="349"/>
      <c r="P107" s="354"/>
      <c r="Q107" s="354"/>
      <c r="R107" s="354"/>
      <c r="S107" s="354"/>
      <c r="T107" s="352"/>
      <c r="U107" s="353">
        <f>ROUNDUP((28*2.9)-(BN7+BW7),0)</f>
        <v>71</v>
      </c>
      <c r="V107" s="353"/>
      <c r="W107" s="353"/>
      <c r="X107" s="349"/>
      <c r="Y107" s="349"/>
      <c r="Z107" s="349">
        <f>ROUNDUP(((5.6+(1.5*2)+(0.3*2))*3.8)-BW7,0)</f>
        <v>27</v>
      </c>
      <c r="AA107" s="349">
        <f t="shared" ref="AA107:AA116" si="32">U107</f>
        <v>71</v>
      </c>
      <c r="AB107" s="349"/>
      <c r="AC107" s="349"/>
      <c r="AD107" s="349"/>
      <c r="AE107" s="349"/>
      <c r="AF107" s="349"/>
      <c r="AG107" s="349"/>
      <c r="AH107" s="349"/>
      <c r="AI107" s="349"/>
      <c r="AJ107" s="349"/>
      <c r="AK107" s="349"/>
      <c r="AL107" s="349"/>
      <c r="AM107" s="349"/>
      <c r="AN107" s="349">
        <f>ROUNDUP(BN9+BW9,0)</f>
        <v>9</v>
      </c>
      <c r="AO107" s="349"/>
      <c r="AP107" s="354"/>
      <c r="AQ107" s="352">
        <f>ROUNDUP(BN8+BW8,0)</f>
        <v>12</v>
      </c>
      <c r="AR107" s="366">
        <f t="shared" ref="AR107:AR113" si="33">D107</f>
        <v>43</v>
      </c>
      <c r="AS107" s="349"/>
      <c r="AT107" s="349"/>
      <c r="AU107" s="349"/>
      <c r="AV107" s="352"/>
      <c r="AW107" s="355">
        <f t="shared" si="30"/>
        <v>71</v>
      </c>
      <c r="AX107" s="356">
        <f t="shared" si="31"/>
        <v>27</v>
      </c>
      <c r="AY107" s="369">
        <f t="shared" si="29"/>
        <v>43</v>
      </c>
      <c r="AZ107" s="353"/>
      <c r="BA107" s="367"/>
      <c r="BB107" s="367"/>
      <c r="BC107" s="367"/>
      <c r="BD107" s="349"/>
      <c r="BE107" s="349"/>
      <c r="BF107" s="349"/>
      <c r="BG107" s="349"/>
      <c r="BH107" s="349"/>
      <c r="BI107" s="349"/>
      <c r="BJ107" s="349"/>
      <c r="BK107" s="349"/>
      <c r="BL107" s="349"/>
      <c r="BM107" s="349"/>
      <c r="BN107" s="367">
        <v>1</v>
      </c>
      <c r="BO107" s="349"/>
      <c r="BP107" s="349"/>
      <c r="BQ107" s="349"/>
      <c r="BR107" s="349"/>
      <c r="BS107" s="349"/>
      <c r="BT107" s="349"/>
      <c r="BU107" s="349"/>
      <c r="BV107" s="349"/>
      <c r="BW107" s="367">
        <v>1</v>
      </c>
      <c r="BX107" s="367"/>
      <c r="BY107" s="367"/>
      <c r="BZ107" s="349"/>
      <c r="CA107" s="349"/>
      <c r="CB107" s="349"/>
      <c r="CC107" s="354"/>
      <c r="CD107" s="354"/>
      <c r="CE107" s="354"/>
      <c r="CF107" s="354"/>
      <c r="CG107" s="354"/>
      <c r="CH107" s="354"/>
      <c r="CI107" s="354"/>
      <c r="CJ107" s="354"/>
      <c r="CK107" s="354"/>
      <c r="CL107" s="354"/>
      <c r="CM107" s="354"/>
      <c r="CN107" s="354"/>
      <c r="CO107" s="354"/>
      <c r="CP107" s="354"/>
      <c r="CQ107" s="354"/>
      <c r="CR107" s="354"/>
      <c r="CS107" s="354"/>
      <c r="CT107" s="354"/>
      <c r="CU107" s="354"/>
      <c r="CV107" s="354"/>
      <c r="CW107" s="354"/>
      <c r="CX107" s="354"/>
      <c r="CY107" s="354"/>
      <c r="CZ107" s="354"/>
      <c r="DA107" s="354"/>
      <c r="DB107" s="354"/>
      <c r="DC107" s="352"/>
    </row>
    <row r="108" spans="1:107" s="59" customFormat="1">
      <c r="A108" s="365"/>
      <c r="B108" s="366" t="s">
        <v>471</v>
      </c>
      <c r="C108" s="349"/>
      <c r="D108" s="367">
        <f t="shared" ref="D108:D111" si="34">ROUNDUP(42.92,0)</f>
        <v>43</v>
      </c>
      <c r="E108" s="367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54"/>
      <c r="Q108" s="354"/>
      <c r="R108" s="354"/>
      <c r="S108" s="354"/>
      <c r="T108" s="352"/>
      <c r="U108" s="353">
        <f>ROUNDUP((28*2.9)-(BN7+BW7),0)</f>
        <v>71</v>
      </c>
      <c r="V108" s="353"/>
      <c r="W108" s="353"/>
      <c r="X108" s="349"/>
      <c r="Y108" s="349"/>
      <c r="Z108" s="349">
        <f>ROUNDUP(((5.6+(1.5*2)+(0.3*2))*3.8)-BW7,0)</f>
        <v>27</v>
      </c>
      <c r="AA108" s="349">
        <f t="shared" si="32"/>
        <v>71</v>
      </c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  <c r="AL108" s="349"/>
      <c r="AM108" s="349"/>
      <c r="AN108" s="349">
        <f>ROUNDUP(BN9+BW9,0)</f>
        <v>9</v>
      </c>
      <c r="AO108" s="349"/>
      <c r="AP108" s="354"/>
      <c r="AQ108" s="352">
        <f>ROUNDUP(BN8+BW8,0)</f>
        <v>12</v>
      </c>
      <c r="AR108" s="366">
        <f t="shared" si="33"/>
        <v>43</v>
      </c>
      <c r="AS108" s="349"/>
      <c r="AT108" s="349"/>
      <c r="AU108" s="349"/>
      <c r="AV108" s="352"/>
      <c r="AW108" s="355">
        <f t="shared" si="30"/>
        <v>71</v>
      </c>
      <c r="AX108" s="356">
        <f t="shared" si="31"/>
        <v>27</v>
      </c>
      <c r="AY108" s="369">
        <f t="shared" si="29"/>
        <v>43</v>
      </c>
      <c r="AZ108" s="353"/>
      <c r="BA108" s="349"/>
      <c r="BB108" s="367">
        <v>1</v>
      </c>
      <c r="BC108" s="349"/>
      <c r="BD108" s="349"/>
      <c r="BE108" s="349"/>
      <c r="BF108" s="349"/>
      <c r="BG108" s="349"/>
      <c r="BH108" s="349"/>
      <c r="BI108" s="349"/>
      <c r="BJ108" s="349"/>
      <c r="BK108" s="349"/>
      <c r="BL108" s="349"/>
      <c r="BM108" s="349"/>
      <c r="BN108" s="367">
        <v>1</v>
      </c>
      <c r="BO108" s="349"/>
      <c r="BP108" s="349"/>
      <c r="BQ108" s="349"/>
      <c r="BR108" s="349"/>
      <c r="BS108" s="349"/>
      <c r="BT108" s="349"/>
      <c r="BU108" s="349"/>
      <c r="BV108" s="349"/>
      <c r="BW108" s="367">
        <v>1</v>
      </c>
      <c r="BX108" s="367"/>
      <c r="BY108" s="367"/>
      <c r="BZ108" s="349"/>
      <c r="CA108" s="349"/>
      <c r="CB108" s="349"/>
      <c r="CC108" s="354"/>
      <c r="CD108" s="354"/>
      <c r="CE108" s="354"/>
      <c r="CF108" s="354"/>
      <c r="CG108" s="354"/>
      <c r="CH108" s="354"/>
      <c r="CI108" s="354"/>
      <c r="CJ108" s="354"/>
      <c r="CK108" s="354"/>
      <c r="CL108" s="354"/>
      <c r="CM108" s="354"/>
      <c r="CN108" s="354"/>
      <c r="CO108" s="354"/>
      <c r="CP108" s="354"/>
      <c r="CQ108" s="354"/>
      <c r="CR108" s="354"/>
      <c r="CS108" s="354"/>
      <c r="CT108" s="354"/>
      <c r="CU108" s="354"/>
      <c r="CV108" s="354"/>
      <c r="CW108" s="354"/>
      <c r="CX108" s="354"/>
      <c r="CY108" s="354"/>
      <c r="CZ108" s="354"/>
      <c r="DA108" s="354"/>
      <c r="DB108" s="354"/>
      <c r="DC108" s="352"/>
    </row>
    <row r="109" spans="1:107" s="59" customFormat="1">
      <c r="A109" s="365"/>
      <c r="B109" s="366" t="s">
        <v>472</v>
      </c>
      <c r="C109" s="349"/>
      <c r="D109" s="367">
        <f t="shared" si="34"/>
        <v>43</v>
      </c>
      <c r="E109" s="367"/>
      <c r="F109" s="349"/>
      <c r="G109" s="349"/>
      <c r="H109" s="349"/>
      <c r="I109" s="349"/>
      <c r="J109" s="349"/>
      <c r="K109" s="349"/>
      <c r="L109" s="349"/>
      <c r="M109" s="349"/>
      <c r="N109" s="349"/>
      <c r="O109" s="349"/>
      <c r="P109" s="354"/>
      <c r="Q109" s="354"/>
      <c r="R109" s="354"/>
      <c r="S109" s="354"/>
      <c r="T109" s="352"/>
      <c r="U109" s="353">
        <f>ROUNDUP((28*2.9)-(BN7+BW7),0)</f>
        <v>71</v>
      </c>
      <c r="V109" s="353"/>
      <c r="W109" s="353"/>
      <c r="X109" s="349"/>
      <c r="Y109" s="349"/>
      <c r="Z109" s="349">
        <f>ROUNDUP(((5.6+(1.5*2)+(0.3*2))*3.8)-BW7,0)</f>
        <v>27</v>
      </c>
      <c r="AA109" s="349">
        <f t="shared" si="32"/>
        <v>71</v>
      </c>
      <c r="AB109" s="349"/>
      <c r="AC109" s="349"/>
      <c r="AD109" s="349"/>
      <c r="AE109" s="349"/>
      <c r="AF109" s="349"/>
      <c r="AG109" s="349"/>
      <c r="AH109" s="349"/>
      <c r="AI109" s="349"/>
      <c r="AJ109" s="349"/>
      <c r="AK109" s="349"/>
      <c r="AL109" s="349"/>
      <c r="AM109" s="349"/>
      <c r="AN109" s="349">
        <f>ROUNDUP(BN9+BW9,0)</f>
        <v>9</v>
      </c>
      <c r="AO109" s="349"/>
      <c r="AP109" s="354"/>
      <c r="AQ109" s="352">
        <f>ROUNDUP(BN8+BW8,0)</f>
        <v>12</v>
      </c>
      <c r="AR109" s="366">
        <f t="shared" si="33"/>
        <v>43</v>
      </c>
      <c r="AS109" s="349"/>
      <c r="AT109" s="349"/>
      <c r="AU109" s="349"/>
      <c r="AV109" s="352"/>
      <c r="AW109" s="355">
        <f t="shared" si="30"/>
        <v>71</v>
      </c>
      <c r="AX109" s="356">
        <f t="shared" si="31"/>
        <v>27</v>
      </c>
      <c r="AY109" s="369">
        <f t="shared" si="29"/>
        <v>43</v>
      </c>
      <c r="AZ109" s="353"/>
      <c r="BA109" s="367">
        <v>1</v>
      </c>
      <c r="BB109" s="349"/>
      <c r="BC109" s="349"/>
      <c r="BD109" s="349"/>
      <c r="BE109" s="349"/>
      <c r="BF109" s="349"/>
      <c r="BG109" s="349"/>
      <c r="BH109" s="349"/>
      <c r="BI109" s="349"/>
      <c r="BJ109" s="349"/>
      <c r="BK109" s="349"/>
      <c r="BL109" s="349"/>
      <c r="BM109" s="349"/>
      <c r="BN109" s="367">
        <v>1</v>
      </c>
      <c r="BO109" s="349"/>
      <c r="BP109" s="349"/>
      <c r="BQ109" s="349"/>
      <c r="BR109" s="349"/>
      <c r="BS109" s="349"/>
      <c r="BT109" s="349"/>
      <c r="BU109" s="349"/>
      <c r="BV109" s="349"/>
      <c r="BW109" s="367">
        <v>1</v>
      </c>
      <c r="BX109" s="367"/>
      <c r="BY109" s="367"/>
      <c r="BZ109" s="367"/>
      <c r="CA109" s="349"/>
      <c r="CB109" s="349"/>
      <c r="CC109" s="354"/>
      <c r="CD109" s="354"/>
      <c r="CE109" s="354"/>
      <c r="CF109" s="354"/>
      <c r="CG109" s="354"/>
      <c r="CH109" s="354"/>
      <c r="CI109" s="354"/>
      <c r="CJ109" s="354"/>
      <c r="CK109" s="354"/>
      <c r="CL109" s="354"/>
      <c r="CM109" s="354"/>
      <c r="CN109" s="354"/>
      <c r="CO109" s="354"/>
      <c r="CP109" s="354"/>
      <c r="CQ109" s="354"/>
      <c r="CR109" s="354"/>
      <c r="CS109" s="354"/>
      <c r="CT109" s="354"/>
      <c r="CU109" s="354"/>
      <c r="CV109" s="354"/>
      <c r="CW109" s="354"/>
      <c r="CX109" s="354"/>
      <c r="CY109" s="354"/>
      <c r="CZ109" s="354"/>
      <c r="DA109" s="354"/>
      <c r="DB109" s="354"/>
      <c r="DC109" s="352"/>
    </row>
    <row r="110" spans="1:107" s="59" customFormat="1">
      <c r="A110" s="368"/>
      <c r="B110" s="366" t="s">
        <v>473</v>
      </c>
      <c r="C110" s="349"/>
      <c r="D110" s="367">
        <f t="shared" si="34"/>
        <v>43</v>
      </c>
      <c r="E110" s="367"/>
      <c r="F110" s="349"/>
      <c r="G110" s="349"/>
      <c r="H110" s="349"/>
      <c r="I110" s="349"/>
      <c r="J110" s="349"/>
      <c r="K110" s="349"/>
      <c r="L110" s="349"/>
      <c r="M110" s="349"/>
      <c r="N110" s="349"/>
      <c r="O110" s="349"/>
      <c r="P110" s="354"/>
      <c r="Q110" s="354"/>
      <c r="R110" s="354"/>
      <c r="S110" s="354"/>
      <c r="T110" s="352"/>
      <c r="U110" s="353">
        <f>ROUNDUP((28*2.9)-(BN7+BW7),0)</f>
        <v>71</v>
      </c>
      <c r="V110" s="353"/>
      <c r="W110" s="353"/>
      <c r="X110" s="349"/>
      <c r="Y110" s="349"/>
      <c r="Z110" s="349">
        <f>ROUNDUP(((5.6+(1.5*2)+(0.3*2))*3.8)-BW7,0)</f>
        <v>27</v>
      </c>
      <c r="AA110" s="349">
        <f t="shared" si="32"/>
        <v>71</v>
      </c>
      <c r="AB110" s="349"/>
      <c r="AC110" s="349"/>
      <c r="AD110" s="349"/>
      <c r="AE110" s="349"/>
      <c r="AF110" s="349"/>
      <c r="AG110" s="349"/>
      <c r="AH110" s="349"/>
      <c r="AI110" s="349"/>
      <c r="AJ110" s="349"/>
      <c r="AK110" s="349"/>
      <c r="AL110" s="349"/>
      <c r="AM110" s="349"/>
      <c r="AN110" s="349">
        <f>ROUNDUP(BN9+BW9,0)</f>
        <v>9</v>
      </c>
      <c r="AO110" s="349"/>
      <c r="AP110" s="354"/>
      <c r="AQ110" s="352">
        <f>ROUNDUP(BN8+BW8,0)</f>
        <v>12</v>
      </c>
      <c r="AR110" s="366">
        <f t="shared" si="33"/>
        <v>43</v>
      </c>
      <c r="AS110" s="349"/>
      <c r="AT110" s="349"/>
      <c r="AU110" s="349"/>
      <c r="AV110" s="352"/>
      <c r="AW110" s="355">
        <f t="shared" si="30"/>
        <v>71</v>
      </c>
      <c r="AX110" s="356">
        <f t="shared" si="31"/>
        <v>27</v>
      </c>
      <c r="AY110" s="369">
        <f t="shared" si="29"/>
        <v>43</v>
      </c>
      <c r="AZ110" s="353"/>
      <c r="BA110" s="349"/>
      <c r="BB110" s="349"/>
      <c r="BC110" s="349"/>
      <c r="BD110" s="349"/>
      <c r="BE110" s="349"/>
      <c r="BF110" s="349"/>
      <c r="BG110" s="367"/>
      <c r="BH110" s="349"/>
      <c r="BI110" s="349"/>
      <c r="BJ110" s="349"/>
      <c r="BK110" s="349"/>
      <c r="BL110" s="349"/>
      <c r="BM110" s="349"/>
      <c r="BN110" s="367">
        <v>1</v>
      </c>
      <c r="BO110" s="349"/>
      <c r="BP110" s="349"/>
      <c r="BQ110" s="349"/>
      <c r="BR110" s="349"/>
      <c r="BS110" s="349"/>
      <c r="BT110" s="349"/>
      <c r="BU110" s="349"/>
      <c r="BV110" s="349"/>
      <c r="BW110" s="367">
        <v>1</v>
      </c>
      <c r="BX110" s="367"/>
      <c r="BY110" s="349"/>
      <c r="BZ110" s="349"/>
      <c r="CA110" s="349"/>
      <c r="CB110" s="349"/>
      <c r="CC110" s="354"/>
      <c r="CD110" s="354"/>
      <c r="CE110" s="354"/>
      <c r="CF110" s="354"/>
      <c r="CG110" s="354"/>
      <c r="CH110" s="354"/>
      <c r="CI110" s="354"/>
      <c r="CJ110" s="354"/>
      <c r="CK110" s="354"/>
      <c r="CL110" s="354"/>
      <c r="CM110" s="354"/>
      <c r="CN110" s="354"/>
      <c r="CO110" s="354"/>
      <c r="CP110" s="354"/>
      <c r="CQ110" s="354"/>
      <c r="CR110" s="354"/>
      <c r="CS110" s="354"/>
      <c r="CT110" s="354"/>
      <c r="CU110" s="354"/>
      <c r="CV110" s="354"/>
      <c r="CW110" s="354"/>
      <c r="CX110" s="354"/>
      <c r="CY110" s="354"/>
      <c r="CZ110" s="354"/>
      <c r="DA110" s="354"/>
      <c r="DB110" s="354"/>
      <c r="DC110" s="352"/>
    </row>
    <row r="111" spans="1:107" s="59" customFormat="1">
      <c r="A111" s="365"/>
      <c r="B111" s="366" t="s">
        <v>474</v>
      </c>
      <c r="C111" s="349"/>
      <c r="D111" s="367">
        <f t="shared" si="34"/>
        <v>43</v>
      </c>
      <c r="E111" s="367"/>
      <c r="F111" s="349"/>
      <c r="G111" s="349"/>
      <c r="H111" s="349"/>
      <c r="I111" s="349"/>
      <c r="J111" s="349"/>
      <c r="K111" s="349"/>
      <c r="L111" s="349"/>
      <c r="M111" s="349"/>
      <c r="N111" s="349"/>
      <c r="O111" s="349"/>
      <c r="P111" s="354"/>
      <c r="Q111" s="354"/>
      <c r="R111" s="354"/>
      <c r="S111" s="354"/>
      <c r="T111" s="352"/>
      <c r="U111" s="353">
        <f>ROUNDUP((28*2.9)-(BN7+BW7),0)</f>
        <v>71</v>
      </c>
      <c r="V111" s="353"/>
      <c r="W111" s="353"/>
      <c r="X111" s="349"/>
      <c r="Y111" s="349"/>
      <c r="Z111" s="349">
        <f>ROUNDUP(((5.6+(1.5*2)+(0.3*2))*3.8)-BW7,0)</f>
        <v>27</v>
      </c>
      <c r="AA111" s="349">
        <f t="shared" si="32"/>
        <v>71</v>
      </c>
      <c r="AB111" s="349"/>
      <c r="AC111" s="349"/>
      <c r="AD111" s="349"/>
      <c r="AE111" s="349"/>
      <c r="AF111" s="349"/>
      <c r="AG111" s="349"/>
      <c r="AH111" s="349"/>
      <c r="AI111" s="349"/>
      <c r="AJ111" s="349"/>
      <c r="AK111" s="349"/>
      <c r="AL111" s="349"/>
      <c r="AM111" s="349"/>
      <c r="AN111" s="349">
        <f>ROUNDUP(BN9+BW9,0)</f>
        <v>9</v>
      </c>
      <c r="AO111" s="349"/>
      <c r="AP111" s="354"/>
      <c r="AQ111" s="352">
        <f>ROUNDUP(BN8+BW8,0)</f>
        <v>12</v>
      </c>
      <c r="AR111" s="366">
        <f t="shared" si="33"/>
        <v>43</v>
      </c>
      <c r="AS111" s="349"/>
      <c r="AT111" s="349"/>
      <c r="AU111" s="349"/>
      <c r="AV111" s="352"/>
      <c r="AW111" s="355">
        <f t="shared" si="30"/>
        <v>71</v>
      </c>
      <c r="AX111" s="356">
        <f t="shared" si="31"/>
        <v>27</v>
      </c>
      <c r="AY111" s="369">
        <f t="shared" si="29"/>
        <v>43</v>
      </c>
      <c r="AZ111" s="353"/>
      <c r="BA111" s="349"/>
      <c r="BB111" s="349"/>
      <c r="BC111" s="349"/>
      <c r="BD111" s="349"/>
      <c r="BE111" s="349"/>
      <c r="BF111" s="349"/>
      <c r="BG111" s="367"/>
      <c r="BH111" s="349"/>
      <c r="BI111" s="349"/>
      <c r="BJ111" s="349"/>
      <c r="BK111" s="349"/>
      <c r="BL111" s="349"/>
      <c r="BM111" s="349"/>
      <c r="BN111" s="367">
        <v>1</v>
      </c>
      <c r="BO111" s="349"/>
      <c r="BP111" s="349"/>
      <c r="BQ111" s="349"/>
      <c r="BR111" s="349"/>
      <c r="BS111" s="349"/>
      <c r="BT111" s="349"/>
      <c r="BU111" s="349"/>
      <c r="BV111" s="349"/>
      <c r="BW111" s="367">
        <v>1</v>
      </c>
      <c r="BX111" s="367"/>
      <c r="BY111" s="349"/>
      <c r="BZ111" s="349"/>
      <c r="CA111" s="349"/>
      <c r="CB111" s="349"/>
      <c r="CC111" s="354"/>
      <c r="CD111" s="354"/>
      <c r="CE111" s="354"/>
      <c r="CF111" s="354"/>
      <c r="CG111" s="354"/>
      <c r="CH111" s="354"/>
      <c r="CI111" s="354"/>
      <c r="CJ111" s="354"/>
      <c r="CK111" s="354"/>
      <c r="CL111" s="354"/>
      <c r="CM111" s="354"/>
      <c r="CN111" s="354"/>
      <c r="CO111" s="354"/>
      <c r="CP111" s="354"/>
      <c r="CQ111" s="354"/>
      <c r="CR111" s="354"/>
      <c r="CS111" s="354"/>
      <c r="CT111" s="354"/>
      <c r="CU111" s="354"/>
      <c r="CV111" s="354"/>
      <c r="CW111" s="354"/>
      <c r="CX111" s="354"/>
      <c r="CY111" s="354"/>
      <c r="CZ111" s="354"/>
      <c r="DA111" s="354"/>
      <c r="DB111" s="354"/>
      <c r="DC111" s="352"/>
    </row>
    <row r="112" spans="1:107" s="59" customFormat="1">
      <c r="A112" s="365"/>
      <c r="B112" s="366" t="s">
        <v>475</v>
      </c>
      <c r="C112" s="349"/>
      <c r="D112" s="367">
        <f>ROUNDUP(37.59,0)</f>
        <v>38</v>
      </c>
      <c r="E112" s="367"/>
      <c r="F112" s="349"/>
      <c r="G112" s="349"/>
      <c r="H112" s="349"/>
      <c r="I112" s="349"/>
      <c r="J112" s="349"/>
      <c r="K112" s="349"/>
      <c r="L112" s="349"/>
      <c r="M112" s="349"/>
      <c r="N112" s="349"/>
      <c r="O112" s="349"/>
      <c r="P112" s="354"/>
      <c r="Q112" s="354"/>
      <c r="R112" s="354"/>
      <c r="S112" s="354"/>
      <c r="T112" s="352"/>
      <c r="U112" s="353">
        <f>ROUNDUP((24.53*2.9)-(BN7+BW7),0)</f>
        <v>60</v>
      </c>
      <c r="V112" s="353"/>
      <c r="W112" s="353"/>
      <c r="X112" s="349"/>
      <c r="Y112" s="349"/>
      <c r="Z112" s="349">
        <f>ROUNDUP((6.35*3.8)-BW7,0)</f>
        <v>16</v>
      </c>
      <c r="AA112" s="349">
        <f t="shared" si="32"/>
        <v>60</v>
      </c>
      <c r="AB112" s="349"/>
      <c r="AC112" s="349"/>
      <c r="AD112" s="349"/>
      <c r="AE112" s="349"/>
      <c r="AF112" s="349"/>
      <c r="AG112" s="349"/>
      <c r="AH112" s="349"/>
      <c r="AI112" s="349"/>
      <c r="AJ112" s="349"/>
      <c r="AK112" s="349"/>
      <c r="AL112" s="349"/>
      <c r="AM112" s="349"/>
      <c r="AN112" s="349">
        <f>ROUNDUP(BN9+BW9,0)</f>
        <v>9</v>
      </c>
      <c r="AO112" s="349"/>
      <c r="AP112" s="354"/>
      <c r="AQ112" s="352">
        <f>ROUNDUP(BN8+BW8,0)</f>
        <v>12</v>
      </c>
      <c r="AR112" s="366">
        <f t="shared" si="33"/>
        <v>38</v>
      </c>
      <c r="AS112" s="349"/>
      <c r="AT112" s="349"/>
      <c r="AU112" s="349"/>
      <c r="AV112" s="352"/>
      <c r="AW112" s="355">
        <f t="shared" si="30"/>
        <v>60</v>
      </c>
      <c r="AX112" s="356">
        <f t="shared" si="31"/>
        <v>16</v>
      </c>
      <c r="AY112" s="369">
        <f t="shared" si="29"/>
        <v>38</v>
      </c>
      <c r="AZ112" s="353"/>
      <c r="BA112" s="349"/>
      <c r="BB112" s="349"/>
      <c r="BC112" s="349"/>
      <c r="BD112" s="349"/>
      <c r="BE112" s="349"/>
      <c r="BF112" s="349"/>
      <c r="BG112" s="367"/>
      <c r="BH112" s="349"/>
      <c r="BI112" s="349"/>
      <c r="BJ112" s="349"/>
      <c r="BK112" s="349"/>
      <c r="BL112" s="349"/>
      <c r="BM112" s="349"/>
      <c r="BN112" s="367">
        <v>1</v>
      </c>
      <c r="BO112" s="349"/>
      <c r="BP112" s="349"/>
      <c r="BQ112" s="349"/>
      <c r="BR112" s="349"/>
      <c r="BS112" s="349"/>
      <c r="BT112" s="349"/>
      <c r="BU112" s="349"/>
      <c r="BV112" s="349"/>
      <c r="BW112" s="367">
        <v>1</v>
      </c>
      <c r="BX112" s="367"/>
      <c r="BY112" s="349"/>
      <c r="BZ112" s="349"/>
      <c r="CA112" s="349"/>
      <c r="CB112" s="349"/>
      <c r="CC112" s="354"/>
      <c r="CD112" s="354"/>
      <c r="CE112" s="354"/>
      <c r="CF112" s="354"/>
      <c r="CG112" s="354"/>
      <c r="CH112" s="354"/>
      <c r="CI112" s="354"/>
      <c r="CJ112" s="354"/>
      <c r="CK112" s="354"/>
      <c r="CL112" s="354"/>
      <c r="CM112" s="354"/>
      <c r="CN112" s="354"/>
      <c r="CO112" s="354"/>
      <c r="CP112" s="354"/>
      <c r="CQ112" s="354"/>
      <c r="CR112" s="354"/>
      <c r="CS112" s="354"/>
      <c r="CT112" s="354"/>
      <c r="CU112" s="354"/>
      <c r="CV112" s="354"/>
      <c r="CW112" s="354"/>
      <c r="CX112" s="354"/>
      <c r="CY112" s="354"/>
      <c r="CZ112" s="354"/>
      <c r="DA112" s="354"/>
      <c r="DB112" s="354"/>
      <c r="DC112" s="352"/>
    </row>
    <row r="113" spans="1:107" s="59" customFormat="1">
      <c r="A113" s="365"/>
      <c r="B113" s="366" t="s">
        <v>476</v>
      </c>
      <c r="C113" s="349"/>
      <c r="D113" s="367">
        <f t="shared" ref="D113:D116" si="35">ROUNDUP(37.59,0)</f>
        <v>38</v>
      </c>
      <c r="E113" s="367"/>
      <c r="F113" s="349"/>
      <c r="G113" s="349"/>
      <c r="H113" s="349"/>
      <c r="I113" s="349"/>
      <c r="J113" s="349"/>
      <c r="K113" s="349"/>
      <c r="L113" s="349"/>
      <c r="M113" s="349"/>
      <c r="N113" s="349"/>
      <c r="O113" s="349"/>
      <c r="P113" s="354"/>
      <c r="Q113" s="354"/>
      <c r="R113" s="354"/>
      <c r="S113" s="354"/>
      <c r="T113" s="352"/>
      <c r="U113" s="353">
        <f>ROUNDUP((24.53*2.9)-(BN7+BW7),0)</f>
        <v>60</v>
      </c>
      <c r="V113" s="353"/>
      <c r="W113" s="353"/>
      <c r="X113" s="349"/>
      <c r="Y113" s="349"/>
      <c r="Z113" s="349">
        <f>ROUNDUP((6.35*3.8)-BW7,0)</f>
        <v>16</v>
      </c>
      <c r="AA113" s="349">
        <f t="shared" si="32"/>
        <v>60</v>
      </c>
      <c r="AB113" s="349"/>
      <c r="AC113" s="349"/>
      <c r="AD113" s="349"/>
      <c r="AE113" s="349"/>
      <c r="AF113" s="349"/>
      <c r="AG113" s="349"/>
      <c r="AH113" s="349"/>
      <c r="AI113" s="349"/>
      <c r="AJ113" s="349"/>
      <c r="AK113" s="349"/>
      <c r="AL113" s="349"/>
      <c r="AM113" s="349"/>
      <c r="AN113" s="349">
        <f>ROUNDUP(BN9+BW9,0)</f>
        <v>9</v>
      </c>
      <c r="AO113" s="349"/>
      <c r="AP113" s="354"/>
      <c r="AQ113" s="352">
        <f>ROUNDUP(BN8+BW8,0)</f>
        <v>12</v>
      </c>
      <c r="AR113" s="366">
        <f t="shared" si="33"/>
        <v>38</v>
      </c>
      <c r="AS113" s="349"/>
      <c r="AT113" s="349"/>
      <c r="AU113" s="349"/>
      <c r="AV113" s="352"/>
      <c r="AW113" s="355">
        <f t="shared" si="30"/>
        <v>60</v>
      </c>
      <c r="AX113" s="356">
        <f t="shared" si="31"/>
        <v>16</v>
      </c>
      <c r="AY113" s="369">
        <f t="shared" si="29"/>
        <v>38</v>
      </c>
      <c r="AZ113" s="353"/>
      <c r="BA113" s="349"/>
      <c r="BB113" s="349"/>
      <c r="BC113" s="349"/>
      <c r="BD113" s="349"/>
      <c r="BE113" s="349"/>
      <c r="BF113" s="349"/>
      <c r="BG113" s="367"/>
      <c r="BH113" s="349"/>
      <c r="BI113" s="349"/>
      <c r="BJ113" s="349"/>
      <c r="BK113" s="349"/>
      <c r="BL113" s="349"/>
      <c r="BM113" s="349"/>
      <c r="BN113" s="367">
        <v>1</v>
      </c>
      <c r="BO113" s="349"/>
      <c r="BP113" s="349"/>
      <c r="BQ113" s="349"/>
      <c r="BR113" s="349"/>
      <c r="BS113" s="349"/>
      <c r="BT113" s="349"/>
      <c r="BU113" s="349"/>
      <c r="BV113" s="349"/>
      <c r="BW113" s="367">
        <v>1</v>
      </c>
      <c r="BX113" s="367"/>
      <c r="BY113" s="349"/>
      <c r="BZ113" s="349"/>
      <c r="CA113" s="349"/>
      <c r="CB113" s="349"/>
      <c r="CC113" s="354"/>
      <c r="CD113" s="354"/>
      <c r="CE113" s="354"/>
      <c r="CF113" s="354"/>
      <c r="CG113" s="354"/>
      <c r="CH113" s="354"/>
      <c r="CI113" s="354"/>
      <c r="CJ113" s="354"/>
      <c r="CK113" s="354"/>
      <c r="CL113" s="354"/>
      <c r="CM113" s="354"/>
      <c r="CN113" s="354"/>
      <c r="CO113" s="354"/>
      <c r="CP113" s="354"/>
      <c r="CQ113" s="354"/>
      <c r="CR113" s="354"/>
      <c r="CS113" s="354"/>
      <c r="CT113" s="354"/>
      <c r="CU113" s="354"/>
      <c r="CV113" s="354"/>
      <c r="CW113" s="354"/>
      <c r="CX113" s="354"/>
      <c r="CY113" s="354"/>
      <c r="CZ113" s="354"/>
      <c r="DA113" s="354"/>
      <c r="DB113" s="354"/>
      <c r="DC113" s="352"/>
    </row>
    <row r="114" spans="1:107" s="59" customFormat="1">
      <c r="A114" s="368"/>
      <c r="B114" s="366" t="s">
        <v>477</v>
      </c>
      <c r="C114" s="349"/>
      <c r="D114" s="367">
        <f t="shared" si="35"/>
        <v>38</v>
      </c>
      <c r="E114" s="367"/>
      <c r="F114" s="349"/>
      <c r="G114" s="349"/>
      <c r="H114" s="349"/>
      <c r="I114" s="349"/>
      <c r="J114" s="349"/>
      <c r="K114" s="349"/>
      <c r="L114" s="349"/>
      <c r="M114" s="349"/>
      <c r="N114" s="349"/>
      <c r="O114" s="349"/>
      <c r="P114" s="354"/>
      <c r="Q114" s="354"/>
      <c r="R114" s="354"/>
      <c r="S114" s="354"/>
      <c r="T114" s="352"/>
      <c r="U114" s="353">
        <f>ROUNDUP((24.53*2.9)-(BN7+BW7),0)</f>
        <v>60</v>
      </c>
      <c r="V114" s="353"/>
      <c r="W114" s="353"/>
      <c r="X114" s="349"/>
      <c r="Y114" s="349"/>
      <c r="Z114" s="349">
        <f>ROUNDUP((6.35*3.8)-BW7,0)</f>
        <v>16</v>
      </c>
      <c r="AA114" s="349">
        <f t="shared" si="32"/>
        <v>60</v>
      </c>
      <c r="AB114" s="349"/>
      <c r="AC114" s="349"/>
      <c r="AD114" s="349"/>
      <c r="AE114" s="349"/>
      <c r="AF114" s="349"/>
      <c r="AG114" s="349"/>
      <c r="AH114" s="349"/>
      <c r="AI114" s="349"/>
      <c r="AJ114" s="349"/>
      <c r="AK114" s="349"/>
      <c r="AL114" s="349"/>
      <c r="AM114" s="349"/>
      <c r="AN114" s="349">
        <f>ROUNDUP(BN9+BW9,0)</f>
        <v>9</v>
      </c>
      <c r="AO114" s="349"/>
      <c r="AP114" s="354"/>
      <c r="AQ114" s="352">
        <f>ROUNDUP(BN8+BW8,0)</f>
        <v>12</v>
      </c>
      <c r="AR114" s="366">
        <f>D114</f>
        <v>38</v>
      </c>
      <c r="AS114" s="349"/>
      <c r="AT114" s="349"/>
      <c r="AU114" s="349"/>
      <c r="AV114" s="352"/>
      <c r="AW114" s="355">
        <f t="shared" si="30"/>
        <v>60</v>
      </c>
      <c r="AX114" s="356">
        <f t="shared" si="31"/>
        <v>16</v>
      </c>
      <c r="AY114" s="369">
        <f t="shared" si="29"/>
        <v>38</v>
      </c>
      <c r="AZ114" s="353"/>
      <c r="BA114" s="349"/>
      <c r="BB114" s="349"/>
      <c r="BC114" s="349"/>
      <c r="BD114" s="349"/>
      <c r="BE114" s="349"/>
      <c r="BF114" s="349"/>
      <c r="BG114" s="367"/>
      <c r="BH114" s="349"/>
      <c r="BI114" s="349"/>
      <c r="BJ114" s="349"/>
      <c r="BK114" s="349"/>
      <c r="BL114" s="349"/>
      <c r="BM114" s="349"/>
      <c r="BN114" s="367">
        <v>1</v>
      </c>
      <c r="BO114" s="349"/>
      <c r="BP114" s="349"/>
      <c r="BQ114" s="349"/>
      <c r="BR114" s="349"/>
      <c r="BS114" s="349"/>
      <c r="BT114" s="349"/>
      <c r="BU114" s="349"/>
      <c r="BV114" s="349"/>
      <c r="BW114" s="367">
        <v>1</v>
      </c>
      <c r="BX114" s="367"/>
      <c r="BY114" s="349"/>
      <c r="BZ114" s="349"/>
      <c r="CA114" s="349"/>
      <c r="CB114" s="349"/>
      <c r="CC114" s="354"/>
      <c r="CD114" s="354"/>
      <c r="CE114" s="354"/>
      <c r="CF114" s="354"/>
      <c r="CG114" s="354"/>
      <c r="CH114" s="354"/>
      <c r="CI114" s="354"/>
      <c r="CJ114" s="354"/>
      <c r="CK114" s="354"/>
      <c r="CL114" s="354"/>
      <c r="CM114" s="354"/>
      <c r="CN114" s="354"/>
      <c r="CO114" s="354"/>
      <c r="CP114" s="354"/>
      <c r="CQ114" s="354"/>
      <c r="CR114" s="354"/>
      <c r="CS114" s="354"/>
      <c r="CT114" s="354"/>
      <c r="CU114" s="354"/>
      <c r="CV114" s="354"/>
      <c r="CW114" s="354"/>
      <c r="CX114" s="354"/>
      <c r="CY114" s="354"/>
      <c r="CZ114" s="354"/>
      <c r="DA114" s="354"/>
      <c r="DB114" s="354"/>
      <c r="DC114" s="352"/>
    </row>
    <row r="115" spans="1:107" s="59" customFormat="1">
      <c r="A115" s="368"/>
      <c r="B115" s="366" t="s">
        <v>478</v>
      </c>
      <c r="C115" s="349"/>
      <c r="D115" s="367">
        <f t="shared" si="35"/>
        <v>38</v>
      </c>
      <c r="E115" s="367"/>
      <c r="F115" s="349"/>
      <c r="G115" s="349"/>
      <c r="H115" s="349"/>
      <c r="I115" s="349"/>
      <c r="J115" s="349"/>
      <c r="K115" s="349"/>
      <c r="L115" s="349"/>
      <c r="M115" s="349"/>
      <c r="N115" s="349"/>
      <c r="O115" s="349"/>
      <c r="P115" s="354"/>
      <c r="Q115" s="354"/>
      <c r="R115" s="354"/>
      <c r="S115" s="354"/>
      <c r="T115" s="352"/>
      <c r="U115" s="353">
        <f>ROUNDUP((24.53*2.9)-(BN7+BW7),0)</f>
        <v>60</v>
      </c>
      <c r="V115" s="353"/>
      <c r="W115" s="353"/>
      <c r="X115" s="349"/>
      <c r="Y115" s="349"/>
      <c r="Z115" s="349">
        <f>ROUNDUP((6.35*3.8)-BW7,0)</f>
        <v>16</v>
      </c>
      <c r="AA115" s="349">
        <f t="shared" si="32"/>
        <v>60</v>
      </c>
      <c r="AB115" s="349"/>
      <c r="AC115" s="349"/>
      <c r="AD115" s="349"/>
      <c r="AE115" s="349"/>
      <c r="AF115" s="349"/>
      <c r="AG115" s="349"/>
      <c r="AH115" s="349"/>
      <c r="AI115" s="349"/>
      <c r="AJ115" s="349"/>
      <c r="AK115" s="349"/>
      <c r="AL115" s="349"/>
      <c r="AM115" s="349"/>
      <c r="AN115" s="349">
        <f>ROUNDUP(BN9+BW9,0)</f>
        <v>9</v>
      </c>
      <c r="AO115" s="349"/>
      <c r="AP115" s="354"/>
      <c r="AQ115" s="352">
        <f>ROUNDUP(BN8+BW8,0)</f>
        <v>12</v>
      </c>
      <c r="AR115" s="366">
        <f t="shared" ref="AR115" si="36">D115</f>
        <v>38</v>
      </c>
      <c r="AS115" s="349"/>
      <c r="AT115" s="349"/>
      <c r="AU115" s="349"/>
      <c r="AV115" s="352"/>
      <c r="AW115" s="355">
        <f t="shared" si="30"/>
        <v>60</v>
      </c>
      <c r="AX115" s="356">
        <f t="shared" si="31"/>
        <v>16</v>
      </c>
      <c r="AY115" s="369">
        <f t="shared" si="29"/>
        <v>38</v>
      </c>
      <c r="AZ115" s="353"/>
      <c r="BA115" s="349"/>
      <c r="BB115" s="349"/>
      <c r="BC115" s="349"/>
      <c r="BD115" s="349"/>
      <c r="BE115" s="349"/>
      <c r="BF115" s="349"/>
      <c r="BG115" s="367"/>
      <c r="BH115" s="349"/>
      <c r="BI115" s="349"/>
      <c r="BJ115" s="349"/>
      <c r="BK115" s="349"/>
      <c r="BL115" s="349"/>
      <c r="BM115" s="349"/>
      <c r="BN115" s="367">
        <v>1</v>
      </c>
      <c r="BO115" s="349"/>
      <c r="BP115" s="349"/>
      <c r="BQ115" s="349"/>
      <c r="BR115" s="349"/>
      <c r="BS115" s="349"/>
      <c r="BT115" s="349"/>
      <c r="BU115" s="349"/>
      <c r="BV115" s="349"/>
      <c r="BW115" s="367">
        <v>1</v>
      </c>
      <c r="BX115" s="367"/>
      <c r="BY115" s="349"/>
      <c r="BZ115" s="349"/>
      <c r="CA115" s="349"/>
      <c r="CB115" s="349"/>
      <c r="CC115" s="354"/>
      <c r="CD115" s="354"/>
      <c r="CE115" s="354"/>
      <c r="CF115" s="354"/>
      <c r="CG115" s="354"/>
      <c r="CH115" s="354"/>
      <c r="CI115" s="354"/>
      <c r="CJ115" s="354"/>
      <c r="CK115" s="354"/>
      <c r="CL115" s="354"/>
      <c r="CM115" s="354"/>
      <c r="CN115" s="354"/>
      <c r="CO115" s="354"/>
      <c r="CP115" s="354"/>
      <c r="CQ115" s="354"/>
      <c r="CR115" s="354"/>
      <c r="CS115" s="354"/>
      <c r="CT115" s="354"/>
      <c r="CU115" s="354"/>
      <c r="CV115" s="354"/>
      <c r="CW115" s="354"/>
      <c r="CX115" s="354"/>
      <c r="CY115" s="354"/>
      <c r="CZ115" s="354"/>
      <c r="DA115" s="354"/>
      <c r="DB115" s="354"/>
      <c r="DC115" s="352"/>
    </row>
    <row r="116" spans="1:107" s="59" customFormat="1">
      <c r="A116" s="368"/>
      <c r="B116" s="366" t="s">
        <v>479</v>
      </c>
      <c r="C116" s="349"/>
      <c r="D116" s="367">
        <f t="shared" si="35"/>
        <v>38</v>
      </c>
      <c r="E116" s="367"/>
      <c r="F116" s="349"/>
      <c r="G116" s="349"/>
      <c r="H116" s="349"/>
      <c r="I116" s="349"/>
      <c r="J116" s="349"/>
      <c r="K116" s="349"/>
      <c r="L116" s="349"/>
      <c r="M116" s="349"/>
      <c r="N116" s="349"/>
      <c r="O116" s="349"/>
      <c r="P116" s="354"/>
      <c r="Q116" s="354"/>
      <c r="R116" s="354"/>
      <c r="S116" s="354"/>
      <c r="T116" s="352"/>
      <c r="U116" s="353">
        <f>ROUNDUP((24.53*2.9)-(BN7+BW7),0)</f>
        <v>60</v>
      </c>
      <c r="V116" s="353"/>
      <c r="W116" s="353"/>
      <c r="X116" s="349"/>
      <c r="Y116" s="349"/>
      <c r="Z116" s="349">
        <f>ROUNDUP((6.35*3.8)-BW7,0)</f>
        <v>16</v>
      </c>
      <c r="AA116" s="349">
        <f t="shared" si="32"/>
        <v>60</v>
      </c>
      <c r="AB116" s="349"/>
      <c r="AC116" s="349"/>
      <c r="AD116" s="349"/>
      <c r="AE116" s="349"/>
      <c r="AF116" s="349"/>
      <c r="AG116" s="349"/>
      <c r="AH116" s="349"/>
      <c r="AI116" s="349"/>
      <c r="AJ116" s="349"/>
      <c r="AK116" s="349"/>
      <c r="AL116" s="349"/>
      <c r="AM116" s="349"/>
      <c r="AN116" s="349">
        <f>ROUNDUP(BN9+BW9,0)</f>
        <v>9</v>
      </c>
      <c r="AO116" s="349"/>
      <c r="AP116" s="354"/>
      <c r="AQ116" s="352">
        <f>ROUNDUP(BN8+BW8,0)</f>
        <v>12</v>
      </c>
      <c r="AR116" s="366">
        <f>D116</f>
        <v>38</v>
      </c>
      <c r="AS116" s="349"/>
      <c r="AT116" s="349"/>
      <c r="AU116" s="349"/>
      <c r="AV116" s="352"/>
      <c r="AW116" s="355">
        <f t="shared" si="30"/>
        <v>60</v>
      </c>
      <c r="AX116" s="356">
        <f t="shared" si="31"/>
        <v>16</v>
      </c>
      <c r="AY116" s="369">
        <f t="shared" si="29"/>
        <v>38</v>
      </c>
      <c r="AZ116" s="353"/>
      <c r="BA116" s="349"/>
      <c r="BB116" s="349"/>
      <c r="BC116" s="349"/>
      <c r="BD116" s="349"/>
      <c r="BE116" s="349"/>
      <c r="BF116" s="349"/>
      <c r="BG116" s="367"/>
      <c r="BH116" s="349"/>
      <c r="BI116" s="349"/>
      <c r="BJ116" s="349"/>
      <c r="BK116" s="349"/>
      <c r="BL116" s="349"/>
      <c r="BM116" s="349"/>
      <c r="BN116" s="367">
        <v>1</v>
      </c>
      <c r="BO116" s="349"/>
      <c r="BP116" s="349"/>
      <c r="BQ116" s="349"/>
      <c r="BR116" s="349"/>
      <c r="BS116" s="349"/>
      <c r="BT116" s="349"/>
      <c r="BU116" s="349"/>
      <c r="BV116" s="349"/>
      <c r="BW116" s="367">
        <v>1</v>
      </c>
      <c r="BX116" s="367"/>
      <c r="BY116" s="349"/>
      <c r="BZ116" s="349"/>
      <c r="CA116" s="349"/>
      <c r="CB116" s="349"/>
      <c r="CC116" s="354"/>
      <c r="CD116" s="354"/>
      <c r="CE116" s="354"/>
      <c r="CF116" s="354"/>
      <c r="CG116" s="354"/>
      <c r="CH116" s="354"/>
      <c r="CI116" s="354"/>
      <c r="CJ116" s="354"/>
      <c r="CK116" s="354"/>
      <c r="CL116" s="354"/>
      <c r="CM116" s="354"/>
      <c r="CN116" s="354"/>
      <c r="CO116" s="354"/>
      <c r="CP116" s="354"/>
      <c r="CQ116" s="354"/>
      <c r="CR116" s="354"/>
      <c r="CS116" s="354"/>
      <c r="CT116" s="354"/>
      <c r="CU116" s="354"/>
      <c r="CV116" s="354"/>
      <c r="CW116" s="354"/>
      <c r="CX116" s="354"/>
      <c r="CY116" s="354"/>
      <c r="CZ116" s="354"/>
      <c r="DA116" s="354"/>
      <c r="DB116" s="354"/>
      <c r="DC116" s="352"/>
    </row>
    <row r="117" spans="1:107" s="59" customFormat="1">
      <c r="A117" s="368"/>
      <c r="B117" s="366" t="s">
        <v>480</v>
      </c>
      <c r="C117" s="349"/>
      <c r="D117" s="367">
        <f>ROUNDUP(51.23,0)</f>
        <v>52</v>
      </c>
      <c r="E117" s="367"/>
      <c r="F117" s="349"/>
      <c r="G117" s="349"/>
      <c r="H117" s="349"/>
      <c r="I117" s="349"/>
      <c r="J117" s="349"/>
      <c r="K117" s="349"/>
      <c r="L117" s="349"/>
      <c r="M117" s="349"/>
      <c r="N117" s="349"/>
      <c r="O117" s="349"/>
      <c r="P117" s="354"/>
      <c r="Q117" s="354"/>
      <c r="R117" s="354"/>
      <c r="S117" s="354"/>
      <c r="T117" s="352"/>
      <c r="U117" s="353">
        <f>ROUNDUP(((21.19+5.95+0.3+0.72)*2.9)-(BN7+BW7),0)</f>
        <v>71</v>
      </c>
      <c r="V117" s="353"/>
      <c r="W117" s="353"/>
      <c r="X117" s="349"/>
      <c r="Y117" s="349"/>
      <c r="Z117" s="349">
        <f>ROUNDUP(((6.88+6.37)*3.8)-BW7,0)</f>
        <v>42</v>
      </c>
      <c r="AA117" s="349">
        <f t="shared" ref="AA117:AA134" si="37">U117</f>
        <v>71</v>
      </c>
      <c r="AB117" s="349"/>
      <c r="AC117" s="349"/>
      <c r="AD117" s="349"/>
      <c r="AE117" s="349"/>
      <c r="AF117" s="349"/>
      <c r="AG117" s="349"/>
      <c r="AH117" s="349"/>
      <c r="AI117" s="349"/>
      <c r="AJ117" s="349"/>
      <c r="AK117" s="349"/>
      <c r="AL117" s="349"/>
      <c r="AM117" s="349"/>
      <c r="AN117" s="349">
        <f>ROUNDUP(BN9+BW9,0)</f>
        <v>9</v>
      </c>
      <c r="AO117" s="349">
        <v>2.9</v>
      </c>
      <c r="AP117" s="354"/>
      <c r="AQ117" s="352">
        <f>ROUNDUP(BN8+BW8,0)</f>
        <v>12</v>
      </c>
      <c r="AR117" s="366">
        <f>D117</f>
        <v>52</v>
      </c>
      <c r="AS117" s="349"/>
      <c r="AT117" s="349"/>
      <c r="AU117" s="349"/>
      <c r="AV117" s="352"/>
      <c r="AW117" s="355">
        <f t="shared" si="30"/>
        <v>71</v>
      </c>
      <c r="AX117" s="356">
        <f t="shared" si="31"/>
        <v>42</v>
      </c>
      <c r="AY117" s="369">
        <f t="shared" si="29"/>
        <v>52</v>
      </c>
      <c r="AZ117" s="353"/>
      <c r="BA117" s="349"/>
      <c r="BB117" s="349"/>
      <c r="BC117" s="349"/>
      <c r="BD117" s="349"/>
      <c r="BE117" s="349"/>
      <c r="BF117" s="349"/>
      <c r="BG117" s="367"/>
      <c r="BH117" s="349"/>
      <c r="BI117" s="349"/>
      <c r="BJ117" s="349"/>
      <c r="BK117" s="349"/>
      <c r="BL117" s="349"/>
      <c r="BM117" s="349"/>
      <c r="BN117" s="367">
        <v>1</v>
      </c>
      <c r="BO117" s="367"/>
      <c r="BP117" s="367"/>
      <c r="BQ117" s="349"/>
      <c r="BR117" s="349"/>
      <c r="BS117" s="349"/>
      <c r="BT117" s="349"/>
      <c r="BU117" s="349"/>
      <c r="BV117" s="349"/>
      <c r="BW117" s="367">
        <v>1</v>
      </c>
      <c r="BX117" s="367"/>
      <c r="BY117" s="349"/>
      <c r="BZ117" s="349"/>
      <c r="CA117" s="349"/>
      <c r="CB117" s="349"/>
      <c r="CC117" s="354"/>
      <c r="CD117" s="354"/>
      <c r="CE117" s="354"/>
      <c r="CF117" s="354"/>
      <c r="CG117" s="354"/>
      <c r="CH117" s="354"/>
      <c r="CI117" s="354"/>
      <c r="CJ117" s="354"/>
      <c r="CK117" s="354"/>
      <c r="CL117" s="354"/>
      <c r="CM117" s="354"/>
      <c r="CN117" s="354"/>
      <c r="CO117" s="354"/>
      <c r="CP117" s="354"/>
      <c r="CQ117" s="354"/>
      <c r="CR117" s="354"/>
      <c r="CS117" s="354"/>
      <c r="CT117" s="354"/>
      <c r="CU117" s="354"/>
      <c r="CV117" s="354"/>
      <c r="CW117" s="354"/>
      <c r="CX117" s="354"/>
      <c r="CY117" s="354"/>
      <c r="CZ117" s="354"/>
      <c r="DA117" s="354"/>
      <c r="DB117" s="354"/>
      <c r="DC117" s="352"/>
    </row>
    <row r="118" spans="1:107" s="59" customFormat="1">
      <c r="A118" s="368"/>
      <c r="B118" s="366" t="s">
        <v>481</v>
      </c>
      <c r="C118" s="349"/>
      <c r="D118" s="367">
        <f>ROUNDUP(15.05,0)</f>
        <v>16</v>
      </c>
      <c r="E118" s="367"/>
      <c r="F118" s="349"/>
      <c r="G118" s="349"/>
      <c r="H118" s="349"/>
      <c r="I118" s="349"/>
      <c r="J118" s="349"/>
      <c r="K118" s="349"/>
      <c r="L118" s="349"/>
      <c r="M118" s="349"/>
      <c r="N118" s="349"/>
      <c r="O118" s="349"/>
      <c r="P118" s="354"/>
      <c r="Q118" s="354"/>
      <c r="R118" s="354"/>
      <c r="S118" s="354"/>
      <c r="T118" s="352"/>
      <c r="U118" s="353">
        <f>ROUNDUP((17.2*2.9)-(BN7+CH7),0)</f>
        <v>42</v>
      </c>
      <c r="V118" s="353"/>
      <c r="W118" s="353"/>
      <c r="X118" s="349"/>
      <c r="Y118" s="349"/>
      <c r="Z118" s="349">
        <f>ROUNDUP(((5.6+(1.5*2)+(0.3*2))*3.8)-CH7,0)</f>
        <v>30</v>
      </c>
      <c r="AA118" s="349">
        <f t="shared" si="37"/>
        <v>42</v>
      </c>
      <c r="AB118" s="349"/>
      <c r="AC118" s="349"/>
      <c r="AD118" s="349"/>
      <c r="AE118" s="349"/>
      <c r="AF118" s="349"/>
      <c r="AG118" s="349"/>
      <c r="AH118" s="349"/>
      <c r="AI118" s="349"/>
      <c r="AJ118" s="349"/>
      <c r="AK118" s="349"/>
      <c r="AL118" s="349"/>
      <c r="AM118" s="349"/>
      <c r="AN118" s="349">
        <f>ROUNDUP(BN9+CH9,0)</f>
        <v>9</v>
      </c>
      <c r="AO118" s="349"/>
      <c r="AP118" s="354"/>
      <c r="AQ118" s="352">
        <f>ROUNDUP(BN8+CH8,0)</f>
        <v>8</v>
      </c>
      <c r="AR118" s="366">
        <f t="shared" ref="AR118:AR134" si="38">D118</f>
        <v>16</v>
      </c>
      <c r="AS118" s="349"/>
      <c r="AT118" s="349"/>
      <c r="AU118" s="349"/>
      <c r="AV118" s="352"/>
      <c r="AW118" s="355">
        <f t="shared" si="30"/>
        <v>42</v>
      </c>
      <c r="AX118" s="356">
        <f t="shared" si="31"/>
        <v>30</v>
      </c>
      <c r="AY118" s="369">
        <f t="shared" si="29"/>
        <v>16</v>
      </c>
      <c r="AZ118" s="353"/>
      <c r="BA118" s="349"/>
      <c r="BB118" s="349"/>
      <c r="BC118" s="349"/>
      <c r="BD118" s="349"/>
      <c r="BE118" s="349"/>
      <c r="BF118" s="349"/>
      <c r="BG118" s="367"/>
      <c r="BH118" s="349"/>
      <c r="BI118" s="349"/>
      <c r="BJ118" s="349"/>
      <c r="BK118" s="349"/>
      <c r="BL118" s="349"/>
      <c r="BM118" s="349"/>
      <c r="BN118" s="367">
        <v>1</v>
      </c>
      <c r="BO118" s="367"/>
      <c r="BP118" s="367"/>
      <c r="BQ118" s="349"/>
      <c r="BR118" s="349"/>
      <c r="BS118" s="349"/>
      <c r="BT118" s="349"/>
      <c r="BU118" s="349"/>
      <c r="BV118" s="349"/>
      <c r="BW118" s="367"/>
      <c r="BX118" s="367"/>
      <c r="BY118" s="349"/>
      <c r="BZ118" s="349"/>
      <c r="CA118" s="349"/>
      <c r="CB118" s="349"/>
      <c r="CC118" s="354"/>
      <c r="CD118" s="354"/>
      <c r="CE118" s="354"/>
      <c r="CF118" s="354"/>
      <c r="CG118" s="354"/>
      <c r="CH118" s="370">
        <v>1</v>
      </c>
      <c r="CI118" s="354"/>
      <c r="CJ118" s="354"/>
      <c r="CK118" s="354"/>
      <c r="CL118" s="354"/>
      <c r="CM118" s="354"/>
      <c r="CN118" s="354"/>
      <c r="CO118" s="354"/>
      <c r="CP118" s="354"/>
      <c r="CQ118" s="354"/>
      <c r="CR118" s="354"/>
      <c r="CS118" s="354"/>
      <c r="CT118" s="354"/>
      <c r="CU118" s="354"/>
      <c r="CV118" s="354"/>
      <c r="CW118" s="354"/>
      <c r="CX118" s="354"/>
      <c r="CY118" s="354"/>
      <c r="CZ118" s="354"/>
      <c r="DA118" s="354"/>
      <c r="DB118" s="354"/>
      <c r="DC118" s="352"/>
    </row>
    <row r="119" spans="1:107" s="59" customFormat="1">
      <c r="A119" s="368"/>
      <c r="B119" s="366" t="s">
        <v>482</v>
      </c>
      <c r="C119" s="349"/>
      <c r="D119" s="367">
        <f t="shared" ref="D119:D127" si="39">ROUNDUP(15.05,0)</f>
        <v>16</v>
      </c>
      <c r="E119" s="367"/>
      <c r="F119" s="349"/>
      <c r="G119" s="349"/>
      <c r="H119" s="349"/>
      <c r="I119" s="349"/>
      <c r="J119" s="349"/>
      <c r="K119" s="349"/>
      <c r="L119" s="349"/>
      <c r="M119" s="349"/>
      <c r="N119" s="349"/>
      <c r="O119" s="349"/>
      <c r="P119" s="354"/>
      <c r="Q119" s="354"/>
      <c r="R119" s="354"/>
      <c r="S119" s="354"/>
      <c r="T119" s="352"/>
      <c r="U119" s="353">
        <f>ROUNDUP((15.6*2.9)-BN7,)</f>
        <v>43</v>
      </c>
      <c r="V119" s="353"/>
      <c r="W119" s="353"/>
      <c r="X119" s="349"/>
      <c r="Y119" s="349"/>
      <c r="Z119" s="349"/>
      <c r="AA119" s="349">
        <f t="shared" si="37"/>
        <v>43</v>
      </c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49"/>
      <c r="AN119" s="349">
        <f>ROUNDUP(BN9,0)</f>
        <v>5</v>
      </c>
      <c r="AO119" s="349"/>
      <c r="AP119" s="354"/>
      <c r="AQ119" s="352">
        <f>ROUNDUP(BN8,0)</f>
        <v>2</v>
      </c>
      <c r="AR119" s="366">
        <f t="shared" si="38"/>
        <v>16</v>
      </c>
      <c r="AS119" s="349"/>
      <c r="AT119" s="349"/>
      <c r="AU119" s="349"/>
      <c r="AV119" s="352"/>
      <c r="AW119" s="355">
        <f t="shared" si="30"/>
        <v>43</v>
      </c>
      <c r="AX119" s="356"/>
      <c r="AY119" s="369">
        <f t="shared" si="29"/>
        <v>16</v>
      </c>
      <c r="AZ119" s="353"/>
      <c r="BA119" s="349"/>
      <c r="BB119" s="349"/>
      <c r="BC119" s="349"/>
      <c r="BD119" s="349"/>
      <c r="BE119" s="349"/>
      <c r="BF119" s="349"/>
      <c r="BG119" s="367"/>
      <c r="BH119" s="349"/>
      <c r="BI119" s="349"/>
      <c r="BJ119" s="349"/>
      <c r="BK119" s="349"/>
      <c r="BL119" s="349"/>
      <c r="BM119" s="349"/>
      <c r="BN119" s="367">
        <v>1</v>
      </c>
      <c r="BO119" s="367"/>
      <c r="BP119" s="367"/>
      <c r="BQ119" s="349"/>
      <c r="BR119" s="349"/>
      <c r="BS119" s="349"/>
      <c r="BT119" s="349"/>
      <c r="BU119" s="349"/>
      <c r="BV119" s="349"/>
      <c r="BW119" s="367">
        <v>1</v>
      </c>
      <c r="BX119" s="367"/>
      <c r="BY119" s="349"/>
      <c r="BZ119" s="349"/>
      <c r="CA119" s="349"/>
      <c r="CB119" s="349"/>
      <c r="CC119" s="354"/>
      <c r="CD119" s="354"/>
      <c r="CE119" s="354"/>
      <c r="CF119" s="354"/>
      <c r="CG119" s="354"/>
      <c r="CH119" s="354"/>
      <c r="CI119" s="354"/>
      <c r="CJ119" s="354"/>
      <c r="CK119" s="354"/>
      <c r="CL119" s="354"/>
      <c r="CM119" s="354"/>
      <c r="CN119" s="354"/>
      <c r="CO119" s="354"/>
      <c r="CP119" s="354"/>
      <c r="CQ119" s="354"/>
      <c r="CR119" s="354"/>
      <c r="CS119" s="354"/>
      <c r="CT119" s="354"/>
      <c r="CU119" s="354"/>
      <c r="CV119" s="354"/>
      <c r="CW119" s="354"/>
      <c r="CX119" s="354"/>
      <c r="CY119" s="354"/>
      <c r="CZ119" s="354"/>
      <c r="DA119" s="354"/>
      <c r="DB119" s="354"/>
      <c r="DC119" s="352"/>
    </row>
    <row r="120" spans="1:107" s="59" customFormat="1">
      <c r="A120" s="368"/>
      <c r="B120" s="366" t="s">
        <v>492</v>
      </c>
      <c r="C120" s="349"/>
      <c r="D120" s="367">
        <f>ROUNDUP(21.17,0)</f>
        <v>22</v>
      </c>
      <c r="E120" s="367"/>
      <c r="F120" s="349"/>
      <c r="G120" s="349"/>
      <c r="H120" s="349"/>
      <c r="I120" s="349"/>
      <c r="J120" s="349"/>
      <c r="K120" s="349"/>
      <c r="L120" s="349"/>
      <c r="M120" s="349"/>
      <c r="N120" s="349"/>
      <c r="O120" s="349"/>
      <c r="P120" s="354"/>
      <c r="Q120" s="354"/>
      <c r="R120" s="354"/>
      <c r="S120" s="354"/>
      <c r="T120" s="352"/>
      <c r="U120" s="353">
        <f>ROUNDUP((20.729*2.9)-(BN7+BW7),0)</f>
        <v>49</v>
      </c>
      <c r="V120" s="353"/>
      <c r="W120" s="353"/>
      <c r="X120" s="349"/>
      <c r="Y120" s="349"/>
      <c r="Z120" s="349">
        <f>ROUNDUP(((5.6+(1.5*2)+(0.3*2))*3.8)-BW7,0)</f>
        <v>27</v>
      </c>
      <c r="AA120" s="349">
        <f t="shared" si="37"/>
        <v>49</v>
      </c>
      <c r="AB120" s="349"/>
      <c r="AC120" s="349"/>
      <c r="AD120" s="349"/>
      <c r="AE120" s="349"/>
      <c r="AF120" s="349"/>
      <c r="AG120" s="349"/>
      <c r="AH120" s="349"/>
      <c r="AI120" s="349"/>
      <c r="AJ120" s="349"/>
      <c r="AK120" s="349"/>
      <c r="AL120" s="349"/>
      <c r="AM120" s="349"/>
      <c r="AN120" s="349">
        <f>ROUNDUP(BN9+BW9,0)</f>
        <v>9</v>
      </c>
      <c r="AO120" s="349"/>
      <c r="AP120" s="354"/>
      <c r="AQ120" s="352">
        <f>ROUNDUP(BN8+BW8,0)</f>
        <v>12</v>
      </c>
      <c r="AR120" s="366">
        <f t="shared" si="38"/>
        <v>22</v>
      </c>
      <c r="AS120" s="349"/>
      <c r="AT120" s="349"/>
      <c r="AU120" s="349"/>
      <c r="AV120" s="352"/>
      <c r="AW120" s="355">
        <f t="shared" si="30"/>
        <v>49</v>
      </c>
      <c r="AX120" s="356">
        <f>Z120</f>
        <v>27</v>
      </c>
      <c r="AY120" s="369">
        <f t="shared" si="29"/>
        <v>22</v>
      </c>
      <c r="AZ120" s="353"/>
      <c r="BA120" s="349"/>
      <c r="BB120" s="349"/>
      <c r="BC120" s="349"/>
      <c r="BD120" s="349"/>
      <c r="BE120" s="349"/>
      <c r="BF120" s="349"/>
      <c r="BG120" s="367"/>
      <c r="BH120" s="349"/>
      <c r="BI120" s="349"/>
      <c r="BJ120" s="349"/>
      <c r="BK120" s="349"/>
      <c r="BL120" s="349"/>
      <c r="BM120" s="349"/>
      <c r="BN120" s="367">
        <v>1</v>
      </c>
      <c r="BO120" s="367"/>
      <c r="BP120" s="367"/>
      <c r="BQ120" s="349"/>
      <c r="BR120" s="349"/>
      <c r="BS120" s="349"/>
      <c r="BT120" s="349"/>
      <c r="BU120" s="349"/>
      <c r="BV120" s="349"/>
      <c r="BW120" s="367">
        <v>1</v>
      </c>
      <c r="BX120" s="367"/>
      <c r="BY120" s="349"/>
      <c r="BZ120" s="349"/>
      <c r="CA120" s="349"/>
      <c r="CB120" s="349"/>
      <c r="CC120" s="354"/>
      <c r="CD120" s="354"/>
      <c r="CE120" s="354"/>
      <c r="CF120" s="354"/>
      <c r="CG120" s="354"/>
      <c r="CH120" s="354"/>
      <c r="CI120" s="354"/>
      <c r="CJ120" s="354"/>
      <c r="CK120" s="354"/>
      <c r="CL120" s="354"/>
      <c r="CM120" s="354"/>
      <c r="CN120" s="354"/>
      <c r="CO120" s="354"/>
      <c r="CP120" s="354"/>
      <c r="CQ120" s="354"/>
      <c r="CR120" s="354"/>
      <c r="CS120" s="354"/>
      <c r="CT120" s="354"/>
      <c r="CU120" s="354"/>
      <c r="CV120" s="354"/>
      <c r="CW120" s="354"/>
      <c r="CX120" s="354"/>
      <c r="CY120" s="354"/>
      <c r="CZ120" s="354"/>
      <c r="DA120" s="354"/>
      <c r="DB120" s="354"/>
      <c r="DC120" s="352"/>
    </row>
    <row r="121" spans="1:107" s="59" customFormat="1">
      <c r="A121" s="368"/>
      <c r="B121" s="366" t="s">
        <v>493</v>
      </c>
      <c r="C121" s="349"/>
      <c r="D121" s="367">
        <f>ROUNDUP(21.17,0)</f>
        <v>22</v>
      </c>
      <c r="E121" s="367"/>
      <c r="F121" s="349"/>
      <c r="G121" s="349"/>
      <c r="H121" s="349"/>
      <c r="I121" s="349"/>
      <c r="J121" s="349"/>
      <c r="K121" s="349"/>
      <c r="L121" s="349"/>
      <c r="M121" s="349"/>
      <c r="N121" s="349"/>
      <c r="O121" s="349"/>
      <c r="P121" s="354"/>
      <c r="Q121" s="354"/>
      <c r="R121" s="354"/>
      <c r="S121" s="354"/>
      <c r="T121" s="352"/>
      <c r="U121" s="353">
        <f>ROUNDUP((19.08*2.9)-BN7,0)</f>
        <v>53</v>
      </c>
      <c r="V121" s="353"/>
      <c r="W121" s="353"/>
      <c r="X121" s="349"/>
      <c r="Y121" s="349"/>
      <c r="Z121" s="349"/>
      <c r="AA121" s="349">
        <f t="shared" si="37"/>
        <v>53</v>
      </c>
      <c r="AB121" s="349"/>
      <c r="AC121" s="349"/>
      <c r="AD121" s="349"/>
      <c r="AE121" s="349"/>
      <c r="AF121" s="349"/>
      <c r="AG121" s="349"/>
      <c r="AH121" s="349"/>
      <c r="AI121" s="349"/>
      <c r="AJ121" s="349"/>
      <c r="AK121" s="349"/>
      <c r="AL121" s="349"/>
      <c r="AM121" s="349"/>
      <c r="AN121" s="349">
        <f>ROUNDUP(BN9,0)</f>
        <v>5</v>
      </c>
      <c r="AO121" s="349"/>
      <c r="AP121" s="354"/>
      <c r="AQ121" s="352">
        <f>ROUNDUP(BN8,0)</f>
        <v>2</v>
      </c>
      <c r="AR121" s="366">
        <f t="shared" si="38"/>
        <v>22</v>
      </c>
      <c r="AS121" s="349"/>
      <c r="AT121" s="349"/>
      <c r="AU121" s="349"/>
      <c r="AV121" s="352"/>
      <c r="AW121" s="355">
        <f t="shared" si="30"/>
        <v>53</v>
      </c>
      <c r="AX121" s="356"/>
      <c r="AY121" s="369">
        <f t="shared" si="29"/>
        <v>22</v>
      </c>
      <c r="AZ121" s="353"/>
      <c r="BA121" s="349"/>
      <c r="BB121" s="349"/>
      <c r="BC121" s="349"/>
      <c r="BD121" s="349"/>
      <c r="BE121" s="349"/>
      <c r="BF121" s="349"/>
      <c r="BG121" s="367"/>
      <c r="BH121" s="349"/>
      <c r="BI121" s="349"/>
      <c r="BJ121" s="349"/>
      <c r="BK121" s="349"/>
      <c r="BL121" s="349"/>
      <c r="BM121" s="349"/>
      <c r="BN121" s="367">
        <v>1</v>
      </c>
      <c r="BO121" s="367"/>
      <c r="BP121" s="367"/>
      <c r="BQ121" s="349"/>
      <c r="BR121" s="349"/>
      <c r="BS121" s="349"/>
      <c r="BT121" s="349"/>
      <c r="BU121" s="349"/>
      <c r="BV121" s="349"/>
      <c r="BW121" s="367"/>
      <c r="BX121" s="367"/>
      <c r="BY121" s="349"/>
      <c r="BZ121" s="349"/>
      <c r="CA121" s="349"/>
      <c r="CB121" s="349"/>
      <c r="CC121" s="354"/>
      <c r="CD121" s="354"/>
      <c r="CE121" s="354"/>
      <c r="CF121" s="354"/>
      <c r="CG121" s="354"/>
      <c r="CH121" s="354"/>
      <c r="CI121" s="354"/>
      <c r="CJ121" s="354"/>
      <c r="CK121" s="354"/>
      <c r="CL121" s="354"/>
      <c r="CM121" s="354"/>
      <c r="CN121" s="354"/>
      <c r="CO121" s="354"/>
      <c r="CP121" s="354"/>
      <c r="CQ121" s="354"/>
      <c r="CR121" s="354"/>
      <c r="CS121" s="354"/>
      <c r="CT121" s="354"/>
      <c r="CU121" s="354"/>
      <c r="CV121" s="354"/>
      <c r="CW121" s="354"/>
      <c r="CX121" s="354"/>
      <c r="CY121" s="354"/>
      <c r="CZ121" s="354"/>
      <c r="DA121" s="354"/>
      <c r="DB121" s="354"/>
      <c r="DC121" s="352"/>
    </row>
    <row r="122" spans="1:107" s="59" customFormat="1">
      <c r="A122" s="368"/>
      <c r="B122" s="366" t="s">
        <v>494</v>
      </c>
      <c r="C122" s="349"/>
      <c r="D122" s="367">
        <f>ROUNDUP(21.17,0)</f>
        <v>22</v>
      </c>
      <c r="E122" s="367"/>
      <c r="F122" s="349"/>
      <c r="G122" s="349"/>
      <c r="H122" s="349"/>
      <c r="I122" s="349"/>
      <c r="J122" s="349"/>
      <c r="K122" s="349"/>
      <c r="L122" s="349"/>
      <c r="M122" s="349"/>
      <c r="N122" s="349"/>
      <c r="O122" s="349"/>
      <c r="P122" s="354"/>
      <c r="Q122" s="354"/>
      <c r="R122" s="354"/>
      <c r="S122" s="354"/>
      <c r="T122" s="352"/>
      <c r="U122" s="353">
        <f>ROUNDUP((20.729*2.9)-(BN7+BW7),0)</f>
        <v>49</v>
      </c>
      <c r="V122" s="353"/>
      <c r="W122" s="353"/>
      <c r="X122" s="349"/>
      <c r="Y122" s="349"/>
      <c r="Z122" s="349">
        <f>ROUNDUP(((5.6+(1.5*2)+(0.3*2))*3.8)-BW7,0)</f>
        <v>27</v>
      </c>
      <c r="AA122" s="349">
        <f t="shared" si="37"/>
        <v>49</v>
      </c>
      <c r="AB122" s="349"/>
      <c r="AC122" s="349"/>
      <c r="AD122" s="349"/>
      <c r="AE122" s="349"/>
      <c r="AF122" s="349"/>
      <c r="AG122" s="349"/>
      <c r="AH122" s="349"/>
      <c r="AI122" s="349"/>
      <c r="AJ122" s="349"/>
      <c r="AK122" s="349"/>
      <c r="AL122" s="349"/>
      <c r="AM122" s="349"/>
      <c r="AN122" s="349">
        <f>ROUNDUP(BN9+BW9,0)</f>
        <v>9</v>
      </c>
      <c r="AO122" s="349"/>
      <c r="AP122" s="354"/>
      <c r="AQ122" s="352">
        <f>ROUNDUP(BN8+BW8,0)</f>
        <v>12</v>
      </c>
      <c r="AR122" s="366">
        <f t="shared" si="38"/>
        <v>22</v>
      </c>
      <c r="AS122" s="349"/>
      <c r="AT122" s="349"/>
      <c r="AU122" s="349"/>
      <c r="AV122" s="352"/>
      <c r="AW122" s="355">
        <f t="shared" si="30"/>
        <v>49</v>
      </c>
      <c r="AX122" s="356">
        <f>Z122</f>
        <v>27</v>
      </c>
      <c r="AY122" s="369">
        <f t="shared" si="29"/>
        <v>22</v>
      </c>
      <c r="AZ122" s="353"/>
      <c r="BA122" s="349"/>
      <c r="BB122" s="349"/>
      <c r="BC122" s="349"/>
      <c r="BD122" s="349"/>
      <c r="BE122" s="349"/>
      <c r="BF122" s="349"/>
      <c r="BG122" s="367"/>
      <c r="BH122" s="349"/>
      <c r="BI122" s="349"/>
      <c r="BJ122" s="349"/>
      <c r="BK122" s="349"/>
      <c r="BL122" s="349"/>
      <c r="BM122" s="349"/>
      <c r="BN122" s="367">
        <v>1</v>
      </c>
      <c r="BO122" s="367"/>
      <c r="BP122" s="367"/>
      <c r="BQ122" s="349"/>
      <c r="BR122" s="349"/>
      <c r="BS122" s="349"/>
      <c r="BT122" s="349"/>
      <c r="BU122" s="349"/>
      <c r="BV122" s="349"/>
      <c r="BW122" s="367">
        <v>1</v>
      </c>
      <c r="BX122" s="367"/>
      <c r="BY122" s="349"/>
      <c r="BZ122" s="349"/>
      <c r="CA122" s="349"/>
      <c r="CB122" s="349"/>
      <c r="CC122" s="354"/>
      <c r="CD122" s="354"/>
      <c r="CE122" s="354"/>
      <c r="CF122" s="354"/>
      <c r="CG122" s="354"/>
      <c r="CH122" s="354"/>
      <c r="CI122" s="354"/>
      <c r="CJ122" s="354"/>
      <c r="CK122" s="354"/>
      <c r="CL122" s="354"/>
      <c r="CM122" s="354"/>
      <c r="CN122" s="354"/>
      <c r="CO122" s="354"/>
      <c r="CP122" s="354"/>
      <c r="CQ122" s="354"/>
      <c r="CR122" s="354"/>
      <c r="CS122" s="354"/>
      <c r="CT122" s="354"/>
      <c r="CU122" s="354"/>
      <c r="CV122" s="354"/>
      <c r="CW122" s="354"/>
      <c r="CX122" s="354"/>
      <c r="CY122" s="354"/>
      <c r="CZ122" s="354"/>
      <c r="DA122" s="354"/>
      <c r="DB122" s="354"/>
      <c r="DC122" s="352"/>
    </row>
    <row r="123" spans="1:107" s="59" customFormat="1">
      <c r="A123" s="368"/>
      <c r="B123" s="366" t="s">
        <v>495</v>
      </c>
      <c r="C123" s="349"/>
      <c r="D123" s="367">
        <f>ROUNDUP(21.17,0)</f>
        <v>22</v>
      </c>
      <c r="E123" s="367"/>
      <c r="F123" s="349"/>
      <c r="G123" s="349"/>
      <c r="H123" s="349"/>
      <c r="I123" s="349"/>
      <c r="J123" s="349"/>
      <c r="K123" s="349"/>
      <c r="L123" s="349"/>
      <c r="M123" s="349"/>
      <c r="N123" s="349"/>
      <c r="O123" s="349"/>
      <c r="P123" s="354"/>
      <c r="Q123" s="354"/>
      <c r="R123" s="354"/>
      <c r="S123" s="354"/>
      <c r="T123" s="352"/>
      <c r="U123" s="353">
        <f>ROUNDUP((19.08*2.9)-BN7,0)</f>
        <v>53</v>
      </c>
      <c r="V123" s="353"/>
      <c r="W123" s="353"/>
      <c r="X123" s="349"/>
      <c r="Y123" s="349"/>
      <c r="Z123" s="349"/>
      <c r="AA123" s="349">
        <f t="shared" si="37"/>
        <v>53</v>
      </c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49"/>
      <c r="AN123" s="349">
        <f>ROUNDUP(BN9,0)</f>
        <v>5</v>
      </c>
      <c r="AO123" s="349"/>
      <c r="AP123" s="354"/>
      <c r="AQ123" s="352">
        <f>ROUNDUP(BN8,0)</f>
        <v>2</v>
      </c>
      <c r="AR123" s="366">
        <f t="shared" si="38"/>
        <v>22</v>
      </c>
      <c r="AS123" s="349"/>
      <c r="AT123" s="349"/>
      <c r="AU123" s="349"/>
      <c r="AV123" s="352"/>
      <c r="AW123" s="355">
        <f t="shared" si="30"/>
        <v>53</v>
      </c>
      <c r="AX123" s="356"/>
      <c r="AY123" s="369">
        <f t="shared" si="29"/>
        <v>22</v>
      </c>
      <c r="AZ123" s="353"/>
      <c r="BA123" s="349"/>
      <c r="BB123" s="349"/>
      <c r="BC123" s="349"/>
      <c r="BD123" s="349"/>
      <c r="BE123" s="349"/>
      <c r="BF123" s="349"/>
      <c r="BG123" s="367"/>
      <c r="BH123" s="349"/>
      <c r="BI123" s="349"/>
      <c r="BJ123" s="349"/>
      <c r="BK123" s="349"/>
      <c r="BL123" s="349"/>
      <c r="BM123" s="349"/>
      <c r="BN123" s="367">
        <v>1</v>
      </c>
      <c r="BO123" s="367"/>
      <c r="BP123" s="367"/>
      <c r="BQ123" s="349"/>
      <c r="BR123" s="349"/>
      <c r="BS123" s="349"/>
      <c r="BT123" s="349"/>
      <c r="BU123" s="349"/>
      <c r="BV123" s="349"/>
      <c r="BW123" s="367"/>
      <c r="BX123" s="367"/>
      <c r="BY123" s="349"/>
      <c r="BZ123" s="349"/>
      <c r="CA123" s="349"/>
      <c r="CB123" s="349"/>
      <c r="CC123" s="354"/>
      <c r="CD123" s="354"/>
      <c r="CE123" s="354"/>
      <c r="CF123" s="354"/>
      <c r="CG123" s="354"/>
      <c r="CH123" s="354"/>
      <c r="CI123" s="354"/>
      <c r="CJ123" s="354"/>
      <c r="CK123" s="354"/>
      <c r="CL123" s="354"/>
      <c r="CM123" s="354"/>
      <c r="CN123" s="354"/>
      <c r="CO123" s="354"/>
      <c r="CP123" s="354"/>
      <c r="CQ123" s="354"/>
      <c r="CR123" s="354"/>
      <c r="CS123" s="354"/>
      <c r="CT123" s="354"/>
      <c r="CU123" s="354"/>
      <c r="CV123" s="354"/>
      <c r="CW123" s="354"/>
      <c r="CX123" s="354"/>
      <c r="CY123" s="354"/>
      <c r="CZ123" s="354"/>
      <c r="DA123" s="354"/>
      <c r="DB123" s="354"/>
      <c r="DC123" s="352"/>
    </row>
    <row r="124" spans="1:107" s="59" customFormat="1">
      <c r="A124" s="368"/>
      <c r="B124" s="366" t="s">
        <v>496</v>
      </c>
      <c r="C124" s="349"/>
      <c r="D124" s="367">
        <f t="shared" si="39"/>
        <v>16</v>
      </c>
      <c r="E124" s="367"/>
      <c r="F124" s="349"/>
      <c r="G124" s="349"/>
      <c r="H124" s="349"/>
      <c r="I124" s="349"/>
      <c r="J124" s="349"/>
      <c r="K124" s="349"/>
      <c r="L124" s="349"/>
      <c r="M124" s="349"/>
      <c r="N124" s="349"/>
      <c r="O124" s="349"/>
      <c r="P124" s="354"/>
      <c r="Q124" s="354"/>
      <c r="R124" s="354"/>
      <c r="S124" s="354"/>
      <c r="T124" s="352"/>
      <c r="U124" s="353">
        <f>ROUNDUP((17.2*2.9)-(BN7+CH7),0)</f>
        <v>42</v>
      </c>
      <c r="V124" s="353"/>
      <c r="W124" s="353"/>
      <c r="X124" s="349"/>
      <c r="Y124" s="349"/>
      <c r="Z124" s="349">
        <f>ROUNDUP(((5.6+(1.5*2)+(0.3*2))*3.8)-CH7,0)</f>
        <v>30</v>
      </c>
      <c r="AA124" s="349">
        <f t="shared" si="37"/>
        <v>42</v>
      </c>
      <c r="AB124" s="349"/>
      <c r="AC124" s="349"/>
      <c r="AD124" s="349"/>
      <c r="AE124" s="349"/>
      <c r="AF124" s="349"/>
      <c r="AG124" s="349"/>
      <c r="AH124" s="349"/>
      <c r="AI124" s="349"/>
      <c r="AJ124" s="349"/>
      <c r="AK124" s="349"/>
      <c r="AL124" s="349"/>
      <c r="AM124" s="349"/>
      <c r="AN124" s="349">
        <f>ROUNDUP(BN9+CH9,0)</f>
        <v>9</v>
      </c>
      <c r="AO124" s="349"/>
      <c r="AP124" s="354"/>
      <c r="AQ124" s="352">
        <f>ROUNDUP(BN8+CH8,0)</f>
        <v>8</v>
      </c>
      <c r="AR124" s="366">
        <f t="shared" si="38"/>
        <v>16</v>
      </c>
      <c r="AS124" s="349"/>
      <c r="AT124" s="349"/>
      <c r="AU124" s="349"/>
      <c r="AV124" s="352"/>
      <c r="AW124" s="355">
        <f t="shared" si="30"/>
        <v>42</v>
      </c>
      <c r="AX124" s="356">
        <f>Z124</f>
        <v>30</v>
      </c>
      <c r="AY124" s="369">
        <f t="shared" si="29"/>
        <v>16</v>
      </c>
      <c r="AZ124" s="353"/>
      <c r="BA124" s="349"/>
      <c r="BB124" s="349"/>
      <c r="BC124" s="349"/>
      <c r="BD124" s="349"/>
      <c r="BE124" s="349"/>
      <c r="BF124" s="349"/>
      <c r="BG124" s="367"/>
      <c r="BH124" s="349"/>
      <c r="BI124" s="349"/>
      <c r="BJ124" s="349"/>
      <c r="BK124" s="349"/>
      <c r="BL124" s="349"/>
      <c r="BM124" s="349"/>
      <c r="BN124" s="367">
        <v>1</v>
      </c>
      <c r="BO124" s="367"/>
      <c r="BP124" s="367"/>
      <c r="BQ124" s="349"/>
      <c r="BR124" s="349"/>
      <c r="BS124" s="349"/>
      <c r="BT124" s="349"/>
      <c r="BU124" s="349"/>
      <c r="BV124" s="349"/>
      <c r="BW124" s="367"/>
      <c r="BX124" s="367"/>
      <c r="BY124" s="349"/>
      <c r="BZ124" s="349"/>
      <c r="CA124" s="349"/>
      <c r="CB124" s="349"/>
      <c r="CC124" s="354"/>
      <c r="CD124" s="354"/>
      <c r="CE124" s="354"/>
      <c r="CF124" s="354"/>
      <c r="CG124" s="354"/>
      <c r="CH124" s="370">
        <v>1</v>
      </c>
      <c r="CI124" s="354"/>
      <c r="CJ124" s="354"/>
      <c r="CK124" s="354"/>
      <c r="CL124" s="354"/>
      <c r="CM124" s="354"/>
      <c r="CN124" s="354"/>
      <c r="CO124" s="354"/>
      <c r="CP124" s="354"/>
      <c r="CQ124" s="354"/>
      <c r="CR124" s="354"/>
      <c r="CS124" s="354"/>
      <c r="CT124" s="354"/>
      <c r="CU124" s="354"/>
      <c r="CV124" s="354"/>
      <c r="CW124" s="354"/>
      <c r="CX124" s="354"/>
      <c r="CY124" s="354"/>
      <c r="CZ124" s="354"/>
      <c r="DA124" s="354"/>
      <c r="DB124" s="354"/>
      <c r="DC124" s="352"/>
    </row>
    <row r="125" spans="1:107" s="59" customFormat="1">
      <c r="A125" s="368"/>
      <c r="B125" s="366" t="s">
        <v>497</v>
      </c>
      <c r="C125" s="349"/>
      <c r="D125" s="367">
        <f t="shared" si="39"/>
        <v>16</v>
      </c>
      <c r="E125" s="367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P125" s="354"/>
      <c r="Q125" s="354"/>
      <c r="R125" s="354"/>
      <c r="S125" s="354"/>
      <c r="T125" s="352"/>
      <c r="U125" s="353">
        <f>ROUNDUP((15.6*2.9)-BN7,)</f>
        <v>43</v>
      </c>
      <c r="V125" s="353"/>
      <c r="W125" s="353"/>
      <c r="X125" s="349"/>
      <c r="Y125" s="349"/>
      <c r="Z125" s="349"/>
      <c r="AA125" s="349">
        <f t="shared" si="37"/>
        <v>43</v>
      </c>
      <c r="AB125" s="349"/>
      <c r="AC125" s="349"/>
      <c r="AD125" s="349"/>
      <c r="AE125" s="349"/>
      <c r="AF125" s="349"/>
      <c r="AG125" s="349"/>
      <c r="AH125" s="349"/>
      <c r="AI125" s="349"/>
      <c r="AJ125" s="349"/>
      <c r="AK125" s="349"/>
      <c r="AL125" s="349"/>
      <c r="AM125" s="349"/>
      <c r="AN125" s="349">
        <f>ROUNDUP(BN9,0)</f>
        <v>5</v>
      </c>
      <c r="AO125" s="349"/>
      <c r="AP125" s="354"/>
      <c r="AQ125" s="352">
        <f>ROUNDUP(BN8,0)</f>
        <v>2</v>
      </c>
      <c r="AR125" s="366">
        <f t="shared" si="38"/>
        <v>16</v>
      </c>
      <c r="AS125" s="349"/>
      <c r="AT125" s="349"/>
      <c r="AU125" s="349"/>
      <c r="AV125" s="352"/>
      <c r="AW125" s="355">
        <f t="shared" si="30"/>
        <v>43</v>
      </c>
      <c r="AX125" s="356"/>
      <c r="AY125" s="369">
        <f t="shared" si="29"/>
        <v>16</v>
      </c>
      <c r="AZ125" s="353"/>
      <c r="BA125" s="349"/>
      <c r="BB125" s="349"/>
      <c r="BC125" s="349"/>
      <c r="BD125" s="349"/>
      <c r="BE125" s="349"/>
      <c r="BF125" s="349"/>
      <c r="BG125" s="367"/>
      <c r="BH125" s="349"/>
      <c r="BI125" s="349"/>
      <c r="BJ125" s="349"/>
      <c r="BK125" s="349"/>
      <c r="BL125" s="349"/>
      <c r="BM125" s="349"/>
      <c r="BN125" s="367">
        <v>1</v>
      </c>
      <c r="BO125" s="367"/>
      <c r="BP125" s="367"/>
      <c r="BQ125" s="349"/>
      <c r="BR125" s="349"/>
      <c r="BS125" s="349"/>
      <c r="BT125" s="349"/>
      <c r="BU125" s="349"/>
      <c r="BV125" s="349"/>
      <c r="BW125" s="367"/>
      <c r="BX125" s="367"/>
      <c r="BY125" s="349"/>
      <c r="BZ125" s="349"/>
      <c r="CA125" s="349"/>
      <c r="CB125" s="349"/>
      <c r="CC125" s="354"/>
      <c r="CD125" s="354"/>
      <c r="CE125" s="354"/>
      <c r="CF125" s="354"/>
      <c r="CG125" s="354"/>
      <c r="CH125" s="354"/>
      <c r="CI125" s="354"/>
      <c r="CJ125" s="354"/>
      <c r="CK125" s="354"/>
      <c r="CL125" s="354"/>
      <c r="CM125" s="354"/>
      <c r="CN125" s="354"/>
      <c r="CO125" s="354"/>
      <c r="CP125" s="354"/>
      <c r="CQ125" s="354"/>
      <c r="CR125" s="354"/>
      <c r="CS125" s="354"/>
      <c r="CT125" s="354"/>
      <c r="CU125" s="354"/>
      <c r="CV125" s="354"/>
      <c r="CW125" s="354"/>
      <c r="CX125" s="354"/>
      <c r="CY125" s="354"/>
      <c r="CZ125" s="354"/>
      <c r="DA125" s="354"/>
      <c r="DB125" s="354"/>
      <c r="DC125" s="352"/>
    </row>
    <row r="126" spans="1:107" s="59" customFormat="1">
      <c r="A126" s="368"/>
      <c r="B126" s="366" t="s">
        <v>498</v>
      </c>
      <c r="C126" s="349"/>
      <c r="D126" s="367">
        <f t="shared" si="39"/>
        <v>16</v>
      </c>
      <c r="E126" s="367"/>
      <c r="F126" s="349"/>
      <c r="G126" s="349"/>
      <c r="H126" s="349"/>
      <c r="I126" s="349"/>
      <c r="J126" s="349"/>
      <c r="K126" s="349"/>
      <c r="L126" s="349"/>
      <c r="M126" s="349"/>
      <c r="N126" s="349"/>
      <c r="O126" s="349"/>
      <c r="P126" s="354"/>
      <c r="Q126" s="354"/>
      <c r="R126" s="354"/>
      <c r="S126" s="354"/>
      <c r="T126" s="352"/>
      <c r="U126" s="353">
        <f>ROUNDUP((17.2*2.9)-(BN7+CH7),0)</f>
        <v>42</v>
      </c>
      <c r="V126" s="353"/>
      <c r="W126" s="353"/>
      <c r="X126" s="349"/>
      <c r="Y126" s="349"/>
      <c r="Z126" s="349">
        <f>ROUNDUP(((5.6+(1.5*2)+(0.3*2))*3.8)-CH7,0)</f>
        <v>30</v>
      </c>
      <c r="AA126" s="349">
        <f t="shared" si="37"/>
        <v>42</v>
      </c>
      <c r="AB126" s="349"/>
      <c r="AC126" s="349"/>
      <c r="AD126" s="349"/>
      <c r="AE126" s="349"/>
      <c r="AF126" s="349"/>
      <c r="AG126" s="349"/>
      <c r="AH126" s="349"/>
      <c r="AI126" s="349"/>
      <c r="AJ126" s="349"/>
      <c r="AK126" s="349"/>
      <c r="AL126" s="349"/>
      <c r="AM126" s="349"/>
      <c r="AN126" s="349">
        <f>ROUNDUP(BN9+CH9,0)</f>
        <v>9</v>
      </c>
      <c r="AO126" s="349"/>
      <c r="AP126" s="354"/>
      <c r="AQ126" s="352">
        <f>ROUNDUP(BN8+CH8,0)</f>
        <v>8</v>
      </c>
      <c r="AR126" s="366">
        <f t="shared" si="38"/>
        <v>16</v>
      </c>
      <c r="AS126" s="349"/>
      <c r="AT126" s="349"/>
      <c r="AU126" s="349"/>
      <c r="AV126" s="352"/>
      <c r="AW126" s="355">
        <f t="shared" si="30"/>
        <v>42</v>
      </c>
      <c r="AX126" s="356">
        <f>Z126</f>
        <v>30</v>
      </c>
      <c r="AY126" s="369">
        <f t="shared" si="29"/>
        <v>16</v>
      </c>
      <c r="AZ126" s="353"/>
      <c r="BA126" s="349"/>
      <c r="BB126" s="349"/>
      <c r="BC126" s="349"/>
      <c r="BD126" s="349"/>
      <c r="BE126" s="349"/>
      <c r="BF126" s="349"/>
      <c r="BG126" s="367"/>
      <c r="BH126" s="349"/>
      <c r="BI126" s="349"/>
      <c r="BJ126" s="349"/>
      <c r="BK126" s="349"/>
      <c r="BL126" s="349"/>
      <c r="BM126" s="349"/>
      <c r="BN126" s="367">
        <v>1</v>
      </c>
      <c r="BO126" s="367"/>
      <c r="BP126" s="367"/>
      <c r="BQ126" s="349"/>
      <c r="BR126" s="349"/>
      <c r="BS126" s="349"/>
      <c r="BT126" s="349"/>
      <c r="BU126" s="349"/>
      <c r="BV126" s="349"/>
      <c r="BW126" s="367"/>
      <c r="BX126" s="367"/>
      <c r="BY126" s="349"/>
      <c r="BZ126" s="349"/>
      <c r="CA126" s="349"/>
      <c r="CB126" s="349"/>
      <c r="CC126" s="354"/>
      <c r="CD126" s="354"/>
      <c r="CE126" s="354"/>
      <c r="CF126" s="354"/>
      <c r="CG126" s="354"/>
      <c r="CH126" s="370">
        <v>1</v>
      </c>
      <c r="CI126" s="354"/>
      <c r="CJ126" s="354"/>
      <c r="CK126" s="354"/>
      <c r="CL126" s="354"/>
      <c r="CM126" s="354"/>
      <c r="CN126" s="354"/>
      <c r="CO126" s="354"/>
      <c r="CP126" s="354"/>
      <c r="CQ126" s="354"/>
      <c r="CR126" s="354"/>
      <c r="CS126" s="354"/>
      <c r="CT126" s="354"/>
      <c r="CU126" s="354"/>
      <c r="CV126" s="354"/>
      <c r="CW126" s="354"/>
      <c r="CX126" s="354"/>
      <c r="CY126" s="354"/>
      <c r="CZ126" s="354"/>
      <c r="DA126" s="354"/>
      <c r="DB126" s="354"/>
      <c r="DC126" s="352"/>
    </row>
    <row r="127" spans="1:107" s="59" customFormat="1">
      <c r="A127" s="368"/>
      <c r="B127" s="366" t="s">
        <v>499</v>
      </c>
      <c r="C127" s="349"/>
      <c r="D127" s="367">
        <f t="shared" si="39"/>
        <v>16</v>
      </c>
      <c r="E127" s="367"/>
      <c r="F127" s="349"/>
      <c r="G127" s="349"/>
      <c r="H127" s="349"/>
      <c r="I127" s="349"/>
      <c r="J127" s="349"/>
      <c r="K127" s="349"/>
      <c r="L127" s="349"/>
      <c r="M127" s="349"/>
      <c r="N127" s="349"/>
      <c r="O127" s="349"/>
      <c r="P127" s="354"/>
      <c r="Q127" s="354"/>
      <c r="R127" s="354"/>
      <c r="S127" s="354"/>
      <c r="T127" s="352"/>
      <c r="U127" s="353">
        <f>ROUNDUP((15.6*2.9)-BN7,)</f>
        <v>43</v>
      </c>
      <c r="V127" s="353"/>
      <c r="W127" s="353"/>
      <c r="X127" s="349"/>
      <c r="Y127" s="349"/>
      <c r="Z127" s="349"/>
      <c r="AA127" s="349">
        <f t="shared" si="37"/>
        <v>43</v>
      </c>
      <c r="AB127" s="349"/>
      <c r="AC127" s="349"/>
      <c r="AD127" s="349"/>
      <c r="AE127" s="349"/>
      <c r="AF127" s="349"/>
      <c r="AG127" s="349"/>
      <c r="AH127" s="349"/>
      <c r="AI127" s="349"/>
      <c r="AJ127" s="349"/>
      <c r="AK127" s="349"/>
      <c r="AL127" s="349"/>
      <c r="AM127" s="349"/>
      <c r="AN127" s="349">
        <f>ROUNDUP(BN9,0)</f>
        <v>5</v>
      </c>
      <c r="AO127" s="349"/>
      <c r="AP127" s="354"/>
      <c r="AQ127" s="352">
        <f>ROUNDUP(BN8,0)</f>
        <v>2</v>
      </c>
      <c r="AR127" s="366">
        <f t="shared" si="38"/>
        <v>16</v>
      </c>
      <c r="AS127" s="349"/>
      <c r="AT127" s="349"/>
      <c r="AU127" s="349"/>
      <c r="AV127" s="352"/>
      <c r="AW127" s="355">
        <f t="shared" si="30"/>
        <v>43</v>
      </c>
      <c r="AX127" s="356"/>
      <c r="AY127" s="369">
        <f t="shared" si="29"/>
        <v>16</v>
      </c>
      <c r="AZ127" s="353"/>
      <c r="BA127" s="349"/>
      <c r="BB127" s="349"/>
      <c r="BC127" s="349"/>
      <c r="BD127" s="349"/>
      <c r="BE127" s="349"/>
      <c r="BF127" s="349"/>
      <c r="BG127" s="367"/>
      <c r="BH127" s="349"/>
      <c r="BI127" s="349"/>
      <c r="BJ127" s="349"/>
      <c r="BK127" s="349"/>
      <c r="BL127" s="349"/>
      <c r="BM127" s="349"/>
      <c r="BN127" s="367">
        <v>1</v>
      </c>
      <c r="BO127" s="367"/>
      <c r="BP127" s="367"/>
      <c r="BQ127" s="349"/>
      <c r="BR127" s="349"/>
      <c r="BS127" s="349"/>
      <c r="BT127" s="349"/>
      <c r="BU127" s="349"/>
      <c r="BV127" s="349"/>
      <c r="BW127" s="367"/>
      <c r="BX127" s="367"/>
      <c r="BY127" s="349"/>
      <c r="BZ127" s="349"/>
      <c r="CA127" s="349"/>
      <c r="CB127" s="349"/>
      <c r="CC127" s="354"/>
      <c r="CD127" s="354"/>
      <c r="CE127" s="354"/>
      <c r="CF127" s="354"/>
      <c r="CG127" s="354"/>
      <c r="CH127" s="354"/>
      <c r="CI127" s="354"/>
      <c r="CJ127" s="354"/>
      <c r="CK127" s="354"/>
      <c r="CL127" s="354"/>
      <c r="CM127" s="354"/>
      <c r="CN127" s="354"/>
      <c r="CO127" s="354"/>
      <c r="CP127" s="354"/>
      <c r="CQ127" s="354"/>
      <c r="CR127" s="354"/>
      <c r="CS127" s="354"/>
      <c r="CT127" s="354"/>
      <c r="CU127" s="354"/>
      <c r="CV127" s="354"/>
      <c r="CW127" s="354"/>
      <c r="CX127" s="354"/>
      <c r="CY127" s="354"/>
      <c r="CZ127" s="354"/>
      <c r="DA127" s="354"/>
      <c r="DB127" s="354"/>
      <c r="DC127" s="352"/>
    </row>
    <row r="128" spans="1:107" s="59" customFormat="1">
      <c r="A128" s="368"/>
      <c r="B128" s="366" t="s">
        <v>500</v>
      </c>
      <c r="C128" s="349"/>
      <c r="D128" s="367">
        <f t="shared" ref="D128:D131" si="40">ROUNDUP(21.17,0)</f>
        <v>22</v>
      </c>
      <c r="E128" s="367"/>
      <c r="F128" s="349"/>
      <c r="G128" s="349"/>
      <c r="H128" s="349"/>
      <c r="I128" s="349"/>
      <c r="J128" s="349"/>
      <c r="K128" s="349"/>
      <c r="L128" s="349"/>
      <c r="M128" s="349"/>
      <c r="N128" s="349"/>
      <c r="O128" s="349"/>
      <c r="P128" s="354"/>
      <c r="Q128" s="354"/>
      <c r="R128" s="354"/>
      <c r="S128" s="354"/>
      <c r="T128" s="352"/>
      <c r="U128" s="353">
        <f>ROUNDUP((20.729*2.9)-(BN7+BW7),0)</f>
        <v>49</v>
      </c>
      <c r="V128" s="353"/>
      <c r="W128" s="353"/>
      <c r="X128" s="349"/>
      <c r="Y128" s="349"/>
      <c r="Z128" s="349">
        <f>ROUNDUP(((5.6+(1.5*2)+(0.3*2))*3.8)-BW7,0)</f>
        <v>27</v>
      </c>
      <c r="AA128" s="349">
        <f t="shared" si="37"/>
        <v>49</v>
      </c>
      <c r="AB128" s="349"/>
      <c r="AC128" s="349"/>
      <c r="AD128" s="349"/>
      <c r="AE128" s="349"/>
      <c r="AF128" s="349"/>
      <c r="AG128" s="349"/>
      <c r="AH128" s="349"/>
      <c r="AI128" s="349"/>
      <c r="AJ128" s="349"/>
      <c r="AK128" s="349"/>
      <c r="AL128" s="349"/>
      <c r="AM128" s="349"/>
      <c r="AN128" s="349">
        <f>ROUNDUP(BN9+BW9,0)</f>
        <v>9</v>
      </c>
      <c r="AO128" s="349"/>
      <c r="AP128" s="354"/>
      <c r="AQ128" s="352">
        <f>ROUNDUP(BN8+BW8,0)</f>
        <v>12</v>
      </c>
      <c r="AR128" s="366">
        <f t="shared" si="38"/>
        <v>22</v>
      </c>
      <c r="AS128" s="349"/>
      <c r="AT128" s="349"/>
      <c r="AU128" s="349"/>
      <c r="AV128" s="352"/>
      <c r="AW128" s="355">
        <f t="shared" si="30"/>
        <v>49</v>
      </c>
      <c r="AX128" s="356">
        <f>Z128</f>
        <v>27</v>
      </c>
      <c r="AY128" s="369">
        <f t="shared" si="29"/>
        <v>22</v>
      </c>
      <c r="AZ128" s="353"/>
      <c r="BA128" s="349"/>
      <c r="BB128" s="349"/>
      <c r="BC128" s="349"/>
      <c r="BD128" s="349"/>
      <c r="BE128" s="349"/>
      <c r="BF128" s="349"/>
      <c r="BG128" s="367"/>
      <c r="BH128" s="349"/>
      <c r="BI128" s="349"/>
      <c r="BJ128" s="349"/>
      <c r="BK128" s="349"/>
      <c r="BL128" s="349"/>
      <c r="BM128" s="349"/>
      <c r="BN128" s="367">
        <v>1</v>
      </c>
      <c r="BO128" s="367"/>
      <c r="BP128" s="367"/>
      <c r="BQ128" s="349"/>
      <c r="BR128" s="349"/>
      <c r="BS128" s="349"/>
      <c r="BT128" s="349"/>
      <c r="BU128" s="349"/>
      <c r="BV128" s="349"/>
      <c r="BW128" s="367">
        <v>1</v>
      </c>
      <c r="BX128" s="367"/>
      <c r="BY128" s="349"/>
      <c r="BZ128" s="349"/>
      <c r="CA128" s="349"/>
      <c r="CB128" s="349"/>
      <c r="CC128" s="354"/>
      <c r="CD128" s="354"/>
      <c r="CE128" s="354"/>
      <c r="CF128" s="354"/>
      <c r="CG128" s="354"/>
      <c r="CH128" s="354"/>
      <c r="CI128" s="354"/>
      <c r="CJ128" s="354"/>
      <c r="CK128" s="354"/>
      <c r="CL128" s="354"/>
      <c r="CM128" s="354"/>
      <c r="CN128" s="354"/>
      <c r="CO128" s="354"/>
      <c r="CP128" s="354"/>
      <c r="CQ128" s="354"/>
      <c r="CR128" s="354"/>
      <c r="CS128" s="354"/>
      <c r="CT128" s="354"/>
      <c r="CU128" s="354"/>
      <c r="CV128" s="354"/>
      <c r="CW128" s="354"/>
      <c r="CX128" s="354"/>
      <c r="CY128" s="354"/>
      <c r="CZ128" s="354"/>
      <c r="DA128" s="354"/>
      <c r="DB128" s="354"/>
      <c r="DC128" s="352"/>
    </row>
    <row r="129" spans="1:116" s="59" customFormat="1">
      <c r="A129" s="368"/>
      <c r="B129" s="366" t="s">
        <v>501</v>
      </c>
      <c r="C129" s="349"/>
      <c r="D129" s="367">
        <f t="shared" si="40"/>
        <v>22</v>
      </c>
      <c r="E129" s="367"/>
      <c r="F129" s="349"/>
      <c r="G129" s="349"/>
      <c r="H129" s="349"/>
      <c r="I129" s="349"/>
      <c r="J129" s="349"/>
      <c r="K129" s="349"/>
      <c r="L129" s="349"/>
      <c r="M129" s="349"/>
      <c r="N129" s="349"/>
      <c r="O129" s="349"/>
      <c r="P129" s="354"/>
      <c r="Q129" s="354"/>
      <c r="R129" s="354"/>
      <c r="S129" s="354"/>
      <c r="T129" s="352"/>
      <c r="U129" s="353">
        <f>ROUNDUP((19.08*2.9)-BN7,0)</f>
        <v>53</v>
      </c>
      <c r="V129" s="353"/>
      <c r="W129" s="353"/>
      <c r="X129" s="349"/>
      <c r="Y129" s="349"/>
      <c r="Z129" s="349"/>
      <c r="AA129" s="349">
        <f t="shared" si="37"/>
        <v>53</v>
      </c>
      <c r="AB129" s="349"/>
      <c r="AC129" s="349"/>
      <c r="AD129" s="349"/>
      <c r="AE129" s="349"/>
      <c r="AF129" s="349"/>
      <c r="AG129" s="349"/>
      <c r="AH129" s="349"/>
      <c r="AI129" s="349"/>
      <c r="AJ129" s="349"/>
      <c r="AK129" s="349"/>
      <c r="AL129" s="349"/>
      <c r="AM129" s="349"/>
      <c r="AN129" s="349">
        <f>ROUNDUP(BN9,0)</f>
        <v>5</v>
      </c>
      <c r="AO129" s="349"/>
      <c r="AP129" s="354"/>
      <c r="AQ129" s="352">
        <f>ROUNDUP(BN8,0)</f>
        <v>2</v>
      </c>
      <c r="AR129" s="366">
        <f t="shared" si="38"/>
        <v>22</v>
      </c>
      <c r="AS129" s="349"/>
      <c r="AT129" s="349"/>
      <c r="AU129" s="349"/>
      <c r="AV129" s="352"/>
      <c r="AW129" s="355">
        <f t="shared" si="30"/>
        <v>53</v>
      </c>
      <c r="AX129" s="356"/>
      <c r="AY129" s="369">
        <f t="shared" si="29"/>
        <v>22</v>
      </c>
      <c r="AZ129" s="353"/>
      <c r="BA129" s="349"/>
      <c r="BB129" s="349"/>
      <c r="BC129" s="349"/>
      <c r="BD129" s="349"/>
      <c r="BE129" s="349"/>
      <c r="BF129" s="349"/>
      <c r="BG129" s="367"/>
      <c r="BH129" s="349"/>
      <c r="BI129" s="349"/>
      <c r="BJ129" s="349"/>
      <c r="BK129" s="349"/>
      <c r="BL129" s="349"/>
      <c r="BM129" s="349"/>
      <c r="BN129" s="367">
        <v>1</v>
      </c>
      <c r="BO129" s="367"/>
      <c r="BP129" s="367"/>
      <c r="BQ129" s="349"/>
      <c r="BR129" s="349"/>
      <c r="BS129" s="349"/>
      <c r="BT129" s="349"/>
      <c r="BU129" s="349"/>
      <c r="BV129" s="349"/>
      <c r="BW129" s="367"/>
      <c r="BX129" s="367"/>
      <c r="BY129" s="349"/>
      <c r="BZ129" s="349"/>
      <c r="CA129" s="349"/>
      <c r="CB129" s="349"/>
      <c r="CC129" s="354"/>
      <c r="CD129" s="354"/>
      <c r="CE129" s="354"/>
      <c r="CF129" s="354"/>
      <c r="CG129" s="354"/>
      <c r="CH129" s="354"/>
      <c r="CI129" s="354"/>
      <c r="CJ129" s="354"/>
      <c r="CK129" s="354"/>
      <c r="CL129" s="354"/>
      <c r="CM129" s="354"/>
      <c r="CN129" s="354"/>
      <c r="CO129" s="354"/>
      <c r="CP129" s="354"/>
      <c r="CQ129" s="354"/>
      <c r="CR129" s="354"/>
      <c r="CS129" s="354"/>
      <c r="CT129" s="354"/>
      <c r="CU129" s="354"/>
      <c r="CV129" s="354"/>
      <c r="CW129" s="354"/>
      <c r="CX129" s="354"/>
      <c r="CY129" s="354"/>
      <c r="CZ129" s="354"/>
      <c r="DA129" s="354"/>
      <c r="DB129" s="354"/>
      <c r="DC129" s="352"/>
    </row>
    <row r="130" spans="1:116" s="59" customFormat="1">
      <c r="A130" s="368"/>
      <c r="B130" s="366" t="s">
        <v>502</v>
      </c>
      <c r="C130" s="349"/>
      <c r="D130" s="367">
        <f t="shared" si="40"/>
        <v>22</v>
      </c>
      <c r="E130" s="367"/>
      <c r="F130" s="349"/>
      <c r="G130" s="349"/>
      <c r="H130" s="349"/>
      <c r="I130" s="349"/>
      <c r="J130" s="349"/>
      <c r="K130" s="349"/>
      <c r="L130" s="349"/>
      <c r="M130" s="349"/>
      <c r="N130" s="349"/>
      <c r="O130" s="349"/>
      <c r="P130" s="354"/>
      <c r="Q130" s="354"/>
      <c r="R130" s="354"/>
      <c r="S130" s="354"/>
      <c r="T130" s="352"/>
      <c r="U130" s="353">
        <f>ROUNDUP((20.729*2.9)-(BN7+BW7),0)</f>
        <v>49</v>
      </c>
      <c r="V130" s="353"/>
      <c r="W130" s="353"/>
      <c r="X130" s="349"/>
      <c r="Y130" s="349"/>
      <c r="Z130" s="349">
        <f>ROUNDUP(((5.6+(1.5*2)+(0.3*2))*3.8)-BW7,0)</f>
        <v>27</v>
      </c>
      <c r="AA130" s="349">
        <f t="shared" si="37"/>
        <v>49</v>
      </c>
      <c r="AB130" s="349"/>
      <c r="AC130" s="349"/>
      <c r="AD130" s="349"/>
      <c r="AE130" s="349"/>
      <c r="AF130" s="349"/>
      <c r="AG130" s="349"/>
      <c r="AH130" s="349"/>
      <c r="AI130" s="349"/>
      <c r="AJ130" s="349"/>
      <c r="AK130" s="349"/>
      <c r="AL130" s="349"/>
      <c r="AM130" s="349"/>
      <c r="AN130" s="349">
        <f>ROUNDUP(BN9+BW9,0)</f>
        <v>9</v>
      </c>
      <c r="AO130" s="349"/>
      <c r="AP130" s="354"/>
      <c r="AQ130" s="352">
        <f>ROUNDUP(BN8+BW8,0)</f>
        <v>12</v>
      </c>
      <c r="AR130" s="366">
        <f t="shared" si="38"/>
        <v>22</v>
      </c>
      <c r="AS130" s="349"/>
      <c r="AT130" s="349"/>
      <c r="AU130" s="349"/>
      <c r="AV130" s="352"/>
      <c r="AW130" s="355">
        <f t="shared" si="30"/>
        <v>49</v>
      </c>
      <c r="AX130" s="356">
        <f>Z130</f>
        <v>27</v>
      </c>
      <c r="AY130" s="369">
        <f t="shared" si="29"/>
        <v>22</v>
      </c>
      <c r="AZ130" s="353"/>
      <c r="BA130" s="349"/>
      <c r="BB130" s="349"/>
      <c r="BC130" s="349"/>
      <c r="BD130" s="349"/>
      <c r="BE130" s="349"/>
      <c r="BF130" s="349"/>
      <c r="BG130" s="367"/>
      <c r="BH130" s="349"/>
      <c r="BI130" s="349"/>
      <c r="BJ130" s="349"/>
      <c r="BK130" s="349"/>
      <c r="BL130" s="349"/>
      <c r="BM130" s="349"/>
      <c r="BN130" s="367">
        <v>1</v>
      </c>
      <c r="BO130" s="367"/>
      <c r="BP130" s="367"/>
      <c r="BQ130" s="349"/>
      <c r="BR130" s="349"/>
      <c r="BS130" s="349"/>
      <c r="BT130" s="349"/>
      <c r="BU130" s="349"/>
      <c r="BV130" s="349"/>
      <c r="BW130" s="367">
        <v>1</v>
      </c>
      <c r="BX130" s="367"/>
      <c r="BY130" s="349"/>
      <c r="BZ130" s="349"/>
      <c r="CA130" s="349"/>
      <c r="CB130" s="349"/>
      <c r="CC130" s="354"/>
      <c r="CD130" s="354"/>
      <c r="CE130" s="354"/>
      <c r="CF130" s="354"/>
      <c r="CG130" s="354"/>
      <c r="CH130" s="354"/>
      <c r="CI130" s="354"/>
      <c r="CJ130" s="354"/>
      <c r="CK130" s="354"/>
      <c r="CL130" s="354"/>
      <c r="CM130" s="354"/>
      <c r="CN130" s="354"/>
      <c r="CO130" s="354"/>
      <c r="CP130" s="354"/>
      <c r="CQ130" s="354"/>
      <c r="CR130" s="354"/>
      <c r="CS130" s="354"/>
      <c r="CT130" s="354"/>
      <c r="CU130" s="354"/>
      <c r="CV130" s="354"/>
      <c r="CW130" s="354"/>
      <c r="CX130" s="354"/>
      <c r="CY130" s="354"/>
      <c r="CZ130" s="354"/>
      <c r="DA130" s="354"/>
      <c r="DB130" s="354"/>
      <c r="DC130" s="352"/>
    </row>
    <row r="131" spans="1:116" s="59" customFormat="1">
      <c r="A131" s="368"/>
      <c r="B131" s="366" t="s">
        <v>503</v>
      </c>
      <c r="C131" s="349"/>
      <c r="D131" s="367">
        <f t="shared" si="40"/>
        <v>22</v>
      </c>
      <c r="E131" s="367"/>
      <c r="F131" s="349"/>
      <c r="G131" s="349"/>
      <c r="H131" s="349"/>
      <c r="I131" s="349"/>
      <c r="J131" s="349"/>
      <c r="K131" s="349"/>
      <c r="L131" s="349"/>
      <c r="M131" s="349"/>
      <c r="N131" s="349"/>
      <c r="O131" s="349"/>
      <c r="P131" s="354"/>
      <c r="Q131" s="354"/>
      <c r="R131" s="354"/>
      <c r="S131" s="354"/>
      <c r="T131" s="352"/>
      <c r="U131" s="353">
        <f>ROUNDUP((19.08*2.9)-BN7,0)</f>
        <v>53</v>
      </c>
      <c r="V131" s="353"/>
      <c r="W131" s="353"/>
      <c r="X131" s="349"/>
      <c r="Y131" s="349"/>
      <c r="Z131" s="349"/>
      <c r="AA131" s="349">
        <f t="shared" si="37"/>
        <v>53</v>
      </c>
      <c r="AB131" s="349"/>
      <c r="AC131" s="349"/>
      <c r="AD131" s="349"/>
      <c r="AE131" s="349"/>
      <c r="AF131" s="349"/>
      <c r="AG131" s="349"/>
      <c r="AH131" s="349"/>
      <c r="AI131" s="349"/>
      <c r="AJ131" s="349"/>
      <c r="AK131" s="349"/>
      <c r="AL131" s="349"/>
      <c r="AM131" s="349"/>
      <c r="AN131" s="349">
        <f>ROUNDUP(BN9,0)</f>
        <v>5</v>
      </c>
      <c r="AO131" s="349"/>
      <c r="AP131" s="354"/>
      <c r="AQ131" s="352">
        <f>ROUNDUP(BN8,0)</f>
        <v>2</v>
      </c>
      <c r="AR131" s="366">
        <f t="shared" si="38"/>
        <v>22</v>
      </c>
      <c r="AS131" s="349"/>
      <c r="AT131" s="349"/>
      <c r="AU131" s="349"/>
      <c r="AV131" s="352"/>
      <c r="AW131" s="355">
        <f t="shared" si="30"/>
        <v>53</v>
      </c>
      <c r="AX131" s="356"/>
      <c r="AY131" s="369">
        <f t="shared" si="29"/>
        <v>22</v>
      </c>
      <c r="AZ131" s="353"/>
      <c r="BA131" s="349"/>
      <c r="BB131" s="349"/>
      <c r="BC131" s="349"/>
      <c r="BD131" s="349"/>
      <c r="BE131" s="349"/>
      <c r="BF131" s="349"/>
      <c r="BG131" s="367"/>
      <c r="BH131" s="349"/>
      <c r="BI131" s="349"/>
      <c r="BJ131" s="349"/>
      <c r="BK131" s="349"/>
      <c r="BL131" s="349"/>
      <c r="BM131" s="349"/>
      <c r="BN131" s="367">
        <v>1</v>
      </c>
      <c r="BO131" s="367"/>
      <c r="BP131" s="367"/>
      <c r="BQ131" s="349"/>
      <c r="BR131" s="349"/>
      <c r="BS131" s="349"/>
      <c r="BT131" s="349"/>
      <c r="BU131" s="349"/>
      <c r="BV131" s="349"/>
      <c r="BW131" s="367"/>
      <c r="BX131" s="367"/>
      <c r="BY131" s="349"/>
      <c r="BZ131" s="349"/>
      <c r="CA131" s="349"/>
      <c r="CB131" s="349"/>
      <c r="CC131" s="354"/>
      <c r="CD131" s="354"/>
      <c r="CE131" s="354"/>
      <c r="CF131" s="354"/>
      <c r="CG131" s="354"/>
      <c r="CH131" s="354"/>
      <c r="CI131" s="354"/>
      <c r="CJ131" s="354"/>
      <c r="CK131" s="354"/>
      <c r="CL131" s="354"/>
      <c r="CM131" s="354"/>
      <c r="CN131" s="354"/>
      <c r="CO131" s="354"/>
      <c r="CP131" s="354"/>
      <c r="CQ131" s="354"/>
      <c r="CR131" s="354"/>
      <c r="CS131" s="354"/>
      <c r="CT131" s="354"/>
      <c r="CU131" s="354"/>
      <c r="CV131" s="354"/>
      <c r="CW131" s="354"/>
      <c r="CX131" s="354"/>
      <c r="CY131" s="354"/>
      <c r="CZ131" s="354"/>
      <c r="DA131" s="354"/>
      <c r="DB131" s="354"/>
      <c r="DC131" s="352"/>
    </row>
    <row r="132" spans="1:116" s="59" customFormat="1">
      <c r="A132" s="368"/>
      <c r="B132" s="366" t="s">
        <v>504</v>
      </c>
      <c r="C132" s="349"/>
      <c r="D132" s="367">
        <f>ROUNDUP(14.58,0)</f>
        <v>15</v>
      </c>
      <c r="E132" s="367"/>
      <c r="F132" s="349"/>
      <c r="G132" s="349"/>
      <c r="H132" s="349"/>
      <c r="I132" s="349"/>
      <c r="J132" s="349"/>
      <c r="K132" s="349"/>
      <c r="L132" s="349"/>
      <c r="M132" s="349"/>
      <c r="N132" s="349"/>
      <c r="O132" s="349"/>
      <c r="P132" s="354"/>
      <c r="Q132" s="354"/>
      <c r="R132" s="354"/>
      <c r="S132" s="354"/>
      <c r="T132" s="352"/>
      <c r="U132" s="353">
        <f>ROUNDUP((17.2*2.9)-(BN7+CH7),0)</f>
        <v>42</v>
      </c>
      <c r="V132" s="353"/>
      <c r="W132" s="353"/>
      <c r="X132" s="349"/>
      <c r="Y132" s="349"/>
      <c r="Z132" s="349">
        <f>ROUNDUP(((5.6+(1.5*2)+(0.3*2))*3.8)-CH7,0)</f>
        <v>30</v>
      </c>
      <c r="AA132" s="349">
        <f t="shared" si="37"/>
        <v>42</v>
      </c>
      <c r="AB132" s="349"/>
      <c r="AC132" s="349"/>
      <c r="AD132" s="349"/>
      <c r="AE132" s="349"/>
      <c r="AF132" s="349"/>
      <c r="AG132" s="349"/>
      <c r="AH132" s="349"/>
      <c r="AI132" s="349"/>
      <c r="AJ132" s="349"/>
      <c r="AK132" s="349"/>
      <c r="AL132" s="349"/>
      <c r="AM132" s="349"/>
      <c r="AN132" s="349">
        <f>ROUNDUP(BN9+CH9,0)</f>
        <v>9</v>
      </c>
      <c r="AO132" s="349"/>
      <c r="AP132" s="354"/>
      <c r="AQ132" s="352">
        <f>ROUNDUP(BN8+CH8,0)</f>
        <v>8</v>
      </c>
      <c r="AR132" s="366">
        <f t="shared" si="38"/>
        <v>15</v>
      </c>
      <c r="AS132" s="349"/>
      <c r="AT132" s="349"/>
      <c r="AU132" s="349"/>
      <c r="AV132" s="352"/>
      <c r="AW132" s="355">
        <f t="shared" si="30"/>
        <v>42</v>
      </c>
      <c r="AX132" s="356">
        <f>Z132</f>
        <v>30</v>
      </c>
      <c r="AY132" s="369">
        <f t="shared" si="29"/>
        <v>15</v>
      </c>
      <c r="AZ132" s="353"/>
      <c r="BA132" s="349"/>
      <c r="BB132" s="349"/>
      <c r="BC132" s="349"/>
      <c r="BD132" s="349"/>
      <c r="BE132" s="349"/>
      <c r="BF132" s="349"/>
      <c r="BG132" s="367"/>
      <c r="BH132" s="349"/>
      <c r="BI132" s="349"/>
      <c r="BJ132" s="349"/>
      <c r="BK132" s="349"/>
      <c r="BL132" s="349"/>
      <c r="BM132" s="349"/>
      <c r="BN132" s="367">
        <v>1</v>
      </c>
      <c r="BO132" s="367"/>
      <c r="BP132" s="367"/>
      <c r="BQ132" s="349"/>
      <c r="BR132" s="349"/>
      <c r="BS132" s="349"/>
      <c r="BT132" s="349"/>
      <c r="BU132" s="349"/>
      <c r="BV132" s="349"/>
      <c r="BW132" s="367"/>
      <c r="BX132" s="367"/>
      <c r="BY132" s="349"/>
      <c r="BZ132" s="349"/>
      <c r="CA132" s="349"/>
      <c r="CB132" s="349"/>
      <c r="CC132" s="354"/>
      <c r="CD132" s="354"/>
      <c r="CE132" s="354"/>
      <c r="CF132" s="354"/>
      <c r="CG132" s="354"/>
      <c r="CH132" s="370">
        <v>1</v>
      </c>
      <c r="CI132" s="354"/>
      <c r="CJ132" s="354"/>
      <c r="CK132" s="354"/>
      <c r="CL132" s="354"/>
      <c r="CM132" s="354"/>
      <c r="CN132" s="354"/>
      <c r="CO132" s="354"/>
      <c r="CP132" s="354"/>
      <c r="CQ132" s="354"/>
      <c r="CR132" s="354"/>
      <c r="CS132" s="354"/>
      <c r="CT132" s="354"/>
      <c r="CU132" s="354"/>
      <c r="CV132" s="354"/>
      <c r="CW132" s="354"/>
      <c r="CX132" s="354"/>
      <c r="CY132" s="354"/>
      <c r="CZ132" s="354"/>
      <c r="DA132" s="354"/>
      <c r="DB132" s="354"/>
      <c r="DC132" s="352"/>
    </row>
    <row r="133" spans="1:116" s="59" customFormat="1">
      <c r="A133" s="368"/>
      <c r="B133" s="366" t="s">
        <v>505</v>
      </c>
      <c r="C133" s="349"/>
      <c r="D133" s="367">
        <f t="shared" ref="D133" si="41">ROUNDUP(14.58,0)</f>
        <v>15</v>
      </c>
      <c r="E133" s="367"/>
      <c r="F133" s="349"/>
      <c r="G133" s="349"/>
      <c r="H133" s="349"/>
      <c r="I133" s="349"/>
      <c r="J133" s="349"/>
      <c r="K133" s="349"/>
      <c r="L133" s="349"/>
      <c r="M133" s="349"/>
      <c r="N133" s="349"/>
      <c r="O133" s="349"/>
      <c r="P133" s="354"/>
      <c r="Q133" s="354"/>
      <c r="R133" s="354"/>
      <c r="S133" s="354"/>
      <c r="T133" s="352"/>
      <c r="U133" s="353">
        <f>ROUNDUP((15.6*2.9)-BN7,)</f>
        <v>43</v>
      </c>
      <c r="V133" s="353"/>
      <c r="W133" s="353"/>
      <c r="X133" s="349"/>
      <c r="Y133" s="349"/>
      <c r="Z133" s="349"/>
      <c r="AA133" s="349">
        <f t="shared" si="37"/>
        <v>43</v>
      </c>
      <c r="AB133" s="349"/>
      <c r="AC133" s="349"/>
      <c r="AD133" s="349"/>
      <c r="AE133" s="349"/>
      <c r="AF133" s="349"/>
      <c r="AG133" s="349"/>
      <c r="AH133" s="349"/>
      <c r="AI133" s="349"/>
      <c r="AJ133" s="349"/>
      <c r="AK133" s="349"/>
      <c r="AL133" s="349"/>
      <c r="AM133" s="349"/>
      <c r="AN133" s="349">
        <f>ROUNDUP(BN9,0)</f>
        <v>5</v>
      </c>
      <c r="AO133" s="349"/>
      <c r="AP133" s="354"/>
      <c r="AQ133" s="352">
        <f>ROUNDUP(BN8,0)</f>
        <v>2</v>
      </c>
      <c r="AR133" s="366">
        <f t="shared" si="38"/>
        <v>15</v>
      </c>
      <c r="AS133" s="349"/>
      <c r="AT133" s="349"/>
      <c r="AU133" s="349"/>
      <c r="AV133" s="352"/>
      <c r="AW133" s="355">
        <f t="shared" si="30"/>
        <v>43</v>
      </c>
      <c r="AX133" s="356"/>
      <c r="AY133" s="369">
        <f t="shared" si="29"/>
        <v>15</v>
      </c>
      <c r="AZ133" s="353"/>
      <c r="BA133" s="349"/>
      <c r="BB133" s="349"/>
      <c r="BC133" s="349"/>
      <c r="BD133" s="349"/>
      <c r="BE133" s="349"/>
      <c r="BF133" s="349"/>
      <c r="BG133" s="367"/>
      <c r="BH133" s="349"/>
      <c r="BI133" s="349"/>
      <c r="BJ133" s="349"/>
      <c r="BK133" s="349"/>
      <c r="BL133" s="349"/>
      <c r="BM133" s="349"/>
      <c r="BN133" s="367">
        <v>1</v>
      </c>
      <c r="BO133" s="367"/>
      <c r="BP133" s="367"/>
      <c r="BQ133" s="349"/>
      <c r="BR133" s="349"/>
      <c r="BS133" s="349"/>
      <c r="BT133" s="349"/>
      <c r="BU133" s="349"/>
      <c r="BV133" s="349"/>
      <c r="BW133" s="367"/>
      <c r="BX133" s="367"/>
      <c r="BY133" s="349"/>
      <c r="BZ133" s="349"/>
      <c r="CA133" s="349"/>
      <c r="CB133" s="349"/>
      <c r="CC133" s="354"/>
      <c r="CD133" s="354"/>
      <c r="CE133" s="354"/>
      <c r="CF133" s="354"/>
      <c r="CG133" s="354"/>
      <c r="CH133" s="354"/>
      <c r="CI133" s="354"/>
      <c r="CJ133" s="354"/>
      <c r="CK133" s="354"/>
      <c r="CL133" s="354"/>
      <c r="CM133" s="354"/>
      <c r="CN133" s="354"/>
      <c r="CO133" s="354"/>
      <c r="CP133" s="354"/>
      <c r="CQ133" s="354"/>
      <c r="CR133" s="354"/>
      <c r="CS133" s="354"/>
      <c r="CT133" s="354"/>
      <c r="CU133" s="354"/>
      <c r="CV133" s="354"/>
      <c r="CW133" s="354"/>
      <c r="CX133" s="354"/>
      <c r="CY133" s="354"/>
      <c r="CZ133" s="354"/>
      <c r="DA133" s="354"/>
      <c r="DB133" s="354"/>
      <c r="DC133" s="352"/>
    </row>
    <row r="134" spans="1:116" s="59" customFormat="1">
      <c r="A134" s="368"/>
      <c r="B134" s="366" t="s">
        <v>506</v>
      </c>
      <c r="C134" s="349"/>
      <c r="D134" s="367">
        <f>ROUNDUP(40.93,0)</f>
        <v>41</v>
      </c>
      <c r="E134" s="367"/>
      <c r="F134" s="349"/>
      <c r="G134" s="349"/>
      <c r="H134" s="349"/>
      <c r="I134" s="349"/>
      <c r="J134" s="349"/>
      <c r="K134" s="349"/>
      <c r="L134" s="349"/>
      <c r="M134" s="349"/>
      <c r="N134" s="349"/>
      <c r="O134" s="349"/>
      <c r="P134" s="354"/>
      <c r="Q134" s="354"/>
      <c r="R134" s="354"/>
      <c r="S134" s="354"/>
      <c r="T134" s="352"/>
      <c r="U134" s="353">
        <f>ROUNDUP((27.2*2.9)-BN7,)</f>
        <v>77</v>
      </c>
      <c r="V134" s="353"/>
      <c r="W134" s="353"/>
      <c r="X134" s="349"/>
      <c r="Y134" s="349"/>
      <c r="Z134" s="349">
        <f>ROUNDUP(((5.6+(1.5*2)+(0.3*2))*3.8)-BN7,0)</f>
        <v>33</v>
      </c>
      <c r="AA134" s="349">
        <f t="shared" si="37"/>
        <v>77</v>
      </c>
      <c r="AB134" s="349"/>
      <c r="AC134" s="349"/>
      <c r="AD134" s="349"/>
      <c r="AE134" s="349"/>
      <c r="AF134" s="349"/>
      <c r="AG134" s="349"/>
      <c r="AH134" s="349"/>
      <c r="AI134" s="349"/>
      <c r="AJ134" s="349"/>
      <c r="AK134" s="349"/>
      <c r="AL134" s="349"/>
      <c r="AM134" s="349"/>
      <c r="AN134" s="349">
        <f>ROUNDUP(BN9+BW9,0)</f>
        <v>9</v>
      </c>
      <c r="AO134" s="349"/>
      <c r="AP134" s="354"/>
      <c r="AQ134" s="352">
        <f>ROUNDUP(BN8+BW8,0)</f>
        <v>12</v>
      </c>
      <c r="AR134" s="366">
        <f t="shared" si="38"/>
        <v>41</v>
      </c>
      <c r="AS134" s="349"/>
      <c r="AT134" s="349"/>
      <c r="AU134" s="349"/>
      <c r="AV134" s="352"/>
      <c r="AW134" s="355">
        <f t="shared" si="30"/>
        <v>77</v>
      </c>
      <c r="AX134" s="356">
        <f>Z134</f>
        <v>33</v>
      </c>
      <c r="AY134" s="369">
        <f t="shared" si="29"/>
        <v>41</v>
      </c>
      <c r="AZ134" s="353"/>
      <c r="BA134" s="349"/>
      <c r="BB134" s="349"/>
      <c r="BC134" s="349"/>
      <c r="BD134" s="349"/>
      <c r="BE134" s="349"/>
      <c r="BF134" s="349"/>
      <c r="BG134" s="367"/>
      <c r="BH134" s="349"/>
      <c r="BI134" s="349"/>
      <c r="BJ134" s="349"/>
      <c r="BK134" s="349"/>
      <c r="BL134" s="349"/>
      <c r="BM134" s="349"/>
      <c r="BN134" s="367">
        <v>1</v>
      </c>
      <c r="BO134" s="367"/>
      <c r="BP134" s="367"/>
      <c r="BQ134" s="349"/>
      <c r="BR134" s="349"/>
      <c r="BS134" s="349"/>
      <c r="BT134" s="349"/>
      <c r="BU134" s="349"/>
      <c r="BV134" s="349"/>
      <c r="BW134" s="367">
        <v>1</v>
      </c>
      <c r="BX134" s="367"/>
      <c r="BY134" s="349"/>
      <c r="BZ134" s="349"/>
      <c r="CA134" s="349"/>
      <c r="CB134" s="349"/>
      <c r="CC134" s="354"/>
      <c r="CD134" s="354"/>
      <c r="CE134" s="354"/>
      <c r="CF134" s="354"/>
      <c r="CG134" s="354"/>
      <c r="CH134" s="354"/>
      <c r="CI134" s="354"/>
      <c r="CJ134" s="354"/>
      <c r="CK134" s="354"/>
      <c r="CL134" s="354"/>
      <c r="CM134" s="354"/>
      <c r="CN134" s="354"/>
      <c r="CO134" s="354"/>
      <c r="CP134" s="354"/>
      <c r="CQ134" s="354"/>
      <c r="CR134" s="354"/>
      <c r="CS134" s="354"/>
      <c r="CT134" s="354"/>
      <c r="CU134" s="354"/>
      <c r="CV134" s="354"/>
      <c r="CW134" s="354"/>
      <c r="CX134" s="354"/>
      <c r="CY134" s="354"/>
      <c r="CZ134" s="354"/>
      <c r="DA134" s="354"/>
      <c r="DB134" s="354"/>
      <c r="DC134" s="352"/>
    </row>
    <row r="135" spans="1:116" s="59" customFormat="1">
      <c r="A135" s="365"/>
      <c r="B135" s="366" t="s">
        <v>446</v>
      </c>
      <c r="C135" s="349"/>
      <c r="D135" s="349"/>
      <c r="E135" s="367">
        <f>ROUNDUP(29.72,0)</f>
        <v>30</v>
      </c>
      <c r="F135" s="349"/>
      <c r="G135" s="349"/>
      <c r="H135" s="367"/>
      <c r="I135" s="349"/>
      <c r="J135" s="349"/>
      <c r="K135" s="349"/>
      <c r="L135" s="349"/>
      <c r="M135" s="349"/>
      <c r="N135" s="349"/>
      <c r="O135" s="349"/>
      <c r="P135" s="354"/>
      <c r="Q135" s="354"/>
      <c r="R135" s="354"/>
      <c r="S135" s="354"/>
      <c r="T135" s="352">
        <f t="shared" ref="T135:T140" si="42">SUM(C135:O135)</f>
        <v>30</v>
      </c>
      <c r="U135" s="353">
        <f>ROUNDUP((((1.4+4.95+4.6+5.6+4+4)*4.7)+(4.6*0.7)+(3.2*1.38))-(BK7+(CD7*2)),0)</f>
        <v>118</v>
      </c>
      <c r="V135" s="353"/>
      <c r="W135" s="353"/>
      <c r="X135" s="349"/>
      <c r="Y135" s="349"/>
      <c r="Z135" s="349"/>
      <c r="AA135" s="349">
        <f>ROUNDUP(((1.4+4.95+4.6+0.3+0.7+5.6+4.1+0.1+4.1+3.9+1.1)*4.7)-(BK7+(CD7*2)),0)</f>
        <v>140</v>
      </c>
      <c r="AB135" s="349"/>
      <c r="AC135" s="349"/>
      <c r="AD135" s="349">
        <f>AA135</f>
        <v>140</v>
      </c>
      <c r="AE135" s="349"/>
      <c r="AF135" s="349"/>
      <c r="AG135" s="349"/>
      <c r="AH135" s="349"/>
      <c r="AI135" s="349"/>
      <c r="AJ135" s="349"/>
      <c r="AK135" s="349"/>
      <c r="AL135" s="349"/>
      <c r="AM135" s="349"/>
      <c r="AN135" s="349">
        <f>ROUNDUP((6*4.7)+BK9+(CD9*2),0)</f>
        <v>36</v>
      </c>
      <c r="AO135" s="349"/>
      <c r="AP135" s="354"/>
      <c r="AQ135" s="352">
        <f>ROUNDUP(BK8+(CD8*2),0)</f>
        <v>12</v>
      </c>
      <c r="AR135" s="353"/>
      <c r="AS135" s="367">
        <f>E135</f>
        <v>30</v>
      </c>
      <c r="AT135" s="349"/>
      <c r="AU135" s="349"/>
      <c r="AV135" s="352"/>
      <c r="AW135" s="355"/>
      <c r="AX135" s="349"/>
      <c r="AY135" s="369">
        <f t="shared" ref="AY135:AY140" si="43">AS135</f>
        <v>30</v>
      </c>
      <c r="AZ135" s="353"/>
      <c r="BA135" s="349"/>
      <c r="BB135" s="349"/>
      <c r="BC135" s="349"/>
      <c r="BD135" s="349"/>
      <c r="BE135" s="349"/>
      <c r="BF135" s="349"/>
      <c r="BG135" s="349"/>
      <c r="BH135" s="349"/>
      <c r="BI135" s="349"/>
      <c r="BJ135" s="349"/>
      <c r="BK135" s="367">
        <v>1</v>
      </c>
      <c r="BL135" s="367"/>
      <c r="BM135" s="349"/>
      <c r="BN135" s="349"/>
      <c r="BO135" s="349"/>
      <c r="BP135" s="349"/>
      <c r="BQ135" s="349"/>
      <c r="BR135" s="349"/>
      <c r="BS135" s="349"/>
      <c r="BT135" s="349"/>
      <c r="BU135" s="349"/>
      <c r="BV135" s="349"/>
      <c r="BW135" s="349"/>
      <c r="BX135" s="349"/>
      <c r="BY135" s="349"/>
      <c r="BZ135" s="349"/>
      <c r="CA135" s="349"/>
      <c r="CB135" s="349"/>
      <c r="CC135" s="354"/>
      <c r="CD135" s="370">
        <v>2</v>
      </c>
      <c r="CE135" s="370"/>
      <c r="CF135" s="354"/>
      <c r="CG135" s="354"/>
      <c r="CH135" s="354"/>
      <c r="CI135" s="354"/>
      <c r="CJ135" s="354"/>
      <c r="CK135" s="354"/>
      <c r="CL135" s="354"/>
      <c r="CM135" s="354"/>
      <c r="CN135" s="354"/>
      <c r="CO135" s="354"/>
      <c r="CP135" s="354"/>
      <c r="CQ135" s="354"/>
      <c r="CR135" s="354"/>
      <c r="CS135" s="354"/>
      <c r="CT135" s="354"/>
      <c r="CU135" s="354"/>
      <c r="CV135" s="354"/>
      <c r="CW135" s="354"/>
      <c r="CX135" s="354"/>
      <c r="CY135" s="354"/>
      <c r="CZ135" s="354"/>
      <c r="DA135" s="354"/>
      <c r="DB135" s="354"/>
      <c r="DC135" s="352"/>
    </row>
    <row r="136" spans="1:116" s="59" customFormat="1">
      <c r="A136" s="365"/>
      <c r="B136" s="366" t="s">
        <v>447</v>
      </c>
      <c r="C136" s="349"/>
      <c r="D136" s="349"/>
      <c r="E136" s="367">
        <f>ROUNDUP(29.65,0)</f>
        <v>30</v>
      </c>
      <c r="F136" s="349"/>
      <c r="G136" s="349"/>
      <c r="H136" s="367"/>
      <c r="I136" s="349"/>
      <c r="J136" s="349"/>
      <c r="K136" s="349"/>
      <c r="L136" s="349"/>
      <c r="M136" s="349"/>
      <c r="N136" s="349"/>
      <c r="O136" s="349"/>
      <c r="P136" s="354"/>
      <c r="Q136" s="354"/>
      <c r="R136" s="354"/>
      <c r="S136" s="354"/>
      <c r="T136" s="352">
        <f t="shared" si="42"/>
        <v>30</v>
      </c>
      <c r="U136" s="353">
        <f>ROUNDUP((((1.4+4.95+4.6+5.6+4+4+1.7)*4.7)+(4.6*0.7)+(3.2*1.38))-(BK7+(CD7*2)),0)</f>
        <v>126</v>
      </c>
      <c r="V136" s="353"/>
      <c r="W136" s="353"/>
      <c r="X136" s="349"/>
      <c r="Y136" s="349"/>
      <c r="Z136" s="349"/>
      <c r="AA136" s="349">
        <f>ROUNDUP(((1.3+4.95+4.6+0.3+0.7+5.6+0.1+3.2+1.8+0.1+0.7)*4.7)-(BK7+(CD7*2)),0)</f>
        <v>105</v>
      </c>
      <c r="AB136" s="349"/>
      <c r="AC136" s="349"/>
      <c r="AD136" s="349">
        <f>AA136</f>
        <v>105</v>
      </c>
      <c r="AE136" s="349"/>
      <c r="AF136" s="349"/>
      <c r="AG136" s="349"/>
      <c r="AH136" s="349"/>
      <c r="AI136" s="349"/>
      <c r="AJ136" s="349"/>
      <c r="AK136" s="349"/>
      <c r="AL136" s="349"/>
      <c r="AM136" s="349"/>
      <c r="AN136" s="349">
        <f>ROUNDUP((5*4.7)+BK9+(CD9*2),0)</f>
        <v>32</v>
      </c>
      <c r="AO136" s="349"/>
      <c r="AP136" s="354"/>
      <c r="AQ136" s="352">
        <f>ROUNDUP(BK8+(CD8*2),0)</f>
        <v>12</v>
      </c>
      <c r="AR136" s="353"/>
      <c r="AS136" s="367">
        <f t="shared" ref="AS136:AS140" si="44">E136</f>
        <v>30</v>
      </c>
      <c r="AT136" s="349"/>
      <c r="AU136" s="349"/>
      <c r="AV136" s="352"/>
      <c r="AW136" s="355"/>
      <c r="AX136" s="349"/>
      <c r="AY136" s="369">
        <f t="shared" si="43"/>
        <v>30</v>
      </c>
      <c r="AZ136" s="353"/>
      <c r="BA136" s="349"/>
      <c r="BB136" s="349"/>
      <c r="BC136" s="349"/>
      <c r="BD136" s="349"/>
      <c r="BE136" s="349"/>
      <c r="BF136" s="349"/>
      <c r="BG136" s="349"/>
      <c r="BH136" s="349"/>
      <c r="BI136" s="349"/>
      <c r="BJ136" s="349"/>
      <c r="BK136" s="367">
        <v>1</v>
      </c>
      <c r="BL136" s="367"/>
      <c r="BM136" s="349"/>
      <c r="BN136" s="349"/>
      <c r="BO136" s="349"/>
      <c r="BP136" s="349"/>
      <c r="BQ136" s="349"/>
      <c r="BR136" s="349"/>
      <c r="BS136" s="349"/>
      <c r="BT136" s="349"/>
      <c r="BU136" s="349"/>
      <c r="BV136" s="349"/>
      <c r="BW136" s="349"/>
      <c r="BX136" s="349"/>
      <c r="BY136" s="349"/>
      <c r="BZ136" s="349"/>
      <c r="CA136" s="349"/>
      <c r="CB136" s="349"/>
      <c r="CC136" s="354"/>
      <c r="CD136" s="370">
        <v>2</v>
      </c>
      <c r="CE136" s="370"/>
      <c r="CF136" s="354"/>
      <c r="CG136" s="354"/>
      <c r="CH136" s="354"/>
      <c r="CI136" s="354"/>
      <c r="CJ136" s="354"/>
      <c r="CK136" s="354"/>
      <c r="CL136" s="354"/>
      <c r="CM136" s="354"/>
      <c r="CN136" s="354"/>
      <c r="CO136" s="354"/>
      <c r="CP136" s="354"/>
      <c r="CQ136" s="354"/>
      <c r="CR136" s="354"/>
      <c r="CS136" s="354"/>
      <c r="CT136" s="354"/>
      <c r="CU136" s="354"/>
      <c r="CV136" s="354"/>
      <c r="CW136" s="354"/>
      <c r="CX136" s="354"/>
      <c r="CY136" s="354"/>
      <c r="CZ136" s="354"/>
      <c r="DA136" s="354"/>
      <c r="DB136" s="354"/>
      <c r="DC136" s="352"/>
    </row>
    <row r="137" spans="1:116" s="59" customFormat="1">
      <c r="A137" s="368"/>
      <c r="B137" s="366" t="s">
        <v>448</v>
      </c>
      <c r="C137" s="349"/>
      <c r="D137" s="349"/>
      <c r="E137" s="367">
        <f>ROUNDUP(9.9,0)</f>
        <v>10</v>
      </c>
      <c r="F137" s="349"/>
      <c r="G137" s="349"/>
      <c r="H137" s="367"/>
      <c r="I137" s="349"/>
      <c r="J137" s="349"/>
      <c r="K137" s="349"/>
      <c r="L137" s="349"/>
      <c r="M137" s="349"/>
      <c r="N137" s="349"/>
      <c r="O137" s="349"/>
      <c r="P137" s="354"/>
      <c r="Q137" s="354"/>
      <c r="R137" s="354"/>
      <c r="S137" s="354"/>
      <c r="T137" s="352">
        <f t="shared" si="42"/>
        <v>10</v>
      </c>
      <c r="U137" s="353">
        <f>ROUNDUP((12.83*4.7)-BL7,0)</f>
        <v>58</v>
      </c>
      <c r="V137" s="353"/>
      <c r="W137" s="353"/>
      <c r="X137" s="349"/>
      <c r="Y137" s="349"/>
      <c r="Z137" s="349"/>
      <c r="AA137" s="349">
        <f>U137</f>
        <v>58</v>
      </c>
      <c r="AB137" s="349"/>
      <c r="AC137" s="349"/>
      <c r="AD137" s="349">
        <f>AA137</f>
        <v>58</v>
      </c>
      <c r="AE137" s="349"/>
      <c r="AF137" s="349"/>
      <c r="AG137" s="349"/>
      <c r="AH137" s="349"/>
      <c r="AI137" s="349"/>
      <c r="AJ137" s="349"/>
      <c r="AK137" s="349"/>
      <c r="AL137" s="349"/>
      <c r="AM137" s="349"/>
      <c r="AN137" s="349">
        <f>BL9</f>
        <v>5</v>
      </c>
      <c r="AO137" s="349"/>
      <c r="AP137" s="354"/>
      <c r="AQ137" s="352">
        <f>BL8</f>
        <v>1</v>
      </c>
      <c r="AR137" s="353"/>
      <c r="AS137" s="367">
        <f t="shared" si="44"/>
        <v>10</v>
      </c>
      <c r="AT137" s="349"/>
      <c r="AU137" s="349"/>
      <c r="AV137" s="352"/>
      <c r="AW137" s="353"/>
      <c r="AX137" s="349"/>
      <c r="AY137" s="369">
        <f t="shared" si="43"/>
        <v>10</v>
      </c>
      <c r="AZ137" s="353"/>
      <c r="BA137" s="349"/>
      <c r="BB137" s="349"/>
      <c r="BC137" s="349"/>
      <c r="BD137" s="349"/>
      <c r="BE137" s="349"/>
      <c r="BF137" s="349"/>
      <c r="BG137" s="349"/>
      <c r="BH137" s="349"/>
      <c r="BI137" s="349"/>
      <c r="BJ137" s="349"/>
      <c r="BK137" s="367"/>
      <c r="BL137" s="367">
        <v>1</v>
      </c>
      <c r="BM137" s="349"/>
      <c r="BN137" s="349"/>
      <c r="BO137" s="349"/>
      <c r="BP137" s="349"/>
      <c r="BQ137" s="349"/>
      <c r="BR137" s="349"/>
      <c r="BS137" s="349"/>
      <c r="BT137" s="349"/>
      <c r="BU137" s="349"/>
      <c r="BV137" s="349"/>
      <c r="BW137" s="349"/>
      <c r="BX137" s="349"/>
      <c r="BY137" s="349"/>
      <c r="BZ137" s="349"/>
      <c r="CA137" s="349"/>
      <c r="CB137" s="349"/>
      <c r="CC137" s="354"/>
      <c r="CD137" s="370"/>
      <c r="CE137" s="370"/>
      <c r="CF137" s="354"/>
      <c r="CG137" s="354"/>
      <c r="CH137" s="354"/>
      <c r="CI137" s="354"/>
      <c r="CJ137" s="354"/>
      <c r="CK137" s="354"/>
      <c r="CL137" s="354"/>
      <c r="CM137" s="354"/>
      <c r="CN137" s="354"/>
      <c r="CO137" s="354"/>
      <c r="CP137" s="354"/>
      <c r="CQ137" s="354"/>
      <c r="CR137" s="354"/>
      <c r="CS137" s="354"/>
      <c r="CT137" s="354"/>
      <c r="CU137" s="354"/>
      <c r="CV137" s="354"/>
      <c r="CW137" s="354"/>
      <c r="CX137" s="354"/>
      <c r="CY137" s="354"/>
      <c r="CZ137" s="354"/>
      <c r="DA137" s="354"/>
      <c r="DB137" s="354"/>
      <c r="DC137" s="352"/>
    </row>
    <row r="138" spans="1:116" s="59" customFormat="1">
      <c r="A138" s="368"/>
      <c r="B138" s="366" t="s">
        <v>449</v>
      </c>
      <c r="C138" s="349"/>
      <c r="D138" s="349"/>
      <c r="E138" s="367">
        <f>ROUNDUP(27.98,0)</f>
        <v>28</v>
      </c>
      <c r="F138" s="349"/>
      <c r="G138" s="349"/>
      <c r="H138" s="367"/>
      <c r="I138" s="349"/>
      <c r="J138" s="349"/>
      <c r="K138" s="349"/>
      <c r="L138" s="349"/>
      <c r="M138" s="349"/>
      <c r="N138" s="349"/>
      <c r="O138" s="349"/>
      <c r="P138" s="354"/>
      <c r="Q138" s="354"/>
      <c r="R138" s="354"/>
      <c r="S138" s="354"/>
      <c r="T138" s="352">
        <f t="shared" si="42"/>
        <v>28</v>
      </c>
      <c r="U138" s="353">
        <f>ROUNDUP(((3+0.61+1.6+5+0.82+1.8+0.2+1.2)*4.7)-(BK7+BM7),0)</f>
        <v>62</v>
      </c>
      <c r="V138" s="353"/>
      <c r="W138" s="353"/>
      <c r="X138" s="349"/>
      <c r="Y138" s="349"/>
      <c r="Z138" s="349"/>
      <c r="AA138" s="349">
        <f>ROUNDUP(((7.16+3.2+0.71+1.7+5+3.52+0.3+1.2)*4.7)-(BK7+BM7),0)</f>
        <v>103</v>
      </c>
      <c r="AB138" s="349"/>
      <c r="AC138" s="349"/>
      <c r="AD138" s="349">
        <f t="shared" ref="AD138:AD140" si="45">AA138</f>
        <v>103</v>
      </c>
      <c r="AE138" s="349"/>
      <c r="AF138" s="349"/>
      <c r="AG138" s="349"/>
      <c r="AH138" s="349"/>
      <c r="AI138" s="349"/>
      <c r="AJ138" s="349"/>
      <c r="AK138" s="349"/>
      <c r="AL138" s="349"/>
      <c r="AM138" s="349"/>
      <c r="AN138" s="349">
        <f>ROUNDUP((8*4.7)+BK9+BM9,0)</f>
        <v>47</v>
      </c>
      <c r="AO138" s="349"/>
      <c r="AP138" s="354"/>
      <c r="AQ138" s="352">
        <f>ROUNDUP(BK8+BM8,0)</f>
        <v>4</v>
      </c>
      <c r="AR138" s="353"/>
      <c r="AS138" s="367">
        <f t="shared" si="44"/>
        <v>28</v>
      </c>
      <c r="AT138" s="349"/>
      <c r="AU138" s="349"/>
      <c r="AV138" s="352"/>
      <c r="AW138" s="353"/>
      <c r="AX138" s="349"/>
      <c r="AY138" s="369">
        <f t="shared" si="43"/>
        <v>28</v>
      </c>
      <c r="AZ138" s="353"/>
      <c r="BA138" s="349"/>
      <c r="BB138" s="349"/>
      <c r="BC138" s="349"/>
      <c r="BD138" s="349"/>
      <c r="BE138" s="349"/>
      <c r="BF138" s="349"/>
      <c r="BG138" s="349"/>
      <c r="BH138" s="349"/>
      <c r="BI138" s="349"/>
      <c r="BJ138" s="349"/>
      <c r="BK138" s="367">
        <v>1</v>
      </c>
      <c r="BL138" s="367"/>
      <c r="BM138" s="349"/>
      <c r="BN138" s="349"/>
      <c r="BO138" s="349"/>
      <c r="BP138" s="349"/>
      <c r="BQ138" s="349"/>
      <c r="BR138" s="349"/>
      <c r="BS138" s="349"/>
      <c r="BT138" s="349"/>
      <c r="BU138" s="349"/>
      <c r="BV138" s="349"/>
      <c r="BW138" s="349"/>
      <c r="BX138" s="349"/>
      <c r="BY138" s="349"/>
      <c r="BZ138" s="349"/>
      <c r="CA138" s="349"/>
      <c r="CB138" s="349"/>
      <c r="CC138" s="354"/>
      <c r="CD138" s="370"/>
      <c r="CE138" s="370"/>
      <c r="CF138" s="354"/>
      <c r="CG138" s="354"/>
      <c r="CH138" s="354"/>
      <c r="CI138" s="354"/>
      <c r="CJ138" s="354"/>
      <c r="CK138" s="354"/>
      <c r="CL138" s="354"/>
      <c r="CM138" s="354"/>
      <c r="CN138" s="354"/>
      <c r="CO138" s="354"/>
      <c r="CP138" s="354"/>
      <c r="CQ138" s="354"/>
      <c r="CR138" s="354"/>
      <c r="CS138" s="354"/>
      <c r="CT138" s="354"/>
      <c r="CU138" s="354"/>
      <c r="CV138" s="354"/>
      <c r="CW138" s="354"/>
      <c r="CX138" s="354"/>
      <c r="CY138" s="354"/>
      <c r="CZ138" s="354"/>
      <c r="DA138" s="354"/>
      <c r="DB138" s="354"/>
      <c r="DC138" s="352"/>
    </row>
    <row r="139" spans="1:116" s="59" customFormat="1">
      <c r="A139" s="368"/>
      <c r="B139" s="366" t="s">
        <v>516</v>
      </c>
      <c r="C139" s="349"/>
      <c r="D139" s="349"/>
      <c r="E139" s="367">
        <f>ROUNDUP(7.7,0)</f>
        <v>8</v>
      </c>
      <c r="F139" s="349"/>
      <c r="G139" s="349"/>
      <c r="H139" s="367"/>
      <c r="I139" s="349"/>
      <c r="J139" s="349"/>
      <c r="K139" s="349"/>
      <c r="L139" s="349"/>
      <c r="M139" s="349"/>
      <c r="N139" s="349"/>
      <c r="O139" s="349"/>
      <c r="P139" s="354"/>
      <c r="Q139" s="354"/>
      <c r="R139" s="354"/>
      <c r="S139" s="354"/>
      <c r="T139" s="352">
        <f t="shared" si="42"/>
        <v>8</v>
      </c>
      <c r="U139" s="353">
        <f>ROUNDUP((2.25*4.7)-CF7,0)</f>
        <v>10</v>
      </c>
      <c r="V139" s="353"/>
      <c r="W139" s="353"/>
      <c r="X139" s="349"/>
      <c r="Y139" s="349"/>
      <c r="Z139" s="349">
        <f>ROUNDUP(((2.39+0.7)*4.7)-CF7,0)</f>
        <v>14</v>
      </c>
      <c r="AA139" s="349">
        <f>ROUNDUP(((4+1.08+4.25+2.65)*4.7)-(BM7+CF7),0)</f>
        <v>53</v>
      </c>
      <c r="AB139" s="349"/>
      <c r="AC139" s="349"/>
      <c r="AD139" s="349">
        <f t="shared" si="45"/>
        <v>53</v>
      </c>
      <c r="AE139" s="349"/>
      <c r="AF139" s="349"/>
      <c r="AG139" s="349"/>
      <c r="AH139" s="349"/>
      <c r="AI139" s="349"/>
      <c r="AJ139" s="349"/>
      <c r="AK139" s="349"/>
      <c r="AL139" s="349"/>
      <c r="AM139" s="349"/>
      <c r="AN139" s="349"/>
      <c r="AO139" s="349"/>
      <c r="AP139" s="354"/>
      <c r="AQ139" s="352">
        <f>CF8</f>
        <v>3.4</v>
      </c>
      <c r="AR139" s="353"/>
      <c r="AS139" s="367">
        <f t="shared" si="44"/>
        <v>8</v>
      </c>
      <c r="AT139" s="349"/>
      <c r="AU139" s="349"/>
      <c r="AV139" s="352"/>
      <c r="AW139" s="353"/>
      <c r="AX139" s="349"/>
      <c r="AY139" s="369">
        <f t="shared" si="43"/>
        <v>8</v>
      </c>
      <c r="AZ139" s="353"/>
      <c r="BA139" s="349"/>
      <c r="BB139" s="349"/>
      <c r="BC139" s="349"/>
      <c r="BD139" s="349"/>
      <c r="BE139" s="349"/>
      <c r="BF139" s="349"/>
      <c r="BG139" s="349"/>
      <c r="BH139" s="349"/>
      <c r="BI139" s="349"/>
      <c r="BJ139" s="349"/>
      <c r="BK139" s="367"/>
      <c r="BL139" s="367"/>
      <c r="BM139" s="367">
        <v>1</v>
      </c>
      <c r="BN139" s="349"/>
      <c r="BO139" s="349"/>
      <c r="BP139" s="349"/>
      <c r="BQ139" s="349"/>
      <c r="BR139" s="349"/>
      <c r="BS139" s="349"/>
      <c r="BT139" s="349"/>
      <c r="BU139" s="349"/>
      <c r="BV139" s="349"/>
      <c r="BW139" s="349"/>
      <c r="BX139" s="349"/>
      <c r="BY139" s="349"/>
      <c r="BZ139" s="349"/>
      <c r="CA139" s="349"/>
      <c r="CB139" s="349"/>
      <c r="CC139" s="354"/>
      <c r="CD139" s="370"/>
      <c r="CE139" s="370"/>
      <c r="CF139" s="370">
        <v>1</v>
      </c>
      <c r="CG139" s="370"/>
      <c r="CH139" s="354"/>
      <c r="CI139" s="354"/>
      <c r="CJ139" s="354"/>
      <c r="CK139" s="354"/>
      <c r="CL139" s="354"/>
      <c r="CM139" s="354"/>
      <c r="CN139" s="354"/>
      <c r="CO139" s="354"/>
      <c r="CP139" s="354"/>
      <c r="CQ139" s="354"/>
      <c r="CR139" s="354"/>
      <c r="CS139" s="354"/>
      <c r="CT139" s="354"/>
      <c r="CU139" s="354"/>
      <c r="CV139" s="354"/>
      <c r="CW139" s="354"/>
      <c r="CX139" s="354"/>
      <c r="CY139" s="354"/>
      <c r="CZ139" s="354"/>
      <c r="DA139" s="354"/>
      <c r="DB139" s="354"/>
      <c r="DC139" s="352"/>
    </row>
    <row r="140" spans="1:116" s="59" customFormat="1">
      <c r="A140" s="368"/>
      <c r="B140" s="366" t="s">
        <v>450</v>
      </c>
      <c r="C140" s="349"/>
      <c r="D140" s="349"/>
      <c r="E140" s="367">
        <f>ROUNDUP(55.46,0)</f>
        <v>56</v>
      </c>
      <c r="F140" s="349"/>
      <c r="G140" s="349"/>
      <c r="H140" s="367"/>
      <c r="I140" s="349"/>
      <c r="J140" s="349"/>
      <c r="K140" s="349"/>
      <c r="L140" s="349"/>
      <c r="M140" s="349"/>
      <c r="N140" s="349"/>
      <c r="O140" s="349"/>
      <c r="P140" s="354"/>
      <c r="Q140" s="354"/>
      <c r="R140" s="354"/>
      <c r="S140" s="354"/>
      <c r="T140" s="352">
        <f t="shared" si="42"/>
        <v>56</v>
      </c>
      <c r="U140" s="353">
        <f>ROUNDUP(((1.9+1.4+7.2+5.6+7.2+1.4)*4.7)-(BK7+(CD7*2)),0)</f>
        <v>111</v>
      </c>
      <c r="V140" s="353"/>
      <c r="W140" s="353"/>
      <c r="X140" s="349"/>
      <c r="Y140" s="349"/>
      <c r="Z140" s="349"/>
      <c r="AA140" s="349">
        <f>ROUNDUP(((5.9+10.1+5.6+8.7+0.3+1.4)*4.7)-(BK7+(CD7*2)),0)</f>
        <v>145</v>
      </c>
      <c r="AB140" s="349"/>
      <c r="AC140" s="349"/>
      <c r="AD140" s="349">
        <f t="shared" si="45"/>
        <v>145</v>
      </c>
      <c r="AE140" s="349"/>
      <c r="AF140" s="349"/>
      <c r="AG140" s="349"/>
      <c r="AH140" s="349"/>
      <c r="AI140" s="349"/>
      <c r="AJ140" s="349"/>
      <c r="AK140" s="349"/>
      <c r="AL140" s="349"/>
      <c r="AM140" s="349"/>
      <c r="AN140" s="349">
        <f>ROUNDUP(((3*4.7)+BK9+(CD9*2)),0)</f>
        <v>22</v>
      </c>
      <c r="AO140" s="349"/>
      <c r="AP140" s="354"/>
      <c r="AQ140" s="352">
        <f>ROUNDUP(BK8+(CD8*2),0)</f>
        <v>12</v>
      </c>
      <c r="AR140" s="353"/>
      <c r="AS140" s="367">
        <f t="shared" si="44"/>
        <v>56</v>
      </c>
      <c r="AT140" s="349"/>
      <c r="AU140" s="349"/>
      <c r="AV140" s="352"/>
      <c r="AW140" s="353"/>
      <c r="AX140" s="349"/>
      <c r="AY140" s="369">
        <f t="shared" si="43"/>
        <v>56</v>
      </c>
      <c r="AZ140" s="353"/>
      <c r="BA140" s="349"/>
      <c r="BB140" s="349"/>
      <c r="BC140" s="349"/>
      <c r="BD140" s="349"/>
      <c r="BE140" s="349"/>
      <c r="BF140" s="349"/>
      <c r="BG140" s="349"/>
      <c r="BH140" s="349"/>
      <c r="BI140" s="349"/>
      <c r="BJ140" s="349"/>
      <c r="BK140" s="367">
        <v>1</v>
      </c>
      <c r="BL140" s="367"/>
      <c r="BM140" s="349"/>
      <c r="BN140" s="349"/>
      <c r="BO140" s="349"/>
      <c r="BP140" s="349"/>
      <c r="BQ140" s="349"/>
      <c r="BR140" s="349"/>
      <c r="BS140" s="349"/>
      <c r="BT140" s="349"/>
      <c r="BU140" s="349"/>
      <c r="BV140" s="349"/>
      <c r="BW140" s="349"/>
      <c r="BX140" s="349"/>
      <c r="BY140" s="349"/>
      <c r="BZ140" s="349"/>
      <c r="CA140" s="349"/>
      <c r="CB140" s="349"/>
      <c r="CC140" s="354"/>
      <c r="CD140" s="370">
        <v>2</v>
      </c>
      <c r="CE140" s="370"/>
      <c r="CF140" s="354"/>
      <c r="CG140" s="354"/>
      <c r="CH140" s="354"/>
      <c r="CI140" s="354"/>
      <c r="CJ140" s="354"/>
      <c r="CK140" s="354"/>
      <c r="CL140" s="354"/>
      <c r="CM140" s="354"/>
      <c r="CN140" s="354"/>
      <c r="CO140" s="354"/>
      <c r="CP140" s="354"/>
      <c r="CQ140" s="354"/>
      <c r="CR140" s="354"/>
      <c r="CS140" s="354"/>
      <c r="CT140" s="354"/>
      <c r="CU140" s="354"/>
      <c r="CV140" s="354"/>
      <c r="CW140" s="354"/>
      <c r="CX140" s="354"/>
      <c r="CY140" s="354"/>
      <c r="CZ140" s="354"/>
      <c r="DA140" s="354"/>
      <c r="DB140" s="354"/>
      <c r="DC140" s="352"/>
    </row>
    <row r="141" spans="1:116" s="59" customFormat="1">
      <c r="A141" s="368"/>
      <c r="B141" s="360" t="s">
        <v>561</v>
      </c>
      <c r="C141" s="367">
        <v>59</v>
      </c>
      <c r="D141" s="349"/>
      <c r="E141" s="349"/>
      <c r="F141" s="349"/>
      <c r="G141" s="349"/>
      <c r="H141" s="349"/>
      <c r="I141" s="349"/>
      <c r="J141" s="349"/>
      <c r="K141" s="349"/>
      <c r="L141" s="349"/>
      <c r="M141" s="349"/>
      <c r="N141" s="349"/>
      <c r="O141" s="349"/>
      <c r="P141" s="354"/>
      <c r="Q141" s="354"/>
      <c r="R141" s="354"/>
      <c r="S141" s="354"/>
      <c r="T141" s="352"/>
      <c r="U141" s="353">
        <f>ROUNDUP((30.48*2.9)-(BI114+BM114+CF114),0)</f>
        <v>89</v>
      </c>
      <c r="V141" s="353"/>
      <c r="W141" s="353"/>
      <c r="X141" s="349"/>
      <c r="Y141" s="349"/>
      <c r="Z141" s="349">
        <f>ROUNDUP((8.4*3.8)-CF7,0)</f>
        <v>31</v>
      </c>
      <c r="AA141" s="349">
        <f>U141</f>
        <v>89</v>
      </c>
      <c r="AB141" s="349"/>
      <c r="AC141" s="349"/>
      <c r="AD141" s="349"/>
      <c r="AE141" s="349"/>
      <c r="AF141" s="349"/>
      <c r="AG141" s="349"/>
      <c r="AH141" s="349"/>
      <c r="AI141" s="349"/>
      <c r="AJ141" s="349"/>
      <c r="AK141" s="349"/>
      <c r="AL141" s="349"/>
      <c r="AM141" s="349"/>
      <c r="AN141" s="349">
        <f>ROUNDUP(BI9+BM9+CF9,0)</f>
        <v>12</v>
      </c>
      <c r="AO141" s="349"/>
      <c r="AP141" s="354"/>
      <c r="AQ141" s="352">
        <f>ROUNDUP(BI8+CF8+BM8,0)</f>
        <v>7</v>
      </c>
      <c r="AR141" s="366">
        <f>C141</f>
        <v>59</v>
      </c>
      <c r="AS141" s="349"/>
      <c r="AT141" s="349"/>
      <c r="AU141" s="349"/>
      <c r="AV141" s="352"/>
      <c r="AW141" s="353">
        <f>AA141</f>
        <v>89</v>
      </c>
      <c r="AX141" s="349">
        <f>Z141</f>
        <v>31</v>
      </c>
      <c r="AY141" s="369">
        <f>AR141</f>
        <v>59</v>
      </c>
      <c r="AZ141" s="353"/>
      <c r="BA141" s="349"/>
      <c r="BB141" s="349"/>
      <c r="BC141" s="349"/>
      <c r="BD141" s="349"/>
      <c r="BE141" s="349"/>
      <c r="BF141" s="349"/>
      <c r="BG141" s="349"/>
      <c r="BH141" s="349"/>
      <c r="BI141" s="349">
        <v>1</v>
      </c>
      <c r="BJ141" s="349"/>
      <c r="BK141" s="349"/>
      <c r="BL141" s="349"/>
      <c r="BM141" s="349">
        <v>1</v>
      </c>
      <c r="BN141" s="349"/>
      <c r="BO141" s="349"/>
      <c r="BP141" s="349"/>
      <c r="BQ141" s="349"/>
      <c r="BR141" s="349"/>
      <c r="BS141" s="349"/>
      <c r="BT141" s="349"/>
      <c r="BU141" s="349"/>
      <c r="BV141" s="349"/>
      <c r="BW141" s="349"/>
      <c r="BX141" s="349"/>
      <c r="BY141" s="349"/>
      <c r="BZ141" s="349"/>
      <c r="CA141" s="349"/>
      <c r="CB141" s="349"/>
      <c r="CC141" s="354"/>
      <c r="CD141" s="354"/>
      <c r="CE141" s="354"/>
      <c r="CF141" s="354">
        <v>1</v>
      </c>
      <c r="CG141" s="354"/>
      <c r="CH141" s="354"/>
      <c r="CI141" s="354"/>
      <c r="CJ141" s="354"/>
      <c r="CK141" s="354"/>
      <c r="CL141" s="354"/>
      <c r="CM141" s="354"/>
      <c r="CN141" s="354"/>
      <c r="CO141" s="354"/>
      <c r="CP141" s="354"/>
      <c r="CQ141" s="354"/>
      <c r="CR141" s="354"/>
      <c r="CS141" s="354"/>
      <c r="CT141" s="354"/>
      <c r="CU141" s="354"/>
      <c r="CV141" s="354"/>
      <c r="CW141" s="354"/>
      <c r="CX141" s="354"/>
      <c r="CY141" s="354"/>
      <c r="CZ141" s="354"/>
      <c r="DA141" s="354"/>
      <c r="DB141" s="354"/>
      <c r="DC141" s="352"/>
      <c r="DJ141" s="58" t="s">
        <v>528</v>
      </c>
      <c r="DL141" s="364">
        <f>ROUNDUP(CA114*2500,0)</f>
        <v>0</v>
      </c>
    </row>
    <row r="142" spans="1:116">
      <c r="A142" s="394"/>
      <c r="B142" s="395" t="s">
        <v>464</v>
      </c>
      <c r="C142" s="349"/>
      <c r="D142" s="349"/>
      <c r="E142" s="349"/>
      <c r="F142" s="349"/>
      <c r="G142" s="349"/>
      <c r="H142" s="349"/>
      <c r="I142" s="349"/>
      <c r="J142" s="349"/>
      <c r="K142" s="349"/>
      <c r="L142" s="349"/>
      <c r="M142" s="349"/>
      <c r="N142" s="349"/>
      <c r="O142" s="349"/>
      <c r="P142" s="354"/>
      <c r="Q142" s="354"/>
      <c r="R142" s="354"/>
      <c r="S142" s="354"/>
      <c r="T142" s="352"/>
      <c r="U142" s="353"/>
      <c r="V142" s="353"/>
      <c r="W142" s="353"/>
      <c r="X142" s="349"/>
      <c r="Y142" s="349"/>
      <c r="Z142" s="349"/>
      <c r="AA142" s="349"/>
      <c r="AB142" s="349"/>
      <c r="AC142" s="349"/>
      <c r="AD142" s="349"/>
      <c r="AE142" s="349"/>
      <c r="AF142" s="349"/>
      <c r="AG142" s="349"/>
      <c r="AH142" s="349"/>
      <c r="AI142" s="349"/>
      <c r="AJ142" s="349"/>
      <c r="AK142" s="349"/>
      <c r="AL142" s="349"/>
      <c r="AM142" s="349"/>
      <c r="AN142" s="349"/>
      <c r="AO142" s="349"/>
      <c r="AP142" s="354"/>
      <c r="AQ142" s="352"/>
      <c r="AR142" s="355"/>
      <c r="AS142" s="356"/>
      <c r="AT142" s="356"/>
      <c r="AU142" s="387"/>
      <c r="AV142" s="357"/>
      <c r="AW142" s="353"/>
      <c r="AX142" s="349"/>
      <c r="AY142" s="352"/>
      <c r="AZ142" s="372"/>
      <c r="BA142" s="373"/>
      <c r="BB142" s="373"/>
      <c r="BC142" s="373"/>
      <c r="BD142" s="373"/>
      <c r="BE142" s="373"/>
      <c r="BF142" s="373"/>
      <c r="BG142" s="373"/>
      <c r="BH142" s="373"/>
      <c r="BI142" s="373"/>
      <c r="BJ142" s="373"/>
      <c r="BK142" s="373"/>
      <c r="BL142" s="373"/>
      <c r="BM142" s="373"/>
      <c r="BN142" s="373"/>
      <c r="BO142" s="373"/>
      <c r="BP142" s="373"/>
      <c r="BQ142" s="373"/>
      <c r="BR142" s="373"/>
      <c r="BS142" s="373"/>
      <c r="BT142" s="373"/>
      <c r="BU142" s="373"/>
      <c r="BV142" s="373"/>
      <c r="BW142" s="373"/>
      <c r="BX142" s="373"/>
      <c r="BY142" s="373"/>
      <c r="BZ142" s="373"/>
      <c r="CA142" s="373"/>
      <c r="CB142" s="373"/>
      <c r="CC142" s="374"/>
      <c r="CD142" s="374"/>
      <c r="CE142" s="374"/>
      <c r="CF142" s="374"/>
      <c r="CG142" s="374"/>
      <c r="CH142" s="374"/>
      <c r="CI142" s="374"/>
      <c r="CJ142" s="374"/>
      <c r="CK142" s="374"/>
      <c r="CL142" s="374"/>
      <c r="CM142" s="374"/>
      <c r="CN142" s="374"/>
      <c r="CO142" s="374"/>
      <c r="CP142" s="374"/>
      <c r="CQ142" s="374"/>
      <c r="CR142" s="374"/>
      <c r="CS142" s="374"/>
      <c r="CT142" s="374"/>
      <c r="CU142" s="374"/>
      <c r="CV142" s="374"/>
      <c r="CW142" s="374"/>
      <c r="CX142" s="374"/>
      <c r="CY142" s="374"/>
      <c r="CZ142" s="374"/>
      <c r="DA142" s="374"/>
      <c r="DB142" s="392">
        <f>ROUNDUP(56.57,0)</f>
        <v>57</v>
      </c>
      <c r="DC142" s="375"/>
    </row>
    <row r="143" spans="1:116">
      <c r="A143" s="397"/>
      <c r="B143" s="396"/>
      <c r="C143" s="399"/>
      <c r="D143" s="400"/>
      <c r="E143" s="400"/>
      <c r="F143" s="400"/>
      <c r="G143" s="400"/>
      <c r="H143" s="400"/>
      <c r="I143" s="400"/>
      <c r="J143" s="400"/>
      <c r="K143" s="400"/>
      <c r="L143" s="400"/>
      <c r="M143" s="400"/>
      <c r="N143" s="400"/>
      <c r="O143" s="400"/>
      <c r="P143" s="401"/>
      <c r="Q143" s="401"/>
      <c r="R143" s="401"/>
      <c r="S143" s="401"/>
      <c r="T143" s="352"/>
      <c r="U143" s="396"/>
      <c r="V143" s="396"/>
      <c r="W143" s="396"/>
      <c r="X143" s="399"/>
      <c r="Y143" s="399"/>
      <c r="Z143" s="399"/>
      <c r="AA143" s="399"/>
      <c r="AB143" s="399"/>
      <c r="AC143" s="399"/>
      <c r="AD143" s="399"/>
      <c r="AE143" s="399"/>
      <c r="AF143" s="399"/>
      <c r="AG143" s="399"/>
      <c r="AH143" s="399"/>
      <c r="AI143" s="399"/>
      <c r="AJ143" s="399"/>
      <c r="AK143" s="399"/>
      <c r="AL143" s="399"/>
      <c r="AM143" s="399"/>
      <c r="AN143" s="399"/>
      <c r="AO143" s="399"/>
      <c r="AP143" s="403"/>
      <c r="AQ143" s="404"/>
      <c r="AR143" s="396"/>
      <c r="AS143" s="399"/>
      <c r="AT143" s="399"/>
      <c r="AU143" s="403"/>
      <c r="AV143" s="404"/>
      <c r="AW143" s="396"/>
      <c r="AX143" s="399"/>
      <c r="AY143" s="404"/>
      <c r="AZ143" s="405"/>
      <c r="BA143" s="406"/>
      <c r="BB143" s="406"/>
      <c r="BC143" s="406"/>
      <c r="BD143" s="406"/>
      <c r="BE143" s="406"/>
      <c r="BF143" s="471"/>
      <c r="BG143" s="406"/>
      <c r="BH143" s="406"/>
      <c r="BI143" s="406"/>
      <c r="BJ143" s="406"/>
      <c r="BK143" s="406"/>
      <c r="BL143" s="406"/>
      <c r="BM143" s="406"/>
      <c r="BN143" s="406"/>
      <c r="BO143" s="406"/>
      <c r="BP143" s="471"/>
      <c r="BQ143" s="406"/>
      <c r="BR143" s="406"/>
      <c r="BS143" s="406"/>
      <c r="BT143" s="471"/>
      <c r="BU143" s="471"/>
      <c r="BV143" s="471"/>
      <c r="BW143" s="406"/>
      <c r="BX143" s="471"/>
      <c r="BY143" s="406"/>
      <c r="BZ143" s="406"/>
      <c r="CA143" s="406"/>
      <c r="CB143" s="406"/>
      <c r="CC143" s="473"/>
      <c r="CD143" s="407"/>
      <c r="CE143" s="473"/>
      <c r="CF143" s="407"/>
      <c r="CG143" s="473"/>
      <c r="CH143" s="407"/>
      <c r="CI143" s="407"/>
      <c r="CJ143" s="407"/>
      <c r="CK143" s="473"/>
      <c r="CL143" s="473"/>
      <c r="CM143" s="407"/>
      <c r="CN143" s="407"/>
      <c r="CO143" s="407"/>
      <c r="CP143" s="407"/>
      <c r="CQ143" s="407"/>
      <c r="CR143" s="473"/>
      <c r="CS143" s="473"/>
      <c r="CT143" s="407"/>
      <c r="CU143" s="407"/>
      <c r="CV143" s="407"/>
      <c r="CW143" s="407"/>
      <c r="CX143" s="407"/>
      <c r="CY143" s="407"/>
      <c r="CZ143" s="407"/>
      <c r="DA143" s="407"/>
      <c r="DB143" s="407"/>
      <c r="DC143" s="408"/>
    </row>
    <row r="144" spans="1:116">
      <c r="A144" s="397"/>
      <c r="B144" s="396"/>
      <c r="C144" s="399"/>
      <c r="D144" s="400"/>
      <c r="E144" s="400"/>
      <c r="F144" s="400"/>
      <c r="G144" s="400"/>
      <c r="H144" s="400"/>
      <c r="I144" s="400"/>
      <c r="J144" s="400"/>
      <c r="K144" s="400"/>
      <c r="L144" s="400"/>
      <c r="M144" s="400"/>
      <c r="N144" s="400"/>
      <c r="O144" s="400"/>
      <c r="P144" s="401"/>
      <c r="Q144" s="401"/>
      <c r="R144" s="401"/>
      <c r="S144" s="401"/>
      <c r="T144" s="352"/>
      <c r="U144" s="396"/>
      <c r="V144" s="396"/>
      <c r="W144" s="396"/>
      <c r="X144" s="399"/>
      <c r="Y144" s="399"/>
      <c r="Z144" s="399"/>
      <c r="AA144" s="399"/>
      <c r="AB144" s="399"/>
      <c r="AC144" s="399"/>
      <c r="AD144" s="399"/>
      <c r="AE144" s="399"/>
      <c r="AF144" s="399"/>
      <c r="AG144" s="399"/>
      <c r="AH144" s="399"/>
      <c r="AI144" s="399"/>
      <c r="AJ144" s="399"/>
      <c r="AK144" s="399"/>
      <c r="AL144" s="399"/>
      <c r="AM144" s="399"/>
      <c r="AN144" s="399"/>
      <c r="AO144" s="399"/>
      <c r="AP144" s="403"/>
      <c r="AQ144" s="404"/>
      <c r="AR144" s="396"/>
      <c r="AS144" s="399"/>
      <c r="AT144" s="399"/>
      <c r="AU144" s="403"/>
      <c r="AV144" s="404"/>
      <c r="AW144" s="396"/>
      <c r="AX144" s="399"/>
      <c r="AY144" s="404"/>
      <c r="AZ144" s="405"/>
      <c r="BA144" s="406"/>
      <c r="BB144" s="406"/>
      <c r="BC144" s="406"/>
      <c r="BD144" s="406"/>
      <c r="BE144" s="406"/>
      <c r="BF144" s="471"/>
      <c r="BG144" s="406"/>
      <c r="BH144" s="406"/>
      <c r="BI144" s="406"/>
      <c r="BJ144" s="406"/>
      <c r="BK144" s="406"/>
      <c r="BL144" s="406"/>
      <c r="BM144" s="406"/>
      <c r="BN144" s="406"/>
      <c r="BO144" s="406"/>
      <c r="BP144" s="471"/>
      <c r="BQ144" s="406"/>
      <c r="BR144" s="406"/>
      <c r="BS144" s="406"/>
      <c r="BT144" s="471"/>
      <c r="BU144" s="471"/>
      <c r="BV144" s="471"/>
      <c r="BW144" s="406"/>
      <c r="BX144" s="471"/>
      <c r="BY144" s="406"/>
      <c r="BZ144" s="406"/>
      <c r="CA144" s="406"/>
      <c r="CB144" s="406"/>
      <c r="CC144" s="473"/>
      <c r="CD144" s="407"/>
      <c r="CE144" s="473"/>
      <c r="CF144" s="407"/>
      <c r="CG144" s="473"/>
      <c r="CH144" s="407"/>
      <c r="CI144" s="407"/>
      <c r="CJ144" s="407"/>
      <c r="CK144" s="473"/>
      <c r="CL144" s="473"/>
      <c r="CM144" s="407"/>
      <c r="CN144" s="407"/>
      <c r="CO144" s="407"/>
      <c r="CP144" s="407"/>
      <c r="CQ144" s="407"/>
      <c r="CR144" s="473"/>
      <c r="CS144" s="473"/>
      <c r="CT144" s="407"/>
      <c r="CU144" s="407"/>
      <c r="CV144" s="407"/>
      <c r="CW144" s="407"/>
      <c r="CX144" s="407"/>
      <c r="CY144" s="407"/>
      <c r="CZ144" s="407"/>
      <c r="DA144" s="407"/>
      <c r="DB144" s="407"/>
      <c r="DC144" s="408"/>
    </row>
    <row r="145" spans="1:116">
      <c r="A145" s="397"/>
      <c r="B145" s="396"/>
      <c r="C145" s="399"/>
      <c r="D145" s="400"/>
      <c r="E145" s="400"/>
      <c r="F145" s="400"/>
      <c r="G145" s="400"/>
      <c r="H145" s="400"/>
      <c r="I145" s="400"/>
      <c r="J145" s="400"/>
      <c r="K145" s="400"/>
      <c r="L145" s="400"/>
      <c r="M145" s="400"/>
      <c r="N145" s="400"/>
      <c r="O145" s="400"/>
      <c r="P145" s="401"/>
      <c r="Q145" s="401"/>
      <c r="R145" s="401"/>
      <c r="S145" s="401"/>
      <c r="T145" s="352"/>
      <c r="U145" s="396"/>
      <c r="V145" s="396"/>
      <c r="W145" s="396"/>
      <c r="X145" s="399"/>
      <c r="Y145" s="399"/>
      <c r="Z145" s="399"/>
      <c r="AA145" s="399"/>
      <c r="AB145" s="399"/>
      <c r="AC145" s="399"/>
      <c r="AD145" s="399"/>
      <c r="AE145" s="399"/>
      <c r="AF145" s="399"/>
      <c r="AG145" s="399"/>
      <c r="AH145" s="399"/>
      <c r="AI145" s="399"/>
      <c r="AJ145" s="399"/>
      <c r="AK145" s="399"/>
      <c r="AL145" s="399"/>
      <c r="AM145" s="399"/>
      <c r="AN145" s="399"/>
      <c r="AO145" s="399"/>
      <c r="AP145" s="403"/>
      <c r="AQ145" s="404"/>
      <c r="AR145" s="396"/>
      <c r="AS145" s="399"/>
      <c r="AT145" s="399"/>
      <c r="AU145" s="403"/>
      <c r="AV145" s="404"/>
      <c r="AW145" s="396"/>
      <c r="AX145" s="399"/>
      <c r="AY145" s="404"/>
      <c r="AZ145" s="405"/>
      <c r="BA145" s="406"/>
      <c r="BB145" s="406"/>
      <c r="BC145" s="406"/>
      <c r="BD145" s="406"/>
      <c r="BE145" s="406"/>
      <c r="BF145" s="471"/>
      <c r="BG145" s="406"/>
      <c r="BH145" s="406"/>
      <c r="BI145" s="406"/>
      <c r="BJ145" s="406"/>
      <c r="BK145" s="406"/>
      <c r="BL145" s="406"/>
      <c r="BM145" s="406"/>
      <c r="BN145" s="406"/>
      <c r="BO145" s="406"/>
      <c r="BP145" s="471"/>
      <c r="BQ145" s="406"/>
      <c r="BR145" s="406"/>
      <c r="BS145" s="406"/>
      <c r="BT145" s="471"/>
      <c r="BU145" s="471"/>
      <c r="BV145" s="471"/>
      <c r="BW145" s="406"/>
      <c r="BX145" s="471"/>
      <c r="BY145" s="406"/>
      <c r="BZ145" s="406"/>
      <c r="CA145" s="406"/>
      <c r="CB145" s="406"/>
      <c r="CC145" s="473"/>
      <c r="CD145" s="407"/>
      <c r="CE145" s="473"/>
      <c r="CF145" s="407"/>
      <c r="CG145" s="473"/>
      <c r="CH145" s="407"/>
      <c r="CI145" s="407"/>
      <c r="CJ145" s="407"/>
      <c r="CK145" s="473"/>
      <c r="CL145" s="473"/>
      <c r="CM145" s="407"/>
      <c r="CN145" s="407"/>
      <c r="CO145" s="407"/>
      <c r="CP145" s="407"/>
      <c r="CQ145" s="407"/>
      <c r="CR145" s="473"/>
      <c r="CS145" s="473"/>
      <c r="CT145" s="407"/>
      <c r="CU145" s="407"/>
      <c r="CV145" s="407"/>
      <c r="CW145" s="407"/>
      <c r="CX145" s="407"/>
      <c r="CY145" s="407"/>
      <c r="CZ145" s="407"/>
      <c r="DA145" s="407"/>
      <c r="DB145" s="407"/>
      <c r="DC145" s="408"/>
    </row>
    <row r="146" spans="1:116">
      <c r="A146" s="397"/>
      <c r="B146" s="396"/>
      <c r="C146" s="399"/>
      <c r="D146" s="400"/>
      <c r="E146" s="400"/>
      <c r="F146" s="400"/>
      <c r="G146" s="400"/>
      <c r="H146" s="400"/>
      <c r="I146" s="400"/>
      <c r="J146" s="400"/>
      <c r="K146" s="400"/>
      <c r="L146" s="400"/>
      <c r="M146" s="400"/>
      <c r="N146" s="400"/>
      <c r="O146" s="400"/>
      <c r="P146" s="401"/>
      <c r="Q146" s="401"/>
      <c r="R146" s="401"/>
      <c r="S146" s="401"/>
      <c r="T146" s="352"/>
      <c r="U146" s="396"/>
      <c r="V146" s="396"/>
      <c r="W146" s="396"/>
      <c r="X146" s="399"/>
      <c r="Y146" s="399"/>
      <c r="Z146" s="399"/>
      <c r="AA146" s="399"/>
      <c r="AB146" s="399"/>
      <c r="AC146" s="399"/>
      <c r="AD146" s="399"/>
      <c r="AE146" s="399"/>
      <c r="AF146" s="399"/>
      <c r="AG146" s="399"/>
      <c r="AH146" s="399"/>
      <c r="AI146" s="399"/>
      <c r="AJ146" s="399"/>
      <c r="AK146" s="399"/>
      <c r="AL146" s="399"/>
      <c r="AM146" s="399"/>
      <c r="AN146" s="399"/>
      <c r="AO146" s="399"/>
      <c r="AP146" s="403"/>
      <c r="AQ146" s="404"/>
      <c r="AR146" s="396"/>
      <c r="AS146" s="399"/>
      <c r="AT146" s="399"/>
      <c r="AU146" s="403"/>
      <c r="AV146" s="404"/>
      <c r="AW146" s="396"/>
      <c r="AX146" s="399"/>
      <c r="AY146" s="404"/>
      <c r="AZ146" s="405"/>
      <c r="BA146" s="406"/>
      <c r="BB146" s="406"/>
      <c r="BC146" s="406"/>
      <c r="BD146" s="406"/>
      <c r="BE146" s="406"/>
      <c r="BF146" s="471"/>
      <c r="BG146" s="406"/>
      <c r="BH146" s="406"/>
      <c r="BI146" s="406"/>
      <c r="BJ146" s="406"/>
      <c r="BK146" s="406"/>
      <c r="BL146" s="406"/>
      <c r="BM146" s="406"/>
      <c r="BN146" s="406"/>
      <c r="BO146" s="406"/>
      <c r="BP146" s="471"/>
      <c r="BQ146" s="406"/>
      <c r="BR146" s="406"/>
      <c r="BS146" s="406"/>
      <c r="BT146" s="471"/>
      <c r="BU146" s="471"/>
      <c r="BV146" s="471"/>
      <c r="BW146" s="406"/>
      <c r="BX146" s="471"/>
      <c r="BY146" s="406"/>
      <c r="BZ146" s="406"/>
      <c r="CA146" s="406"/>
      <c r="CB146" s="406"/>
      <c r="CC146" s="473"/>
      <c r="CD146" s="407"/>
      <c r="CE146" s="473"/>
      <c r="CF146" s="407"/>
      <c r="CG146" s="473"/>
      <c r="CH146" s="407"/>
      <c r="CI146" s="407"/>
      <c r="CJ146" s="407"/>
      <c r="CK146" s="473"/>
      <c r="CL146" s="473"/>
      <c r="CM146" s="407"/>
      <c r="CN146" s="407"/>
      <c r="CO146" s="407"/>
      <c r="CP146" s="407"/>
      <c r="CQ146" s="407"/>
      <c r="CR146" s="473"/>
      <c r="CS146" s="473"/>
      <c r="CT146" s="407"/>
      <c r="CU146" s="407"/>
      <c r="CV146" s="407"/>
      <c r="CW146" s="407"/>
      <c r="CX146" s="407"/>
      <c r="CY146" s="407"/>
      <c r="CZ146" s="407"/>
      <c r="DA146" s="407"/>
      <c r="DB146" s="407"/>
      <c r="DC146" s="408"/>
    </row>
    <row r="147" spans="1:116">
      <c r="A147" s="397"/>
      <c r="B147" s="396"/>
      <c r="C147" s="399"/>
      <c r="D147" s="400"/>
      <c r="E147" s="400"/>
      <c r="F147" s="400"/>
      <c r="G147" s="400"/>
      <c r="H147" s="400"/>
      <c r="I147" s="400"/>
      <c r="J147" s="400"/>
      <c r="K147" s="400"/>
      <c r="L147" s="400"/>
      <c r="M147" s="400"/>
      <c r="N147" s="400"/>
      <c r="O147" s="400"/>
      <c r="P147" s="401"/>
      <c r="Q147" s="401"/>
      <c r="R147" s="401"/>
      <c r="S147" s="401"/>
      <c r="T147" s="352"/>
      <c r="U147" s="396"/>
      <c r="V147" s="396"/>
      <c r="W147" s="396"/>
      <c r="X147" s="399"/>
      <c r="Y147" s="399"/>
      <c r="Z147" s="399"/>
      <c r="AA147" s="399"/>
      <c r="AB147" s="399"/>
      <c r="AC147" s="399"/>
      <c r="AD147" s="399"/>
      <c r="AE147" s="399"/>
      <c r="AF147" s="399"/>
      <c r="AG147" s="399"/>
      <c r="AH147" s="399"/>
      <c r="AI147" s="399"/>
      <c r="AJ147" s="399"/>
      <c r="AK147" s="399"/>
      <c r="AL147" s="399"/>
      <c r="AM147" s="399"/>
      <c r="AN147" s="399"/>
      <c r="AO147" s="399"/>
      <c r="AP147" s="403"/>
      <c r="AQ147" s="404"/>
      <c r="AR147" s="396"/>
      <c r="AS147" s="399"/>
      <c r="AT147" s="399"/>
      <c r="AU147" s="403"/>
      <c r="AV147" s="404"/>
      <c r="AW147" s="396"/>
      <c r="AX147" s="399"/>
      <c r="AY147" s="404"/>
      <c r="AZ147" s="405"/>
      <c r="BA147" s="406"/>
      <c r="BB147" s="406"/>
      <c r="BC147" s="406"/>
      <c r="BD147" s="406"/>
      <c r="BE147" s="406"/>
      <c r="BF147" s="471"/>
      <c r="BG147" s="406"/>
      <c r="BH147" s="406"/>
      <c r="BI147" s="406"/>
      <c r="BJ147" s="406"/>
      <c r="BK147" s="406"/>
      <c r="BL147" s="406"/>
      <c r="BM147" s="406"/>
      <c r="BN147" s="406"/>
      <c r="BO147" s="406"/>
      <c r="BP147" s="471"/>
      <c r="BQ147" s="406"/>
      <c r="BR147" s="406"/>
      <c r="BS147" s="406"/>
      <c r="BT147" s="471"/>
      <c r="BU147" s="471"/>
      <c r="BV147" s="471"/>
      <c r="BW147" s="406"/>
      <c r="BX147" s="471"/>
      <c r="BY147" s="406"/>
      <c r="BZ147" s="406"/>
      <c r="CA147" s="406"/>
      <c r="CB147" s="406"/>
      <c r="CC147" s="473"/>
      <c r="CD147" s="407"/>
      <c r="CE147" s="473"/>
      <c r="CF147" s="407"/>
      <c r="CG147" s="473"/>
      <c r="CH147" s="407"/>
      <c r="CI147" s="407"/>
      <c r="CJ147" s="407"/>
      <c r="CK147" s="473"/>
      <c r="CL147" s="473"/>
      <c r="CM147" s="407"/>
      <c r="CN147" s="407"/>
      <c r="CO147" s="407"/>
      <c r="CP147" s="407"/>
      <c r="CQ147" s="407"/>
      <c r="CR147" s="473"/>
      <c r="CS147" s="473"/>
      <c r="CT147" s="407"/>
      <c r="CU147" s="407"/>
      <c r="CV147" s="407"/>
      <c r="CW147" s="407"/>
      <c r="CX147" s="407"/>
      <c r="CY147" s="407"/>
      <c r="CZ147" s="407"/>
      <c r="DA147" s="407"/>
      <c r="DB147" s="407"/>
      <c r="DC147" s="408"/>
    </row>
    <row r="148" spans="1:116">
      <c r="A148" s="397"/>
      <c r="B148" s="396"/>
      <c r="C148" s="399"/>
      <c r="D148" s="400"/>
      <c r="E148" s="400"/>
      <c r="F148" s="400"/>
      <c r="G148" s="400"/>
      <c r="H148" s="400"/>
      <c r="I148" s="400"/>
      <c r="J148" s="400"/>
      <c r="K148" s="400"/>
      <c r="L148" s="400"/>
      <c r="M148" s="400"/>
      <c r="N148" s="400"/>
      <c r="O148" s="400"/>
      <c r="P148" s="401"/>
      <c r="Q148" s="401"/>
      <c r="R148" s="401"/>
      <c r="S148" s="401"/>
      <c r="T148" s="352">
        <f t="shared" si="28"/>
        <v>0</v>
      </c>
      <c r="U148" s="396"/>
      <c r="V148" s="396"/>
      <c r="W148" s="396"/>
      <c r="X148" s="399"/>
      <c r="Y148" s="399"/>
      <c r="Z148" s="399"/>
      <c r="AA148" s="399"/>
      <c r="AB148" s="399"/>
      <c r="AC148" s="399"/>
      <c r="AD148" s="399"/>
      <c r="AE148" s="399"/>
      <c r="AF148" s="399"/>
      <c r="AG148" s="399"/>
      <c r="AH148" s="399"/>
      <c r="AI148" s="399"/>
      <c r="AJ148" s="399"/>
      <c r="AK148" s="399"/>
      <c r="AL148" s="399"/>
      <c r="AM148" s="399"/>
      <c r="AN148" s="399"/>
      <c r="AO148" s="399"/>
      <c r="AP148" s="403"/>
      <c r="AQ148" s="404"/>
      <c r="AR148" s="396"/>
      <c r="AS148" s="399"/>
      <c r="AT148" s="399"/>
      <c r="AU148" s="403"/>
      <c r="AV148" s="404"/>
      <c r="AW148" s="396"/>
      <c r="AX148" s="399"/>
      <c r="AY148" s="404"/>
      <c r="AZ148" s="405"/>
      <c r="BA148" s="406"/>
      <c r="BB148" s="406"/>
      <c r="BC148" s="406"/>
      <c r="BD148" s="406"/>
      <c r="BE148" s="406"/>
      <c r="BF148" s="471"/>
      <c r="BG148" s="406"/>
      <c r="BH148" s="406"/>
      <c r="BI148" s="406"/>
      <c r="BJ148" s="406"/>
      <c r="BK148" s="406"/>
      <c r="BL148" s="406"/>
      <c r="BM148" s="406"/>
      <c r="BN148" s="406"/>
      <c r="BO148" s="406"/>
      <c r="BP148" s="471"/>
      <c r="BQ148" s="406"/>
      <c r="BR148" s="406"/>
      <c r="BS148" s="406"/>
      <c r="BT148" s="471"/>
      <c r="BU148" s="471"/>
      <c r="BV148" s="471"/>
      <c r="BW148" s="406"/>
      <c r="BX148" s="471"/>
      <c r="BY148" s="406"/>
      <c r="BZ148" s="406"/>
      <c r="CA148" s="406"/>
      <c r="CB148" s="406"/>
      <c r="CC148" s="473"/>
      <c r="CD148" s="407"/>
      <c r="CE148" s="473"/>
      <c r="CF148" s="407"/>
      <c r="CG148" s="473"/>
      <c r="CH148" s="407"/>
      <c r="CI148" s="407"/>
      <c r="CJ148" s="407"/>
      <c r="CK148" s="473"/>
      <c r="CL148" s="473"/>
      <c r="CM148" s="407"/>
      <c r="CN148" s="407"/>
      <c r="CO148" s="407"/>
      <c r="CP148" s="407"/>
      <c r="CQ148" s="407"/>
      <c r="CR148" s="473"/>
      <c r="CS148" s="473"/>
      <c r="CT148" s="407"/>
      <c r="CU148" s="407"/>
      <c r="CV148" s="407"/>
      <c r="CW148" s="407"/>
      <c r="CX148" s="407"/>
      <c r="CY148" s="407"/>
      <c r="CZ148" s="407"/>
      <c r="DA148" s="407"/>
      <c r="DB148" s="407"/>
      <c r="DC148" s="375"/>
    </row>
    <row r="149" spans="1:116">
      <c r="A149" s="397"/>
      <c r="B149" s="396"/>
      <c r="C149" s="399"/>
      <c r="D149" s="400"/>
      <c r="E149" s="400"/>
      <c r="F149" s="400"/>
      <c r="G149" s="400"/>
      <c r="H149" s="400"/>
      <c r="I149" s="400"/>
      <c r="J149" s="400"/>
      <c r="K149" s="400"/>
      <c r="L149" s="400"/>
      <c r="M149" s="400"/>
      <c r="N149" s="400"/>
      <c r="O149" s="400"/>
      <c r="P149" s="401"/>
      <c r="Q149" s="401"/>
      <c r="R149" s="401"/>
      <c r="S149" s="401"/>
      <c r="T149" s="352">
        <f t="shared" si="28"/>
        <v>0</v>
      </c>
      <c r="U149" s="396"/>
      <c r="V149" s="396"/>
      <c r="W149" s="396"/>
      <c r="X149" s="399"/>
      <c r="Y149" s="399"/>
      <c r="Z149" s="399"/>
      <c r="AA149" s="399"/>
      <c r="AB149" s="399"/>
      <c r="AC149" s="399"/>
      <c r="AD149" s="399"/>
      <c r="AE149" s="399"/>
      <c r="AF149" s="399"/>
      <c r="AG149" s="399"/>
      <c r="AH149" s="399"/>
      <c r="AI149" s="399"/>
      <c r="AJ149" s="399"/>
      <c r="AK149" s="399"/>
      <c r="AL149" s="399"/>
      <c r="AM149" s="399"/>
      <c r="AN149" s="399"/>
      <c r="AO149" s="399"/>
      <c r="AP149" s="403"/>
      <c r="AQ149" s="404"/>
      <c r="AR149" s="396"/>
      <c r="AS149" s="399"/>
      <c r="AT149" s="399"/>
      <c r="AU149" s="403"/>
      <c r="AV149" s="404"/>
      <c r="AW149" s="396"/>
      <c r="AX149" s="399"/>
      <c r="AY149" s="404"/>
      <c r="AZ149" s="405"/>
      <c r="BA149" s="406"/>
      <c r="BB149" s="406"/>
      <c r="BC149" s="406"/>
      <c r="BD149" s="406"/>
      <c r="BE149" s="406"/>
      <c r="BF149" s="471"/>
      <c r="BG149" s="406"/>
      <c r="BH149" s="406"/>
      <c r="BI149" s="406"/>
      <c r="BJ149" s="406"/>
      <c r="BK149" s="406"/>
      <c r="BL149" s="406"/>
      <c r="BM149" s="406"/>
      <c r="BN149" s="406"/>
      <c r="BO149" s="406"/>
      <c r="BP149" s="471"/>
      <c r="BQ149" s="406"/>
      <c r="BR149" s="406"/>
      <c r="BS149" s="406"/>
      <c r="BT149" s="471"/>
      <c r="BU149" s="471"/>
      <c r="BV149" s="471"/>
      <c r="BW149" s="406"/>
      <c r="BX149" s="471"/>
      <c r="BY149" s="406"/>
      <c r="BZ149" s="406"/>
      <c r="CA149" s="406"/>
      <c r="CB149" s="406"/>
      <c r="CC149" s="473"/>
      <c r="CD149" s="407"/>
      <c r="CE149" s="473"/>
      <c r="CF149" s="407"/>
      <c r="CG149" s="473"/>
      <c r="CH149" s="407"/>
      <c r="CI149" s="407"/>
      <c r="CJ149" s="407"/>
      <c r="CK149" s="473"/>
      <c r="CL149" s="473"/>
      <c r="CM149" s="407"/>
      <c r="CN149" s="407"/>
      <c r="CO149" s="407"/>
      <c r="CP149" s="407"/>
      <c r="CQ149" s="407"/>
      <c r="CR149" s="473"/>
      <c r="CS149" s="473"/>
      <c r="CT149" s="407"/>
      <c r="CU149" s="407"/>
      <c r="CV149" s="407"/>
      <c r="CW149" s="407"/>
      <c r="CX149" s="407"/>
      <c r="CY149" s="407"/>
      <c r="CZ149" s="407"/>
      <c r="DA149" s="407"/>
      <c r="DB149" s="407"/>
      <c r="DC149" s="408"/>
    </row>
    <row r="150" spans="1:116">
      <c r="A150" s="397"/>
      <c r="B150" s="396"/>
      <c r="C150" s="399"/>
      <c r="D150" s="400"/>
      <c r="E150" s="400"/>
      <c r="F150" s="400"/>
      <c r="G150" s="400"/>
      <c r="H150" s="400"/>
      <c r="I150" s="400"/>
      <c r="J150" s="400"/>
      <c r="K150" s="400"/>
      <c r="L150" s="400"/>
      <c r="M150" s="400"/>
      <c r="N150" s="400"/>
      <c r="O150" s="400"/>
      <c r="P150" s="401"/>
      <c r="Q150" s="401"/>
      <c r="R150" s="401"/>
      <c r="S150" s="401"/>
      <c r="T150" s="352">
        <f t="shared" si="28"/>
        <v>0</v>
      </c>
      <c r="U150" s="396"/>
      <c r="V150" s="396"/>
      <c r="W150" s="396"/>
      <c r="X150" s="399"/>
      <c r="Y150" s="399"/>
      <c r="Z150" s="399"/>
      <c r="AA150" s="399"/>
      <c r="AB150" s="399"/>
      <c r="AC150" s="399"/>
      <c r="AD150" s="399"/>
      <c r="AE150" s="399"/>
      <c r="AF150" s="399"/>
      <c r="AG150" s="399"/>
      <c r="AH150" s="399"/>
      <c r="AI150" s="399"/>
      <c r="AJ150" s="399"/>
      <c r="AK150" s="399"/>
      <c r="AL150" s="399"/>
      <c r="AM150" s="399"/>
      <c r="AN150" s="399"/>
      <c r="AO150" s="399"/>
      <c r="AP150" s="403"/>
      <c r="AQ150" s="404"/>
      <c r="AR150" s="396"/>
      <c r="AS150" s="399"/>
      <c r="AT150" s="399"/>
      <c r="AU150" s="403"/>
      <c r="AV150" s="404"/>
      <c r="AW150" s="396"/>
      <c r="AX150" s="399"/>
      <c r="AY150" s="404"/>
      <c r="AZ150" s="405"/>
      <c r="BA150" s="406"/>
      <c r="BB150" s="406"/>
      <c r="BC150" s="406"/>
      <c r="BD150" s="406"/>
      <c r="BE150" s="406"/>
      <c r="BF150" s="471"/>
      <c r="BG150" s="406"/>
      <c r="BH150" s="406"/>
      <c r="BI150" s="406"/>
      <c r="BJ150" s="406"/>
      <c r="BK150" s="406"/>
      <c r="BL150" s="406"/>
      <c r="BM150" s="406"/>
      <c r="BN150" s="406"/>
      <c r="BO150" s="406"/>
      <c r="BP150" s="471"/>
      <c r="BQ150" s="406"/>
      <c r="BR150" s="406"/>
      <c r="BS150" s="406"/>
      <c r="BT150" s="471"/>
      <c r="BU150" s="471"/>
      <c r="BV150" s="471"/>
      <c r="BW150" s="406"/>
      <c r="BX150" s="471"/>
      <c r="BY150" s="406"/>
      <c r="BZ150" s="406"/>
      <c r="CA150" s="406"/>
      <c r="CB150" s="406"/>
      <c r="CC150" s="473"/>
      <c r="CD150" s="407"/>
      <c r="CE150" s="473"/>
      <c r="CF150" s="407"/>
      <c r="CG150" s="473"/>
      <c r="CH150" s="407"/>
      <c r="CI150" s="407"/>
      <c r="CJ150" s="407"/>
      <c r="CK150" s="473"/>
      <c r="CL150" s="473"/>
      <c r="CM150" s="407"/>
      <c r="CN150" s="407"/>
      <c r="CO150" s="407"/>
      <c r="CP150" s="407"/>
      <c r="CQ150" s="407"/>
      <c r="CR150" s="473"/>
      <c r="CS150" s="473"/>
      <c r="CT150" s="407"/>
      <c r="CU150" s="407"/>
      <c r="CV150" s="407"/>
      <c r="CW150" s="407"/>
      <c r="CX150" s="407"/>
      <c r="CY150" s="407"/>
      <c r="CZ150" s="407"/>
      <c r="DA150" s="407"/>
      <c r="DB150" s="407"/>
      <c r="DC150" s="408"/>
    </row>
    <row r="151" spans="1:116">
      <c r="A151" s="397"/>
      <c r="B151" s="396"/>
      <c r="C151" s="399"/>
      <c r="D151" s="400"/>
      <c r="E151" s="400"/>
      <c r="F151" s="400"/>
      <c r="G151" s="400"/>
      <c r="H151" s="400"/>
      <c r="I151" s="400"/>
      <c r="J151" s="400"/>
      <c r="K151" s="400"/>
      <c r="L151" s="400"/>
      <c r="M151" s="400"/>
      <c r="N151" s="400"/>
      <c r="O151" s="400"/>
      <c r="P151" s="401"/>
      <c r="Q151" s="401"/>
      <c r="R151" s="401"/>
      <c r="S151" s="401"/>
      <c r="T151" s="402"/>
      <c r="U151" s="396"/>
      <c r="V151" s="396"/>
      <c r="W151" s="396"/>
      <c r="X151" s="399"/>
      <c r="Y151" s="399"/>
      <c r="Z151" s="399"/>
      <c r="AA151" s="399"/>
      <c r="AB151" s="399"/>
      <c r="AC151" s="399"/>
      <c r="AD151" s="399"/>
      <c r="AE151" s="399"/>
      <c r="AF151" s="399"/>
      <c r="AG151" s="399"/>
      <c r="AH151" s="399"/>
      <c r="AI151" s="399"/>
      <c r="AJ151" s="399"/>
      <c r="AK151" s="399"/>
      <c r="AL151" s="399"/>
      <c r="AM151" s="399"/>
      <c r="AN151" s="399"/>
      <c r="AO151" s="399"/>
      <c r="AP151" s="403"/>
      <c r="AQ151" s="404"/>
      <c r="AR151" s="396"/>
      <c r="AS151" s="399"/>
      <c r="AT151" s="399"/>
      <c r="AU151" s="403"/>
      <c r="AV151" s="404"/>
      <c r="AW151" s="396"/>
      <c r="AX151" s="399"/>
      <c r="AY151" s="404"/>
      <c r="AZ151" s="405"/>
      <c r="BA151" s="406"/>
      <c r="BB151" s="406"/>
      <c r="BC151" s="406"/>
      <c r="BD151" s="406"/>
      <c r="BE151" s="406"/>
      <c r="BF151" s="471"/>
      <c r="BG151" s="406"/>
      <c r="BH151" s="406"/>
      <c r="BI151" s="406"/>
      <c r="BJ151" s="406"/>
      <c r="BK151" s="406"/>
      <c r="BL151" s="406"/>
      <c r="BM151" s="406"/>
      <c r="BN151" s="406"/>
      <c r="BO151" s="406"/>
      <c r="BP151" s="471"/>
      <c r="BQ151" s="406"/>
      <c r="BR151" s="406"/>
      <c r="BS151" s="406"/>
      <c r="BT151" s="471"/>
      <c r="BU151" s="471"/>
      <c r="BV151" s="471"/>
      <c r="BW151" s="406"/>
      <c r="BX151" s="471"/>
      <c r="BY151" s="406"/>
      <c r="BZ151" s="406"/>
      <c r="CA151" s="406"/>
      <c r="CB151" s="406"/>
      <c r="CC151" s="473"/>
      <c r="CD151" s="407"/>
      <c r="CE151" s="473"/>
      <c r="CF151" s="407"/>
      <c r="CG151" s="473"/>
      <c r="CH151" s="407"/>
      <c r="CI151" s="407"/>
      <c r="CJ151" s="407"/>
      <c r="CK151" s="473"/>
      <c r="CL151" s="473"/>
      <c r="CM151" s="407"/>
      <c r="CN151" s="407"/>
      <c r="CO151" s="407"/>
      <c r="CP151" s="407"/>
      <c r="CQ151" s="407"/>
      <c r="CR151" s="473"/>
      <c r="CS151" s="473"/>
      <c r="CT151" s="407"/>
      <c r="CU151" s="407"/>
      <c r="CV151" s="407"/>
      <c r="CW151" s="407"/>
      <c r="CX151" s="407"/>
      <c r="CY151" s="407"/>
      <c r="CZ151" s="407"/>
      <c r="DA151" s="407"/>
      <c r="DB151" s="407"/>
      <c r="DC151" s="408"/>
    </row>
    <row r="152" spans="1:116">
      <c r="A152" s="397"/>
      <c r="B152" s="396"/>
      <c r="C152" s="399"/>
      <c r="D152" s="400"/>
      <c r="E152" s="400"/>
      <c r="F152" s="400"/>
      <c r="G152" s="400"/>
      <c r="H152" s="400"/>
      <c r="I152" s="400"/>
      <c r="J152" s="400"/>
      <c r="K152" s="400"/>
      <c r="L152" s="400"/>
      <c r="M152" s="400"/>
      <c r="N152" s="400"/>
      <c r="O152" s="400"/>
      <c r="P152" s="401"/>
      <c r="Q152" s="401"/>
      <c r="R152" s="401"/>
      <c r="S152" s="401"/>
      <c r="T152" s="402"/>
      <c r="U152" s="396"/>
      <c r="V152" s="396"/>
      <c r="W152" s="396"/>
      <c r="X152" s="399"/>
      <c r="Y152" s="399"/>
      <c r="Z152" s="399"/>
      <c r="AA152" s="399"/>
      <c r="AB152" s="399"/>
      <c r="AC152" s="399"/>
      <c r="AD152" s="399"/>
      <c r="AE152" s="399"/>
      <c r="AF152" s="399"/>
      <c r="AG152" s="399"/>
      <c r="AH152" s="399"/>
      <c r="AI152" s="399"/>
      <c r="AJ152" s="399"/>
      <c r="AK152" s="399"/>
      <c r="AL152" s="399"/>
      <c r="AM152" s="399"/>
      <c r="AN152" s="399"/>
      <c r="AO152" s="399"/>
      <c r="AP152" s="403"/>
      <c r="AQ152" s="404"/>
      <c r="AR152" s="396"/>
      <c r="AS152" s="399"/>
      <c r="AT152" s="399"/>
      <c r="AU152" s="403"/>
      <c r="AV152" s="404"/>
      <c r="AW152" s="396"/>
      <c r="AX152" s="399"/>
      <c r="AY152" s="404"/>
      <c r="AZ152" s="405"/>
      <c r="BA152" s="406"/>
      <c r="BB152" s="406"/>
      <c r="BC152" s="406"/>
      <c r="BD152" s="406"/>
      <c r="BE152" s="406"/>
      <c r="BF152" s="471"/>
      <c r="BG152" s="406"/>
      <c r="BH152" s="406"/>
      <c r="BI152" s="406"/>
      <c r="BJ152" s="406"/>
      <c r="BK152" s="406"/>
      <c r="BL152" s="406"/>
      <c r="BM152" s="406"/>
      <c r="BN152" s="406"/>
      <c r="BO152" s="406"/>
      <c r="BP152" s="471"/>
      <c r="BQ152" s="406"/>
      <c r="BR152" s="406"/>
      <c r="BS152" s="406"/>
      <c r="BT152" s="471"/>
      <c r="BU152" s="471"/>
      <c r="BV152" s="471"/>
      <c r="BW152" s="406"/>
      <c r="BX152" s="471"/>
      <c r="BY152" s="406"/>
      <c r="BZ152" s="406"/>
      <c r="CA152" s="406"/>
      <c r="CB152" s="406"/>
      <c r="CC152" s="473"/>
      <c r="CD152" s="407"/>
      <c r="CE152" s="473"/>
      <c r="CF152" s="407"/>
      <c r="CG152" s="473"/>
      <c r="CH152" s="407"/>
      <c r="CI152" s="407"/>
      <c r="CJ152" s="407"/>
      <c r="CK152" s="473"/>
      <c r="CL152" s="473"/>
      <c r="CM152" s="407"/>
      <c r="CN152" s="407"/>
      <c r="CO152" s="407"/>
      <c r="CP152" s="407"/>
      <c r="CQ152" s="407"/>
      <c r="CR152" s="473"/>
      <c r="CS152" s="473"/>
      <c r="CT152" s="407"/>
      <c r="CU152" s="407"/>
      <c r="CV152" s="407"/>
      <c r="CW152" s="407"/>
      <c r="CX152" s="407"/>
      <c r="CY152" s="407"/>
      <c r="CZ152" s="407"/>
      <c r="DA152" s="407"/>
      <c r="DB152" s="407"/>
      <c r="DC152" s="408"/>
    </row>
    <row r="153" spans="1:116" ht="18.75">
      <c r="A153" s="397"/>
      <c r="B153" s="377" t="s">
        <v>171</v>
      </c>
      <c r="C153" s="378">
        <f t="shared" ref="C153:AH153" si="46">SUM(C100:C152)</f>
        <v>136</v>
      </c>
      <c r="D153" s="378">
        <f t="shared" si="46"/>
        <v>1947</v>
      </c>
      <c r="E153" s="378">
        <f t="shared" si="46"/>
        <v>162</v>
      </c>
      <c r="F153" s="378">
        <f t="shared" si="46"/>
        <v>0</v>
      </c>
      <c r="G153" s="378">
        <f t="shared" si="46"/>
        <v>0</v>
      </c>
      <c r="H153" s="378">
        <f t="shared" si="46"/>
        <v>0</v>
      </c>
      <c r="I153" s="378">
        <f t="shared" si="46"/>
        <v>0</v>
      </c>
      <c r="J153" s="378">
        <f t="shared" si="46"/>
        <v>0</v>
      </c>
      <c r="K153" s="378">
        <f t="shared" si="46"/>
        <v>0</v>
      </c>
      <c r="L153" s="378">
        <f t="shared" si="46"/>
        <v>0</v>
      </c>
      <c r="M153" s="378">
        <f t="shared" si="46"/>
        <v>0</v>
      </c>
      <c r="N153" s="378">
        <f t="shared" si="46"/>
        <v>0</v>
      </c>
      <c r="O153" s="378">
        <f t="shared" si="46"/>
        <v>0</v>
      </c>
      <c r="P153" s="378">
        <f t="shared" si="46"/>
        <v>0</v>
      </c>
      <c r="Q153" s="378">
        <f t="shared" si="46"/>
        <v>0</v>
      </c>
      <c r="R153" s="378">
        <f t="shared" si="46"/>
        <v>0</v>
      </c>
      <c r="S153" s="378">
        <f t="shared" si="46"/>
        <v>0</v>
      </c>
      <c r="T153" s="380">
        <f t="shared" si="46"/>
        <v>162</v>
      </c>
      <c r="U153" s="381">
        <f t="shared" si="46"/>
        <v>2440</v>
      </c>
      <c r="V153" s="381">
        <f t="shared" si="46"/>
        <v>30</v>
      </c>
      <c r="W153" s="381">
        <f t="shared" si="46"/>
        <v>0</v>
      </c>
      <c r="X153" s="381">
        <f t="shared" si="46"/>
        <v>0</v>
      </c>
      <c r="Y153" s="381">
        <f t="shared" si="46"/>
        <v>0</v>
      </c>
      <c r="Z153" s="381">
        <f t="shared" si="46"/>
        <v>647</v>
      </c>
      <c r="AA153" s="381">
        <f t="shared" si="46"/>
        <v>3183</v>
      </c>
      <c r="AB153" s="381">
        <f t="shared" si="46"/>
        <v>0</v>
      </c>
      <c r="AC153" s="381">
        <f t="shared" si="46"/>
        <v>0</v>
      </c>
      <c r="AD153" s="381">
        <f t="shared" si="46"/>
        <v>604</v>
      </c>
      <c r="AE153" s="381">
        <f t="shared" si="46"/>
        <v>0</v>
      </c>
      <c r="AF153" s="381">
        <f t="shared" si="46"/>
        <v>0</v>
      </c>
      <c r="AG153" s="381">
        <f t="shared" si="46"/>
        <v>0</v>
      </c>
      <c r="AH153" s="381">
        <f t="shared" si="46"/>
        <v>0</v>
      </c>
      <c r="AI153" s="381">
        <f t="shared" ref="AI153:BW153" si="47">SUM(AI100:AI152)</f>
        <v>0</v>
      </c>
      <c r="AJ153" s="381">
        <f t="shared" si="47"/>
        <v>0</v>
      </c>
      <c r="AK153" s="381">
        <f t="shared" si="47"/>
        <v>0</v>
      </c>
      <c r="AL153" s="381">
        <f t="shared" si="47"/>
        <v>0</v>
      </c>
      <c r="AM153" s="381">
        <f t="shared" si="47"/>
        <v>0</v>
      </c>
      <c r="AN153" s="381">
        <f t="shared" si="47"/>
        <v>416</v>
      </c>
      <c r="AO153" s="381">
        <f t="shared" si="47"/>
        <v>2.9</v>
      </c>
      <c r="AP153" s="381">
        <f t="shared" si="47"/>
        <v>0</v>
      </c>
      <c r="AQ153" s="380">
        <f t="shared" si="47"/>
        <v>323.5</v>
      </c>
      <c r="AR153" s="381">
        <f t="shared" si="47"/>
        <v>2083</v>
      </c>
      <c r="AS153" s="381">
        <f t="shared" si="47"/>
        <v>162</v>
      </c>
      <c r="AT153" s="381">
        <f t="shared" si="47"/>
        <v>0</v>
      </c>
      <c r="AU153" s="381">
        <f t="shared" si="47"/>
        <v>0</v>
      </c>
      <c r="AV153" s="380">
        <f t="shared" si="47"/>
        <v>0</v>
      </c>
      <c r="AW153" s="381">
        <f t="shared" si="47"/>
        <v>1989</v>
      </c>
      <c r="AX153" s="381">
        <f t="shared" si="47"/>
        <v>633</v>
      </c>
      <c r="AY153" s="380">
        <f t="shared" si="47"/>
        <v>2245</v>
      </c>
      <c r="AZ153" s="381">
        <f t="shared" si="47"/>
        <v>0</v>
      </c>
      <c r="BA153" s="381">
        <f t="shared" si="47"/>
        <v>1</v>
      </c>
      <c r="BB153" s="381">
        <f t="shared" si="47"/>
        <v>1</v>
      </c>
      <c r="BC153" s="381">
        <f t="shared" si="47"/>
        <v>0</v>
      </c>
      <c r="BD153" s="381">
        <f t="shared" si="47"/>
        <v>0</v>
      </c>
      <c r="BE153" s="381">
        <f t="shared" si="47"/>
        <v>1</v>
      </c>
      <c r="BF153" s="381">
        <f t="shared" si="47"/>
        <v>0</v>
      </c>
      <c r="BG153" s="381">
        <f t="shared" si="47"/>
        <v>1</v>
      </c>
      <c r="BH153" s="381">
        <f t="shared" si="47"/>
        <v>0</v>
      </c>
      <c r="BI153" s="381">
        <f t="shared" si="47"/>
        <v>1</v>
      </c>
      <c r="BJ153" s="381">
        <f t="shared" si="47"/>
        <v>1</v>
      </c>
      <c r="BK153" s="381">
        <f t="shared" si="47"/>
        <v>4</v>
      </c>
      <c r="BL153" s="381">
        <f t="shared" si="47"/>
        <v>1</v>
      </c>
      <c r="BM153" s="381">
        <f t="shared" si="47"/>
        <v>3</v>
      </c>
      <c r="BN153" s="381">
        <f t="shared" si="47"/>
        <v>28</v>
      </c>
      <c r="BO153" s="381">
        <f t="shared" si="47"/>
        <v>0</v>
      </c>
      <c r="BP153" s="381">
        <f t="shared" si="47"/>
        <v>0</v>
      </c>
      <c r="BQ153" s="381">
        <f t="shared" si="47"/>
        <v>0</v>
      </c>
      <c r="BR153" s="381">
        <f t="shared" si="47"/>
        <v>0</v>
      </c>
      <c r="BS153" s="381">
        <f t="shared" si="47"/>
        <v>0</v>
      </c>
      <c r="BT153" s="381">
        <f t="shared" si="47"/>
        <v>0</v>
      </c>
      <c r="BU153" s="381">
        <f t="shared" si="47"/>
        <v>0</v>
      </c>
      <c r="BV153" s="381">
        <f t="shared" si="47"/>
        <v>0</v>
      </c>
      <c r="BW153" s="381">
        <f t="shared" si="47"/>
        <v>17</v>
      </c>
      <c r="BX153" s="472"/>
      <c r="BY153" s="381">
        <f t="shared" ref="BY153:CM153" si="48">SUM(BY100:BY152)</f>
        <v>0</v>
      </c>
      <c r="BZ153" s="381">
        <f t="shared" si="48"/>
        <v>0</v>
      </c>
      <c r="CA153" s="381">
        <f t="shared" si="48"/>
        <v>2</v>
      </c>
      <c r="CB153" s="381">
        <f t="shared" si="48"/>
        <v>1</v>
      </c>
      <c r="CC153" s="472"/>
      <c r="CD153" s="381">
        <f t="shared" si="48"/>
        <v>6</v>
      </c>
      <c r="CE153" s="472"/>
      <c r="CF153" s="381">
        <f t="shared" si="48"/>
        <v>2</v>
      </c>
      <c r="CG153" s="472"/>
      <c r="CH153" s="381">
        <f t="shared" si="48"/>
        <v>4</v>
      </c>
      <c r="CI153" s="381">
        <f t="shared" si="48"/>
        <v>0</v>
      </c>
      <c r="CJ153" s="381">
        <f t="shared" si="48"/>
        <v>0</v>
      </c>
      <c r="CK153" s="472"/>
      <c r="CL153" s="472"/>
      <c r="CM153" s="381">
        <f t="shared" si="48"/>
        <v>0</v>
      </c>
      <c r="CN153" s="381">
        <f t="shared" ref="CN153:CS153" si="49">SUM(CN100:CN152)</f>
        <v>0</v>
      </c>
      <c r="CO153" s="381">
        <f t="shared" si="49"/>
        <v>0</v>
      </c>
      <c r="CP153" s="381">
        <f t="shared" si="49"/>
        <v>0</v>
      </c>
      <c r="CQ153" s="381">
        <f t="shared" si="49"/>
        <v>0</v>
      </c>
      <c r="CR153" s="381">
        <f t="shared" si="49"/>
        <v>0</v>
      </c>
      <c r="CS153" s="381">
        <f t="shared" si="49"/>
        <v>0</v>
      </c>
      <c r="CT153" s="381">
        <f t="shared" ref="CT153:DC153" si="50">SUM(CT100:CT152)</f>
        <v>0</v>
      </c>
      <c r="CU153" s="381">
        <f t="shared" si="50"/>
        <v>0</v>
      </c>
      <c r="CV153" s="381">
        <f t="shared" si="50"/>
        <v>0</v>
      </c>
      <c r="CW153" s="381">
        <f t="shared" si="50"/>
        <v>0</v>
      </c>
      <c r="CX153" s="381">
        <f t="shared" si="50"/>
        <v>0</v>
      </c>
      <c r="CY153" s="381">
        <f t="shared" si="50"/>
        <v>0</v>
      </c>
      <c r="CZ153" s="381">
        <f t="shared" si="50"/>
        <v>0</v>
      </c>
      <c r="DA153" s="381">
        <f t="shared" si="50"/>
        <v>0</v>
      </c>
      <c r="DB153" s="381">
        <f t="shared" si="50"/>
        <v>57</v>
      </c>
      <c r="DC153" s="380">
        <f t="shared" si="50"/>
        <v>0</v>
      </c>
    </row>
    <row r="154" spans="1:116">
      <c r="A154" s="397"/>
      <c r="B154" s="396"/>
      <c r="C154" s="399"/>
      <c r="D154" s="400"/>
      <c r="E154" s="400"/>
      <c r="F154" s="400"/>
      <c r="G154" s="400"/>
      <c r="H154" s="400"/>
      <c r="I154" s="400"/>
      <c r="J154" s="400"/>
      <c r="K154" s="400"/>
      <c r="L154" s="400"/>
      <c r="M154" s="400"/>
      <c r="N154" s="400"/>
      <c r="O154" s="400"/>
      <c r="P154" s="401"/>
      <c r="Q154" s="401"/>
      <c r="R154" s="401"/>
      <c r="S154" s="401"/>
      <c r="T154" s="402"/>
      <c r="U154" s="396"/>
      <c r="V154" s="396"/>
      <c r="W154" s="396"/>
      <c r="X154" s="399"/>
      <c r="Y154" s="399"/>
      <c r="Z154" s="399"/>
      <c r="AA154" s="399"/>
      <c r="AB154" s="399"/>
      <c r="AC154" s="399"/>
      <c r="AD154" s="399"/>
      <c r="AE154" s="399"/>
      <c r="AF154" s="399"/>
      <c r="AG154" s="399"/>
      <c r="AH154" s="399"/>
      <c r="AI154" s="399"/>
      <c r="AJ154" s="399"/>
      <c r="AK154" s="399"/>
      <c r="AL154" s="399"/>
      <c r="AM154" s="399"/>
      <c r="AN154" s="399"/>
      <c r="AO154" s="399"/>
      <c r="AP154" s="403"/>
      <c r="AQ154" s="404"/>
      <c r="AR154" s="396"/>
      <c r="AS154" s="399"/>
      <c r="AT154" s="399"/>
      <c r="AU154" s="403"/>
      <c r="AV154" s="404"/>
      <c r="AW154" s="396"/>
      <c r="AX154" s="399"/>
      <c r="AY154" s="404"/>
      <c r="AZ154" s="405"/>
      <c r="BA154" s="406"/>
      <c r="BB154" s="406"/>
      <c r="BC154" s="406"/>
      <c r="BD154" s="406"/>
      <c r="BE154" s="406"/>
      <c r="BF154" s="471"/>
      <c r="BG154" s="406"/>
      <c r="BH154" s="406"/>
      <c r="BI154" s="406"/>
      <c r="BJ154" s="406"/>
      <c r="BK154" s="406"/>
      <c r="BL154" s="406"/>
      <c r="BM154" s="406"/>
      <c r="BN154" s="406"/>
      <c r="BO154" s="406"/>
      <c r="BP154" s="471"/>
      <c r="BQ154" s="406"/>
      <c r="BR154" s="406"/>
      <c r="BS154" s="406"/>
      <c r="BT154" s="471"/>
      <c r="BU154" s="471"/>
      <c r="BV154" s="471"/>
      <c r="BW154" s="406"/>
      <c r="BX154" s="471"/>
      <c r="BY154" s="406"/>
      <c r="BZ154" s="406"/>
      <c r="CA154" s="406"/>
      <c r="CB154" s="406"/>
      <c r="CC154" s="473"/>
      <c r="CD154" s="407"/>
      <c r="CE154" s="473"/>
      <c r="CF154" s="407"/>
      <c r="CG154" s="473"/>
      <c r="CH154" s="407"/>
      <c r="CI154" s="407"/>
      <c r="CJ154" s="407"/>
      <c r="CK154" s="473"/>
      <c r="CL154" s="473"/>
      <c r="CM154" s="407"/>
      <c r="CN154" s="407"/>
      <c r="CO154" s="407"/>
      <c r="CP154" s="407"/>
      <c r="CQ154" s="407"/>
      <c r="CR154" s="473"/>
      <c r="CS154" s="473"/>
      <c r="CT154" s="407"/>
      <c r="CU154" s="407"/>
      <c r="CV154" s="407"/>
      <c r="CW154" s="407"/>
      <c r="CX154" s="407"/>
      <c r="CY154" s="407"/>
      <c r="CZ154" s="407"/>
      <c r="DA154" s="407"/>
      <c r="DB154" s="407"/>
      <c r="DC154" s="408"/>
    </row>
    <row r="155" spans="1:116">
      <c r="A155" s="397"/>
      <c r="B155" s="386" t="s">
        <v>249</v>
      </c>
      <c r="C155" s="399"/>
      <c r="D155" s="400"/>
      <c r="E155" s="400"/>
      <c r="F155" s="400"/>
      <c r="G155" s="400"/>
      <c r="H155" s="400"/>
      <c r="I155" s="400"/>
      <c r="J155" s="400"/>
      <c r="K155" s="400"/>
      <c r="L155" s="400"/>
      <c r="M155" s="400"/>
      <c r="N155" s="400"/>
      <c r="O155" s="400"/>
      <c r="P155" s="401"/>
      <c r="Q155" s="401"/>
      <c r="R155" s="401"/>
      <c r="S155" s="401"/>
      <c r="T155" s="402"/>
      <c r="U155" s="396"/>
      <c r="V155" s="396"/>
      <c r="W155" s="396"/>
      <c r="X155" s="399"/>
      <c r="Y155" s="399"/>
      <c r="Z155" s="399"/>
      <c r="AA155" s="399"/>
      <c r="AB155" s="399"/>
      <c r="AC155" s="399"/>
      <c r="AD155" s="399"/>
      <c r="AE155" s="399"/>
      <c r="AF155" s="399"/>
      <c r="AG155" s="399"/>
      <c r="AH155" s="399"/>
      <c r="AI155" s="399"/>
      <c r="AJ155" s="399"/>
      <c r="AK155" s="399"/>
      <c r="AL155" s="399"/>
      <c r="AM155" s="399"/>
      <c r="AN155" s="399"/>
      <c r="AO155" s="399"/>
      <c r="AP155" s="403"/>
      <c r="AQ155" s="404"/>
      <c r="AR155" s="396"/>
      <c r="AS155" s="399"/>
      <c r="AT155" s="399"/>
      <c r="AU155" s="403"/>
      <c r="AV155" s="404"/>
      <c r="AW155" s="396"/>
      <c r="AX155" s="399"/>
      <c r="AY155" s="404"/>
      <c r="AZ155" s="405"/>
      <c r="BA155" s="406"/>
      <c r="BB155" s="406"/>
      <c r="BC155" s="406"/>
      <c r="BD155" s="406"/>
      <c r="BE155" s="406"/>
      <c r="BF155" s="471"/>
      <c r="BG155" s="406"/>
      <c r="BH155" s="406"/>
      <c r="BI155" s="406"/>
      <c r="BJ155" s="406"/>
      <c r="BK155" s="406"/>
      <c r="BL155" s="406"/>
      <c r="BM155" s="406"/>
      <c r="BN155" s="406"/>
      <c r="BO155" s="406"/>
      <c r="BP155" s="471"/>
      <c r="BQ155" s="406"/>
      <c r="BR155" s="406"/>
      <c r="BS155" s="406"/>
      <c r="BT155" s="471"/>
      <c r="BU155" s="471"/>
      <c r="BV155" s="471"/>
      <c r="BW155" s="406"/>
      <c r="BX155" s="471"/>
      <c r="BY155" s="406"/>
      <c r="BZ155" s="406"/>
      <c r="CA155" s="406"/>
      <c r="CB155" s="406"/>
      <c r="CC155" s="473"/>
      <c r="CD155" s="407"/>
      <c r="CE155" s="473"/>
      <c r="CF155" s="407"/>
      <c r="CG155" s="473"/>
      <c r="CH155" s="407"/>
      <c r="CI155" s="407"/>
      <c r="CJ155" s="407"/>
      <c r="CK155" s="473"/>
      <c r="CL155" s="473"/>
      <c r="CM155" s="407"/>
      <c r="CN155" s="407"/>
      <c r="CO155" s="407"/>
      <c r="CP155" s="407"/>
      <c r="CQ155" s="407"/>
      <c r="CR155" s="473"/>
      <c r="CS155" s="473"/>
      <c r="CT155" s="407"/>
      <c r="CU155" s="407"/>
      <c r="CV155" s="407"/>
      <c r="CW155" s="407"/>
      <c r="CX155" s="407"/>
      <c r="CY155" s="407"/>
      <c r="CZ155" s="407"/>
      <c r="DA155" s="407"/>
      <c r="DB155" s="407"/>
      <c r="DC155" s="408"/>
    </row>
    <row r="156" spans="1:116">
      <c r="A156" s="397"/>
      <c r="B156" s="396"/>
      <c r="C156" s="399"/>
      <c r="D156" s="400"/>
      <c r="E156" s="400"/>
      <c r="F156" s="400"/>
      <c r="G156" s="400"/>
      <c r="H156" s="400"/>
      <c r="I156" s="400"/>
      <c r="J156" s="400"/>
      <c r="K156" s="400"/>
      <c r="L156" s="400"/>
      <c r="M156" s="400"/>
      <c r="N156" s="400"/>
      <c r="O156" s="400"/>
      <c r="P156" s="401"/>
      <c r="Q156" s="401"/>
      <c r="R156" s="401"/>
      <c r="S156" s="401"/>
      <c r="T156" s="402"/>
      <c r="U156" s="396"/>
      <c r="V156" s="396"/>
      <c r="W156" s="396"/>
      <c r="X156" s="399"/>
      <c r="Y156" s="399"/>
      <c r="Z156" s="399"/>
      <c r="AA156" s="399"/>
      <c r="AB156" s="399"/>
      <c r="AC156" s="399"/>
      <c r="AD156" s="399"/>
      <c r="AE156" s="399"/>
      <c r="AF156" s="399"/>
      <c r="AG156" s="399"/>
      <c r="AH156" s="399"/>
      <c r="AI156" s="399"/>
      <c r="AJ156" s="399"/>
      <c r="AK156" s="399"/>
      <c r="AL156" s="399"/>
      <c r="AM156" s="399"/>
      <c r="AN156" s="399"/>
      <c r="AO156" s="399"/>
      <c r="AP156" s="403"/>
      <c r="AQ156" s="404"/>
      <c r="AR156" s="396"/>
      <c r="AS156" s="399"/>
      <c r="AT156" s="399"/>
      <c r="AU156" s="403"/>
      <c r="AV156" s="404"/>
      <c r="AW156" s="396"/>
      <c r="AX156" s="399"/>
      <c r="AY156" s="404"/>
      <c r="AZ156" s="405"/>
      <c r="BA156" s="406"/>
      <c r="BB156" s="406"/>
      <c r="BC156" s="406"/>
      <c r="BD156" s="406"/>
      <c r="BE156" s="406"/>
      <c r="BF156" s="471"/>
      <c r="BG156" s="406"/>
      <c r="BH156" s="406"/>
      <c r="BI156" s="406"/>
      <c r="BJ156" s="406"/>
      <c r="BK156" s="406"/>
      <c r="BL156" s="406"/>
      <c r="BM156" s="406"/>
      <c r="BN156" s="406"/>
      <c r="BO156" s="406"/>
      <c r="BP156" s="471"/>
      <c r="BQ156" s="406"/>
      <c r="BR156" s="406"/>
      <c r="BS156" s="406"/>
      <c r="BT156" s="471"/>
      <c r="BU156" s="471"/>
      <c r="BV156" s="471"/>
      <c r="BW156" s="406"/>
      <c r="BX156" s="471"/>
      <c r="BY156" s="406"/>
      <c r="BZ156" s="406"/>
      <c r="CA156" s="406"/>
      <c r="CB156" s="406"/>
      <c r="CC156" s="473"/>
      <c r="CD156" s="407"/>
      <c r="CE156" s="473"/>
      <c r="CF156" s="407"/>
      <c r="CG156" s="473"/>
      <c r="CH156" s="407"/>
      <c r="CI156" s="407"/>
      <c r="CJ156" s="407"/>
      <c r="CK156" s="473"/>
      <c r="CL156" s="473"/>
      <c r="CM156" s="407"/>
      <c r="CN156" s="407"/>
      <c r="CO156" s="407"/>
      <c r="CP156" s="407"/>
      <c r="CQ156" s="407"/>
      <c r="CR156" s="473"/>
      <c r="CS156" s="473"/>
      <c r="CT156" s="407"/>
      <c r="CU156" s="407"/>
      <c r="CV156" s="407"/>
      <c r="CW156" s="407"/>
      <c r="CX156" s="407"/>
      <c r="CY156" s="407"/>
      <c r="CZ156" s="407"/>
      <c r="DA156" s="407"/>
      <c r="DB156" s="407"/>
      <c r="DC156" s="375"/>
    </row>
    <row r="157" spans="1:116" s="59" customFormat="1">
      <c r="A157" s="368"/>
      <c r="B157" s="366" t="s">
        <v>484</v>
      </c>
      <c r="C157" s="349"/>
      <c r="D157" s="367"/>
      <c r="E157" s="349"/>
      <c r="F157" s="349"/>
      <c r="G157" s="349"/>
      <c r="H157" s="349">
        <v>1868</v>
      </c>
      <c r="I157" s="349"/>
      <c r="J157" s="349"/>
      <c r="K157" s="367"/>
      <c r="L157" s="349"/>
      <c r="M157" s="349"/>
      <c r="N157" s="349"/>
      <c r="O157" s="349"/>
      <c r="P157" s="354"/>
      <c r="Q157" s="354"/>
      <c r="R157" s="354"/>
      <c r="S157" s="354"/>
      <c r="T157" s="352"/>
      <c r="U157" s="353"/>
      <c r="V157" s="353"/>
      <c r="W157" s="353"/>
      <c r="X157" s="349"/>
      <c r="Y157" s="349"/>
      <c r="Z157" s="349"/>
      <c r="AA157" s="349"/>
      <c r="AB157" s="349"/>
      <c r="AC157" s="349"/>
      <c r="AD157" s="349"/>
      <c r="AE157" s="349"/>
      <c r="AF157" s="349"/>
      <c r="AG157" s="349"/>
      <c r="AH157" s="349"/>
      <c r="AI157" s="349"/>
      <c r="AJ157" s="349"/>
      <c r="AK157" s="349"/>
      <c r="AL157" s="349"/>
      <c r="AM157" s="349"/>
      <c r="AN157" s="349"/>
      <c r="AO157" s="349"/>
      <c r="AP157" s="354"/>
      <c r="AQ157" s="352"/>
      <c r="AR157" s="366"/>
      <c r="AS157" s="349"/>
      <c r="AT157" s="349"/>
      <c r="AU157" s="349"/>
      <c r="AV157" s="352"/>
      <c r="AW157" s="353"/>
      <c r="AX157" s="349"/>
      <c r="AY157" s="369"/>
      <c r="AZ157" s="353"/>
      <c r="BA157" s="349"/>
      <c r="BB157" s="349"/>
      <c r="BC157" s="349"/>
      <c r="BD157" s="349"/>
      <c r="BE157" s="349"/>
      <c r="BF157" s="349"/>
      <c r="BG157" s="349"/>
      <c r="BH157" s="349"/>
      <c r="BI157" s="349"/>
      <c r="BJ157" s="349"/>
      <c r="BK157" s="349"/>
      <c r="BL157" s="349"/>
      <c r="BM157" s="349"/>
      <c r="BN157" s="349"/>
      <c r="BO157" s="349"/>
      <c r="BP157" s="349"/>
      <c r="BQ157" s="349"/>
      <c r="BR157" s="349"/>
      <c r="BS157" s="349"/>
      <c r="BT157" s="349"/>
      <c r="BU157" s="349"/>
      <c r="BV157" s="349"/>
      <c r="BW157" s="349"/>
      <c r="BX157" s="349"/>
      <c r="BY157" s="349"/>
      <c r="BZ157" s="349"/>
      <c r="CA157" s="349"/>
      <c r="CB157" s="349"/>
      <c r="CC157" s="354"/>
      <c r="CD157" s="354"/>
      <c r="CE157" s="354"/>
      <c r="CF157" s="354"/>
      <c r="CG157" s="354"/>
      <c r="CH157" s="354"/>
      <c r="CI157" s="354"/>
      <c r="CJ157" s="354"/>
      <c r="CK157" s="354"/>
      <c r="CL157" s="354"/>
      <c r="CM157" s="354"/>
      <c r="CN157" s="354"/>
      <c r="CO157" s="354"/>
      <c r="CP157" s="354"/>
      <c r="CQ157" s="354"/>
      <c r="CR157" s="354"/>
      <c r="CS157" s="354"/>
      <c r="CT157" s="354"/>
      <c r="CU157" s="354"/>
      <c r="CV157" s="354"/>
      <c r="CW157" s="354"/>
      <c r="CX157" s="354"/>
      <c r="CY157" s="354"/>
      <c r="CZ157" s="354"/>
      <c r="DA157" s="354"/>
      <c r="DB157" s="354"/>
      <c r="DC157" s="352"/>
    </row>
    <row r="158" spans="1:116" s="59" customFormat="1">
      <c r="A158" s="368"/>
      <c r="B158" s="360" t="s">
        <v>561</v>
      </c>
      <c r="C158" s="367">
        <v>68</v>
      </c>
      <c r="D158" s="349"/>
      <c r="E158" s="349"/>
      <c r="F158" s="349"/>
      <c r="G158" s="349"/>
      <c r="H158" s="349"/>
      <c r="I158" s="349"/>
      <c r="J158" s="349"/>
      <c r="K158" s="349"/>
      <c r="L158" s="349"/>
      <c r="M158" s="349"/>
      <c r="N158" s="349"/>
      <c r="O158" s="349"/>
      <c r="P158" s="354"/>
      <c r="Q158" s="354"/>
      <c r="R158" s="354"/>
      <c r="S158" s="354"/>
      <c r="T158" s="352"/>
      <c r="U158" s="353">
        <f>ROUNDUP((37.4*2.9)-((BM7*3)+CF7),0)</f>
        <v>101</v>
      </c>
      <c r="V158" s="353"/>
      <c r="W158" s="353"/>
      <c r="X158" s="349"/>
      <c r="Y158" s="349"/>
      <c r="Z158" s="349">
        <f>U158</f>
        <v>101</v>
      </c>
      <c r="AA158" s="349">
        <f>U158</f>
        <v>101</v>
      </c>
      <c r="AB158" s="349"/>
      <c r="AC158" s="349"/>
      <c r="AD158" s="349"/>
      <c r="AE158" s="349"/>
      <c r="AF158" s="349"/>
      <c r="AG158" s="349"/>
      <c r="AH158" s="349"/>
      <c r="AI158" s="349"/>
      <c r="AJ158" s="349"/>
      <c r="AK158" s="349"/>
      <c r="AL158" s="349"/>
      <c r="AM158" s="349"/>
      <c r="AN158" s="349">
        <f>ROUNDUP((BM9*3)+CF9,0)</f>
        <v>14</v>
      </c>
      <c r="AO158" s="349"/>
      <c r="AP158" s="354"/>
      <c r="AQ158" s="352">
        <f>ROUNDUP((BM8*3)+CF8,0)</f>
        <v>7</v>
      </c>
      <c r="AR158" s="366"/>
      <c r="AS158" s="349"/>
      <c r="AT158" s="349"/>
      <c r="AU158" s="349"/>
      <c r="AV158" s="352"/>
      <c r="AW158" s="353">
        <f>AA158</f>
        <v>101</v>
      </c>
      <c r="AX158" s="349">
        <f>Z158</f>
        <v>101</v>
      </c>
      <c r="AY158" s="369"/>
      <c r="AZ158" s="353"/>
      <c r="BA158" s="349"/>
      <c r="BB158" s="349"/>
      <c r="BC158" s="349"/>
      <c r="BD158" s="349"/>
      <c r="BE158" s="349"/>
      <c r="BF158" s="349"/>
      <c r="BG158" s="349"/>
      <c r="BH158" s="349"/>
      <c r="BI158" s="349">
        <v>1</v>
      </c>
      <c r="BJ158" s="349"/>
      <c r="BK158" s="349"/>
      <c r="BL158" s="349"/>
      <c r="BM158" s="349">
        <v>1</v>
      </c>
      <c r="BN158" s="349"/>
      <c r="BO158" s="349"/>
      <c r="BP158" s="349"/>
      <c r="BQ158" s="349"/>
      <c r="BR158" s="349"/>
      <c r="BS158" s="349"/>
      <c r="BT158" s="349"/>
      <c r="BU158" s="349"/>
      <c r="BV158" s="349"/>
      <c r="BW158" s="349"/>
      <c r="BX158" s="349"/>
      <c r="BY158" s="349"/>
      <c r="BZ158" s="349"/>
      <c r="CA158" s="349"/>
      <c r="CB158" s="349"/>
      <c r="CC158" s="354"/>
      <c r="CD158" s="354"/>
      <c r="CE158" s="354"/>
      <c r="CF158" s="354">
        <v>1</v>
      </c>
      <c r="CG158" s="354"/>
      <c r="CH158" s="354"/>
      <c r="CI158" s="354"/>
      <c r="CJ158" s="354"/>
      <c r="CK158" s="354"/>
      <c r="CL158" s="354"/>
      <c r="CM158" s="354"/>
      <c r="CN158" s="354"/>
      <c r="CO158" s="354"/>
      <c r="CP158" s="354"/>
      <c r="CQ158" s="354"/>
      <c r="CR158" s="354"/>
      <c r="CS158" s="354"/>
      <c r="CT158" s="354"/>
      <c r="CU158" s="354"/>
      <c r="CV158" s="354"/>
      <c r="CW158" s="354"/>
      <c r="CX158" s="354"/>
      <c r="CY158" s="354"/>
      <c r="CZ158" s="354"/>
      <c r="DA158" s="354"/>
      <c r="DB158" s="354"/>
      <c r="DC158" s="352"/>
      <c r="DJ158" s="58" t="s">
        <v>528</v>
      </c>
      <c r="DL158" s="364">
        <f>ROUNDUP(CA131*2500,0)</f>
        <v>0</v>
      </c>
    </row>
    <row r="159" spans="1:116">
      <c r="A159" s="394"/>
      <c r="B159" s="395" t="s">
        <v>464</v>
      </c>
      <c r="C159" s="349"/>
      <c r="D159" s="349"/>
      <c r="E159" s="349"/>
      <c r="F159" s="349"/>
      <c r="G159" s="349"/>
      <c r="H159" s="349"/>
      <c r="I159" s="349"/>
      <c r="J159" s="349"/>
      <c r="K159" s="349"/>
      <c r="L159" s="349"/>
      <c r="M159" s="349"/>
      <c r="N159" s="349"/>
      <c r="O159" s="349"/>
      <c r="P159" s="354"/>
      <c r="Q159" s="354"/>
      <c r="R159" s="354"/>
      <c r="S159" s="354"/>
      <c r="T159" s="352"/>
      <c r="U159" s="353"/>
      <c r="V159" s="353"/>
      <c r="W159" s="353"/>
      <c r="X159" s="349"/>
      <c r="Y159" s="349"/>
      <c r="Z159" s="349"/>
      <c r="AA159" s="349"/>
      <c r="AB159" s="349"/>
      <c r="AC159" s="349"/>
      <c r="AD159" s="349"/>
      <c r="AE159" s="349"/>
      <c r="AF159" s="349"/>
      <c r="AG159" s="349"/>
      <c r="AH159" s="349"/>
      <c r="AI159" s="349"/>
      <c r="AJ159" s="349"/>
      <c r="AK159" s="349"/>
      <c r="AL159" s="349"/>
      <c r="AM159" s="349"/>
      <c r="AN159" s="349"/>
      <c r="AO159" s="349"/>
      <c r="AP159" s="354"/>
      <c r="AQ159" s="352"/>
      <c r="AR159" s="355"/>
      <c r="AS159" s="356"/>
      <c r="AT159" s="356"/>
      <c r="AU159" s="387"/>
      <c r="AV159" s="357"/>
      <c r="AW159" s="353"/>
      <c r="AX159" s="349"/>
      <c r="AY159" s="352"/>
      <c r="AZ159" s="372"/>
      <c r="BA159" s="373"/>
      <c r="BB159" s="373"/>
      <c r="BC159" s="373"/>
      <c r="BD159" s="373"/>
      <c r="BE159" s="373"/>
      <c r="BF159" s="373"/>
      <c r="BG159" s="373"/>
      <c r="BH159" s="373"/>
      <c r="BI159" s="373"/>
      <c r="BJ159" s="373"/>
      <c r="BK159" s="373"/>
      <c r="BL159" s="373"/>
      <c r="BM159" s="373"/>
      <c r="BN159" s="373"/>
      <c r="BO159" s="373"/>
      <c r="BP159" s="373"/>
      <c r="BQ159" s="373"/>
      <c r="BR159" s="373"/>
      <c r="BS159" s="373"/>
      <c r="BT159" s="373"/>
      <c r="BU159" s="373"/>
      <c r="BV159" s="373"/>
      <c r="BW159" s="373"/>
      <c r="BX159" s="373"/>
      <c r="BY159" s="373"/>
      <c r="BZ159" s="373"/>
      <c r="CA159" s="373"/>
      <c r="CB159" s="373"/>
      <c r="CC159" s="374"/>
      <c r="CD159" s="374"/>
      <c r="CE159" s="374"/>
      <c r="CF159" s="374"/>
      <c r="CG159" s="374"/>
      <c r="CH159" s="374"/>
      <c r="CI159" s="374"/>
      <c r="CJ159" s="374"/>
      <c r="CK159" s="374"/>
      <c r="CL159" s="374"/>
      <c r="CM159" s="374"/>
      <c r="CN159" s="374"/>
      <c r="CO159" s="374"/>
      <c r="CP159" s="374"/>
      <c r="CQ159" s="374"/>
      <c r="CR159" s="374"/>
      <c r="CS159" s="374"/>
      <c r="CT159" s="374"/>
      <c r="CU159" s="374"/>
      <c r="CV159" s="374"/>
      <c r="CW159" s="374"/>
      <c r="CX159" s="374"/>
      <c r="CY159" s="374"/>
      <c r="CZ159" s="374"/>
      <c r="DA159" s="374"/>
      <c r="DB159" s="392">
        <f>ROUNDUP(56.57,0)</f>
        <v>57</v>
      </c>
      <c r="DC159" s="375"/>
    </row>
    <row r="160" spans="1:116">
      <c r="A160" s="397"/>
      <c r="B160" s="396"/>
      <c r="C160" s="399"/>
      <c r="D160" s="400"/>
      <c r="E160" s="400"/>
      <c r="F160" s="400"/>
      <c r="G160" s="400"/>
      <c r="H160" s="400"/>
      <c r="I160" s="400"/>
      <c r="J160" s="400"/>
      <c r="K160" s="400"/>
      <c r="L160" s="400"/>
      <c r="M160" s="400"/>
      <c r="N160" s="400"/>
      <c r="O160" s="400"/>
      <c r="P160" s="401"/>
      <c r="Q160" s="401"/>
      <c r="R160" s="401"/>
      <c r="S160" s="401"/>
      <c r="T160" s="402"/>
      <c r="U160" s="396"/>
      <c r="V160" s="396"/>
      <c r="W160" s="396"/>
      <c r="X160" s="399"/>
      <c r="Y160" s="399"/>
      <c r="Z160" s="399"/>
      <c r="AA160" s="399"/>
      <c r="AB160" s="399"/>
      <c r="AC160" s="399"/>
      <c r="AD160" s="399"/>
      <c r="AE160" s="399"/>
      <c r="AF160" s="399"/>
      <c r="AG160" s="399"/>
      <c r="AH160" s="399"/>
      <c r="AI160" s="399"/>
      <c r="AJ160" s="399"/>
      <c r="AK160" s="399"/>
      <c r="AL160" s="399"/>
      <c r="AM160" s="399"/>
      <c r="AN160" s="399"/>
      <c r="AO160" s="399"/>
      <c r="AP160" s="403"/>
      <c r="AQ160" s="404"/>
      <c r="AR160" s="396"/>
      <c r="AS160" s="399"/>
      <c r="AT160" s="399"/>
      <c r="AU160" s="403"/>
      <c r="AV160" s="404"/>
      <c r="AW160" s="396"/>
      <c r="AX160" s="399"/>
      <c r="AY160" s="404"/>
      <c r="AZ160" s="405"/>
      <c r="BA160" s="406"/>
      <c r="BB160" s="406"/>
      <c r="BC160" s="406"/>
      <c r="BD160" s="406"/>
      <c r="BE160" s="406"/>
      <c r="BF160" s="471"/>
      <c r="BG160" s="406"/>
      <c r="BH160" s="406"/>
      <c r="BI160" s="406"/>
      <c r="BJ160" s="406"/>
      <c r="BK160" s="406"/>
      <c r="BL160" s="406"/>
      <c r="BM160" s="406"/>
      <c r="BN160" s="406"/>
      <c r="BO160" s="406"/>
      <c r="BP160" s="471"/>
      <c r="BQ160" s="406"/>
      <c r="BR160" s="406"/>
      <c r="BS160" s="406"/>
      <c r="BT160" s="471"/>
      <c r="BU160" s="471"/>
      <c r="BV160" s="471"/>
      <c r="BW160" s="406"/>
      <c r="BX160" s="471"/>
      <c r="BY160" s="406"/>
      <c r="BZ160" s="406"/>
      <c r="CA160" s="406"/>
      <c r="CB160" s="406"/>
      <c r="CC160" s="473"/>
      <c r="CD160" s="407"/>
      <c r="CE160" s="473"/>
      <c r="CF160" s="407"/>
      <c r="CG160" s="473"/>
      <c r="CH160" s="407"/>
      <c r="CI160" s="407"/>
      <c r="CJ160" s="407"/>
      <c r="CK160" s="473"/>
      <c r="CL160" s="473"/>
      <c r="CM160" s="407"/>
      <c r="CN160" s="407"/>
      <c r="CO160" s="407"/>
      <c r="CP160" s="407"/>
      <c r="CQ160" s="407"/>
      <c r="CR160" s="473"/>
      <c r="CS160" s="473"/>
      <c r="CT160" s="407"/>
      <c r="CU160" s="407"/>
      <c r="CV160" s="407"/>
      <c r="CW160" s="407"/>
      <c r="CX160" s="407"/>
      <c r="CY160" s="407"/>
      <c r="CZ160" s="407"/>
      <c r="DA160" s="407"/>
      <c r="DB160" s="407"/>
      <c r="DC160" s="408"/>
    </row>
    <row r="161" spans="1:107">
      <c r="A161" s="397"/>
      <c r="B161" s="396"/>
      <c r="C161" s="399"/>
      <c r="D161" s="400"/>
      <c r="E161" s="400"/>
      <c r="F161" s="400"/>
      <c r="G161" s="400"/>
      <c r="H161" s="400"/>
      <c r="I161" s="400"/>
      <c r="J161" s="400"/>
      <c r="K161" s="400"/>
      <c r="L161" s="400"/>
      <c r="M161" s="400"/>
      <c r="N161" s="400"/>
      <c r="O161" s="400"/>
      <c r="P161" s="401"/>
      <c r="Q161" s="401"/>
      <c r="R161" s="401"/>
      <c r="S161" s="401"/>
      <c r="T161" s="402"/>
      <c r="U161" s="396"/>
      <c r="V161" s="396"/>
      <c r="W161" s="396"/>
      <c r="X161" s="399"/>
      <c r="Y161" s="399"/>
      <c r="Z161" s="399"/>
      <c r="AA161" s="399"/>
      <c r="AB161" s="399"/>
      <c r="AC161" s="399"/>
      <c r="AD161" s="399"/>
      <c r="AE161" s="399"/>
      <c r="AF161" s="399"/>
      <c r="AG161" s="399"/>
      <c r="AH161" s="399"/>
      <c r="AI161" s="399"/>
      <c r="AJ161" s="399"/>
      <c r="AK161" s="399"/>
      <c r="AL161" s="399"/>
      <c r="AM161" s="399"/>
      <c r="AN161" s="399"/>
      <c r="AO161" s="399"/>
      <c r="AP161" s="403"/>
      <c r="AQ161" s="404"/>
      <c r="AR161" s="396"/>
      <c r="AS161" s="399"/>
      <c r="AT161" s="399"/>
      <c r="AU161" s="403"/>
      <c r="AV161" s="404"/>
      <c r="AW161" s="396"/>
      <c r="AX161" s="399"/>
      <c r="AY161" s="404"/>
      <c r="AZ161" s="405"/>
      <c r="BA161" s="406"/>
      <c r="BB161" s="406"/>
      <c r="BC161" s="406"/>
      <c r="BD161" s="406"/>
      <c r="BE161" s="406"/>
      <c r="BF161" s="471"/>
      <c r="BG161" s="406"/>
      <c r="BH161" s="406"/>
      <c r="BI161" s="406"/>
      <c r="BJ161" s="406"/>
      <c r="BK161" s="406"/>
      <c r="BL161" s="406"/>
      <c r="BM161" s="406"/>
      <c r="BN161" s="406"/>
      <c r="BO161" s="406"/>
      <c r="BP161" s="471"/>
      <c r="BQ161" s="406"/>
      <c r="BR161" s="406"/>
      <c r="BS161" s="406"/>
      <c r="BT161" s="471"/>
      <c r="BU161" s="471"/>
      <c r="BV161" s="471"/>
      <c r="BW161" s="406"/>
      <c r="BX161" s="471"/>
      <c r="BY161" s="406"/>
      <c r="BZ161" s="406"/>
      <c r="CA161" s="406"/>
      <c r="CB161" s="406"/>
      <c r="CC161" s="473"/>
      <c r="CD161" s="407"/>
      <c r="CE161" s="473"/>
      <c r="CF161" s="407"/>
      <c r="CG161" s="473"/>
      <c r="CH161" s="407"/>
      <c r="CI161" s="407"/>
      <c r="CJ161" s="407"/>
      <c r="CK161" s="473"/>
      <c r="CL161" s="473"/>
      <c r="CM161" s="407"/>
      <c r="CN161" s="407"/>
      <c r="CO161" s="407"/>
      <c r="CP161" s="407"/>
      <c r="CQ161" s="407"/>
      <c r="CR161" s="473"/>
      <c r="CS161" s="473"/>
      <c r="CT161" s="407"/>
      <c r="CU161" s="407"/>
      <c r="CV161" s="407"/>
      <c r="CW161" s="407"/>
      <c r="CX161" s="407"/>
      <c r="CY161" s="407"/>
      <c r="CZ161" s="407"/>
      <c r="DA161" s="407"/>
      <c r="DB161" s="407"/>
      <c r="DC161" s="408"/>
    </row>
    <row r="162" spans="1:107">
      <c r="A162" s="397"/>
      <c r="B162" s="396"/>
      <c r="C162" s="399"/>
      <c r="D162" s="400"/>
      <c r="E162" s="400"/>
      <c r="F162" s="400"/>
      <c r="G162" s="400"/>
      <c r="H162" s="400"/>
      <c r="I162" s="400"/>
      <c r="J162" s="400"/>
      <c r="K162" s="400"/>
      <c r="L162" s="400"/>
      <c r="M162" s="400"/>
      <c r="N162" s="400"/>
      <c r="O162" s="400"/>
      <c r="P162" s="401"/>
      <c r="Q162" s="401"/>
      <c r="R162" s="401"/>
      <c r="S162" s="401"/>
      <c r="T162" s="402"/>
      <c r="U162" s="396"/>
      <c r="V162" s="396"/>
      <c r="W162" s="396"/>
      <c r="X162" s="399"/>
      <c r="Y162" s="399"/>
      <c r="Z162" s="399"/>
      <c r="AA162" s="399"/>
      <c r="AB162" s="399"/>
      <c r="AC162" s="399"/>
      <c r="AD162" s="399"/>
      <c r="AE162" s="399"/>
      <c r="AF162" s="399"/>
      <c r="AG162" s="399"/>
      <c r="AH162" s="399"/>
      <c r="AI162" s="399"/>
      <c r="AJ162" s="399"/>
      <c r="AK162" s="399"/>
      <c r="AL162" s="399"/>
      <c r="AM162" s="399"/>
      <c r="AN162" s="399"/>
      <c r="AO162" s="399"/>
      <c r="AP162" s="403"/>
      <c r="AQ162" s="404"/>
      <c r="AR162" s="396"/>
      <c r="AS162" s="399"/>
      <c r="AT162" s="399"/>
      <c r="AU162" s="403"/>
      <c r="AV162" s="404"/>
      <c r="AW162" s="396"/>
      <c r="AX162" s="399"/>
      <c r="AY162" s="404"/>
      <c r="AZ162" s="405"/>
      <c r="BA162" s="406"/>
      <c r="BB162" s="406"/>
      <c r="BC162" s="406"/>
      <c r="BD162" s="406"/>
      <c r="BE162" s="406"/>
      <c r="BF162" s="471"/>
      <c r="BG162" s="406"/>
      <c r="BH162" s="406"/>
      <c r="BI162" s="406"/>
      <c r="BJ162" s="406"/>
      <c r="BK162" s="406"/>
      <c r="BL162" s="406"/>
      <c r="BM162" s="406"/>
      <c r="BN162" s="406"/>
      <c r="BO162" s="406"/>
      <c r="BP162" s="471"/>
      <c r="BQ162" s="406"/>
      <c r="BR162" s="406"/>
      <c r="BS162" s="406"/>
      <c r="BT162" s="471"/>
      <c r="BU162" s="471"/>
      <c r="BV162" s="471"/>
      <c r="BW162" s="406"/>
      <c r="BX162" s="471"/>
      <c r="BY162" s="406"/>
      <c r="BZ162" s="406"/>
      <c r="CA162" s="406"/>
      <c r="CB162" s="406"/>
      <c r="CC162" s="473"/>
      <c r="CD162" s="407"/>
      <c r="CE162" s="473"/>
      <c r="CF162" s="407"/>
      <c r="CG162" s="473"/>
      <c r="CH162" s="407"/>
      <c r="CI162" s="407"/>
      <c r="CJ162" s="407"/>
      <c r="CK162" s="473"/>
      <c r="CL162" s="473"/>
      <c r="CM162" s="407"/>
      <c r="CN162" s="407"/>
      <c r="CO162" s="407"/>
      <c r="CP162" s="407"/>
      <c r="CQ162" s="407"/>
      <c r="CR162" s="473"/>
      <c r="CS162" s="473"/>
      <c r="CT162" s="407"/>
      <c r="CU162" s="407"/>
      <c r="CV162" s="407"/>
      <c r="CW162" s="407"/>
      <c r="CX162" s="407"/>
      <c r="CY162" s="407"/>
      <c r="CZ162" s="407"/>
      <c r="DA162" s="407"/>
      <c r="DB162" s="407"/>
      <c r="DC162" s="408"/>
    </row>
    <row r="163" spans="1:107">
      <c r="A163" s="397"/>
      <c r="B163" s="396"/>
      <c r="C163" s="399"/>
      <c r="D163" s="400"/>
      <c r="E163" s="400"/>
      <c r="F163" s="400"/>
      <c r="G163" s="400"/>
      <c r="H163" s="400"/>
      <c r="I163" s="400"/>
      <c r="J163" s="400"/>
      <c r="K163" s="400"/>
      <c r="L163" s="400"/>
      <c r="M163" s="400"/>
      <c r="N163" s="400"/>
      <c r="O163" s="400"/>
      <c r="P163" s="401"/>
      <c r="Q163" s="401"/>
      <c r="R163" s="401"/>
      <c r="S163" s="401"/>
      <c r="T163" s="402"/>
      <c r="U163" s="396"/>
      <c r="V163" s="396"/>
      <c r="W163" s="396"/>
      <c r="X163" s="399"/>
      <c r="Y163" s="399"/>
      <c r="Z163" s="399"/>
      <c r="AA163" s="399"/>
      <c r="AB163" s="399"/>
      <c r="AC163" s="399"/>
      <c r="AD163" s="399"/>
      <c r="AE163" s="399"/>
      <c r="AF163" s="399"/>
      <c r="AG163" s="399"/>
      <c r="AH163" s="399"/>
      <c r="AI163" s="399"/>
      <c r="AJ163" s="399"/>
      <c r="AK163" s="399"/>
      <c r="AL163" s="399"/>
      <c r="AM163" s="399"/>
      <c r="AN163" s="399"/>
      <c r="AO163" s="399"/>
      <c r="AP163" s="403"/>
      <c r="AQ163" s="404"/>
      <c r="AR163" s="396"/>
      <c r="AS163" s="399"/>
      <c r="AT163" s="399"/>
      <c r="AU163" s="403"/>
      <c r="AV163" s="404"/>
      <c r="AW163" s="396"/>
      <c r="AX163" s="399"/>
      <c r="AY163" s="404"/>
      <c r="AZ163" s="405"/>
      <c r="BA163" s="406"/>
      <c r="BB163" s="406"/>
      <c r="BC163" s="406"/>
      <c r="BD163" s="406"/>
      <c r="BE163" s="406"/>
      <c r="BF163" s="471"/>
      <c r="BG163" s="406"/>
      <c r="BH163" s="406"/>
      <c r="BI163" s="406"/>
      <c r="BJ163" s="406"/>
      <c r="BK163" s="406"/>
      <c r="BL163" s="406"/>
      <c r="BM163" s="406"/>
      <c r="BN163" s="406"/>
      <c r="BO163" s="406"/>
      <c r="BP163" s="471"/>
      <c r="BQ163" s="406"/>
      <c r="BR163" s="406"/>
      <c r="BS163" s="406"/>
      <c r="BT163" s="471"/>
      <c r="BU163" s="471"/>
      <c r="BV163" s="471"/>
      <c r="BW163" s="406"/>
      <c r="BX163" s="471"/>
      <c r="BY163" s="406"/>
      <c r="BZ163" s="406"/>
      <c r="CA163" s="406"/>
      <c r="CB163" s="406"/>
      <c r="CC163" s="473"/>
      <c r="CD163" s="407"/>
      <c r="CE163" s="473"/>
      <c r="CF163" s="407"/>
      <c r="CG163" s="473"/>
      <c r="CH163" s="407"/>
      <c r="CI163" s="407"/>
      <c r="CJ163" s="407"/>
      <c r="CK163" s="473"/>
      <c r="CL163" s="473"/>
      <c r="CM163" s="407"/>
      <c r="CN163" s="407"/>
      <c r="CO163" s="407"/>
      <c r="CP163" s="407"/>
      <c r="CQ163" s="407"/>
      <c r="CR163" s="473"/>
      <c r="CS163" s="473"/>
      <c r="CT163" s="407"/>
      <c r="CU163" s="407"/>
      <c r="CV163" s="407"/>
      <c r="CW163" s="407"/>
      <c r="CX163" s="407"/>
      <c r="CY163" s="407"/>
      <c r="CZ163" s="407"/>
      <c r="DA163" s="407"/>
      <c r="DB163" s="407"/>
      <c r="DC163" s="408"/>
    </row>
    <row r="164" spans="1:107">
      <c r="A164" s="397"/>
      <c r="B164" s="396"/>
      <c r="C164" s="399"/>
      <c r="D164" s="400"/>
      <c r="E164" s="400"/>
      <c r="F164" s="400"/>
      <c r="G164" s="400"/>
      <c r="H164" s="400"/>
      <c r="I164" s="400"/>
      <c r="J164" s="400"/>
      <c r="K164" s="400"/>
      <c r="L164" s="400"/>
      <c r="M164" s="400"/>
      <c r="N164" s="400"/>
      <c r="O164" s="400"/>
      <c r="P164" s="401"/>
      <c r="Q164" s="401"/>
      <c r="R164" s="401"/>
      <c r="S164" s="401"/>
      <c r="T164" s="402"/>
      <c r="U164" s="396"/>
      <c r="V164" s="396"/>
      <c r="W164" s="396"/>
      <c r="X164" s="399"/>
      <c r="Y164" s="399"/>
      <c r="Z164" s="399"/>
      <c r="AA164" s="399"/>
      <c r="AB164" s="399"/>
      <c r="AC164" s="399"/>
      <c r="AD164" s="399"/>
      <c r="AE164" s="399"/>
      <c r="AF164" s="399"/>
      <c r="AG164" s="399"/>
      <c r="AH164" s="399"/>
      <c r="AI164" s="399"/>
      <c r="AJ164" s="399"/>
      <c r="AK164" s="399"/>
      <c r="AL164" s="399"/>
      <c r="AM164" s="399"/>
      <c r="AN164" s="399"/>
      <c r="AO164" s="399"/>
      <c r="AP164" s="403"/>
      <c r="AQ164" s="404"/>
      <c r="AR164" s="396"/>
      <c r="AS164" s="399"/>
      <c r="AT164" s="399"/>
      <c r="AU164" s="403"/>
      <c r="AV164" s="404"/>
      <c r="AW164" s="396"/>
      <c r="AX164" s="399"/>
      <c r="AY164" s="404"/>
      <c r="AZ164" s="405"/>
      <c r="BA164" s="406"/>
      <c r="BB164" s="406"/>
      <c r="BC164" s="406"/>
      <c r="BD164" s="406"/>
      <c r="BE164" s="406"/>
      <c r="BF164" s="471"/>
      <c r="BG164" s="406"/>
      <c r="BH164" s="406"/>
      <c r="BI164" s="406"/>
      <c r="BJ164" s="406"/>
      <c r="BK164" s="406"/>
      <c r="BL164" s="406"/>
      <c r="BM164" s="406"/>
      <c r="BN164" s="406"/>
      <c r="BO164" s="406"/>
      <c r="BP164" s="471"/>
      <c r="BQ164" s="406"/>
      <c r="BR164" s="406"/>
      <c r="BS164" s="406"/>
      <c r="BT164" s="471"/>
      <c r="BU164" s="471"/>
      <c r="BV164" s="471"/>
      <c r="BW164" s="406"/>
      <c r="BX164" s="471"/>
      <c r="BY164" s="406"/>
      <c r="BZ164" s="406"/>
      <c r="CA164" s="406"/>
      <c r="CB164" s="406"/>
      <c r="CC164" s="473"/>
      <c r="CD164" s="407"/>
      <c r="CE164" s="473"/>
      <c r="CF164" s="407"/>
      <c r="CG164" s="473"/>
      <c r="CH164" s="407"/>
      <c r="CI164" s="407"/>
      <c r="CJ164" s="407"/>
      <c r="CK164" s="473"/>
      <c r="CL164" s="473"/>
      <c r="CM164" s="407"/>
      <c r="CN164" s="407"/>
      <c r="CO164" s="407"/>
      <c r="CP164" s="407"/>
      <c r="CQ164" s="407"/>
      <c r="CR164" s="473"/>
      <c r="CS164" s="473"/>
      <c r="CT164" s="407"/>
      <c r="CU164" s="407"/>
      <c r="CV164" s="407"/>
      <c r="CW164" s="407"/>
      <c r="CX164" s="407"/>
      <c r="CY164" s="407"/>
      <c r="CZ164" s="407"/>
      <c r="DA164" s="407"/>
      <c r="DB164" s="407"/>
      <c r="DC164" s="408"/>
    </row>
    <row r="165" spans="1:107" ht="18.75">
      <c r="A165" s="397"/>
      <c r="B165" s="377" t="s">
        <v>171</v>
      </c>
      <c r="C165" s="378">
        <f>SUM(C156:C164)</f>
        <v>68</v>
      </c>
      <c r="D165" s="378">
        <f t="shared" ref="D165:BQ165" si="51">SUM(D156:D164)</f>
        <v>0</v>
      </c>
      <c r="E165" s="378">
        <f t="shared" si="51"/>
        <v>0</v>
      </c>
      <c r="F165" s="378">
        <f t="shared" si="51"/>
        <v>0</v>
      </c>
      <c r="G165" s="378">
        <f t="shared" si="51"/>
        <v>0</v>
      </c>
      <c r="H165" s="378">
        <f t="shared" si="51"/>
        <v>1868</v>
      </c>
      <c r="I165" s="378">
        <f t="shared" si="51"/>
        <v>0</v>
      </c>
      <c r="J165" s="378">
        <f t="shared" si="51"/>
        <v>0</v>
      </c>
      <c r="K165" s="378">
        <f t="shared" si="51"/>
        <v>0</v>
      </c>
      <c r="L165" s="378">
        <f t="shared" si="51"/>
        <v>0</v>
      </c>
      <c r="M165" s="378">
        <f t="shared" si="51"/>
        <v>0</v>
      </c>
      <c r="N165" s="378">
        <f t="shared" si="51"/>
        <v>0</v>
      </c>
      <c r="O165" s="378">
        <f t="shared" si="51"/>
        <v>0</v>
      </c>
      <c r="P165" s="378">
        <f t="shared" si="51"/>
        <v>0</v>
      </c>
      <c r="Q165" s="378">
        <f t="shared" si="51"/>
        <v>0</v>
      </c>
      <c r="R165" s="378">
        <f t="shared" si="51"/>
        <v>0</v>
      </c>
      <c r="S165" s="378">
        <f t="shared" si="51"/>
        <v>0</v>
      </c>
      <c r="T165" s="378">
        <f t="shared" si="51"/>
        <v>0</v>
      </c>
      <c r="U165" s="378">
        <f t="shared" si="51"/>
        <v>101</v>
      </c>
      <c r="V165" s="378">
        <f t="shared" si="51"/>
        <v>0</v>
      </c>
      <c r="W165" s="378">
        <f t="shared" si="51"/>
        <v>0</v>
      </c>
      <c r="X165" s="378">
        <f t="shared" si="51"/>
        <v>0</v>
      </c>
      <c r="Y165" s="378">
        <f t="shared" si="51"/>
        <v>0</v>
      </c>
      <c r="Z165" s="378">
        <f t="shared" si="51"/>
        <v>101</v>
      </c>
      <c r="AA165" s="378">
        <f t="shared" si="51"/>
        <v>101</v>
      </c>
      <c r="AB165" s="378">
        <f t="shared" si="51"/>
        <v>0</v>
      </c>
      <c r="AC165" s="378">
        <f t="shared" si="51"/>
        <v>0</v>
      </c>
      <c r="AD165" s="378">
        <f t="shared" si="51"/>
        <v>0</v>
      </c>
      <c r="AE165" s="378">
        <f t="shared" si="51"/>
        <v>0</v>
      </c>
      <c r="AF165" s="378">
        <f t="shared" si="51"/>
        <v>0</v>
      </c>
      <c r="AG165" s="378">
        <f t="shared" si="51"/>
        <v>0</v>
      </c>
      <c r="AH165" s="378">
        <f t="shared" si="51"/>
        <v>0</v>
      </c>
      <c r="AI165" s="378">
        <f t="shared" si="51"/>
        <v>0</v>
      </c>
      <c r="AJ165" s="378">
        <f t="shared" si="51"/>
        <v>0</v>
      </c>
      <c r="AK165" s="378">
        <f t="shared" si="51"/>
        <v>0</v>
      </c>
      <c r="AL165" s="378">
        <f t="shared" si="51"/>
        <v>0</v>
      </c>
      <c r="AM165" s="378">
        <f t="shared" si="51"/>
        <v>0</v>
      </c>
      <c r="AN165" s="378">
        <f t="shared" si="51"/>
        <v>14</v>
      </c>
      <c r="AO165" s="378">
        <f t="shared" si="51"/>
        <v>0</v>
      </c>
      <c r="AP165" s="378">
        <f t="shared" si="51"/>
        <v>0</v>
      </c>
      <c r="AQ165" s="378">
        <f t="shared" si="51"/>
        <v>7</v>
      </c>
      <c r="AR165" s="378">
        <f t="shared" si="51"/>
        <v>0</v>
      </c>
      <c r="AS165" s="378">
        <f t="shared" si="51"/>
        <v>0</v>
      </c>
      <c r="AT165" s="378">
        <f t="shared" si="51"/>
        <v>0</v>
      </c>
      <c r="AU165" s="378">
        <f t="shared" si="51"/>
        <v>0</v>
      </c>
      <c r="AV165" s="378">
        <f t="shared" si="51"/>
        <v>0</v>
      </c>
      <c r="AW165" s="378">
        <f t="shared" si="51"/>
        <v>101</v>
      </c>
      <c r="AX165" s="378">
        <f t="shared" si="51"/>
        <v>101</v>
      </c>
      <c r="AY165" s="378">
        <f t="shared" si="51"/>
        <v>0</v>
      </c>
      <c r="AZ165" s="378">
        <f t="shared" si="51"/>
        <v>0</v>
      </c>
      <c r="BA165" s="378">
        <f t="shared" si="51"/>
        <v>0</v>
      </c>
      <c r="BB165" s="378">
        <f t="shared" si="51"/>
        <v>0</v>
      </c>
      <c r="BC165" s="378">
        <f t="shared" si="51"/>
        <v>0</v>
      </c>
      <c r="BD165" s="378">
        <f t="shared" si="51"/>
        <v>0</v>
      </c>
      <c r="BE165" s="378">
        <f t="shared" si="51"/>
        <v>0</v>
      </c>
      <c r="BF165" s="378">
        <f t="shared" si="51"/>
        <v>0</v>
      </c>
      <c r="BG165" s="378">
        <f t="shared" si="51"/>
        <v>0</v>
      </c>
      <c r="BH165" s="378">
        <f t="shared" si="51"/>
        <v>0</v>
      </c>
      <c r="BI165" s="378">
        <f t="shared" si="51"/>
        <v>1</v>
      </c>
      <c r="BJ165" s="378">
        <f t="shared" si="51"/>
        <v>0</v>
      </c>
      <c r="BK165" s="378">
        <f t="shared" si="51"/>
        <v>0</v>
      </c>
      <c r="BL165" s="378">
        <f t="shared" si="51"/>
        <v>0</v>
      </c>
      <c r="BM165" s="378">
        <f t="shared" si="51"/>
        <v>1</v>
      </c>
      <c r="BN165" s="378">
        <f t="shared" si="51"/>
        <v>0</v>
      </c>
      <c r="BO165" s="378">
        <f t="shared" si="51"/>
        <v>0</v>
      </c>
      <c r="BP165" s="378">
        <f t="shared" si="51"/>
        <v>0</v>
      </c>
      <c r="BQ165" s="378">
        <f t="shared" si="51"/>
        <v>0</v>
      </c>
      <c r="BR165" s="378">
        <f t="shared" ref="BR165:BW165" si="52">SUM(BR156:BR164)</f>
        <v>0</v>
      </c>
      <c r="BS165" s="378">
        <f t="shared" si="52"/>
        <v>0</v>
      </c>
      <c r="BT165" s="378">
        <f t="shared" si="52"/>
        <v>0</v>
      </c>
      <c r="BU165" s="378">
        <f t="shared" si="52"/>
        <v>0</v>
      </c>
      <c r="BV165" s="378">
        <f t="shared" si="52"/>
        <v>0</v>
      </c>
      <c r="BW165" s="378">
        <f t="shared" si="52"/>
        <v>0</v>
      </c>
      <c r="BX165" s="378"/>
      <c r="BY165" s="378">
        <f t="shared" ref="BY165:DC165" si="53">SUM(BY156:BY164)</f>
        <v>0</v>
      </c>
      <c r="BZ165" s="378">
        <f t="shared" si="53"/>
        <v>0</v>
      </c>
      <c r="CA165" s="378">
        <f t="shared" si="53"/>
        <v>0</v>
      </c>
      <c r="CB165" s="378">
        <f t="shared" si="53"/>
        <v>0</v>
      </c>
      <c r="CC165" s="378"/>
      <c r="CD165" s="378">
        <f t="shared" si="53"/>
        <v>0</v>
      </c>
      <c r="CE165" s="378"/>
      <c r="CF165" s="378">
        <f t="shared" si="53"/>
        <v>1</v>
      </c>
      <c r="CG165" s="378"/>
      <c r="CH165" s="378">
        <f t="shared" si="53"/>
        <v>0</v>
      </c>
      <c r="CI165" s="378">
        <f t="shared" si="53"/>
        <v>0</v>
      </c>
      <c r="CJ165" s="378">
        <f t="shared" si="53"/>
        <v>0</v>
      </c>
      <c r="CK165" s="378"/>
      <c r="CL165" s="378"/>
      <c r="CM165" s="378">
        <f t="shared" si="53"/>
        <v>0</v>
      </c>
      <c r="CN165" s="378">
        <f t="shared" si="53"/>
        <v>0</v>
      </c>
      <c r="CO165" s="378">
        <f t="shared" si="53"/>
        <v>0</v>
      </c>
      <c r="CP165" s="378">
        <f t="shared" si="53"/>
        <v>0</v>
      </c>
      <c r="CQ165" s="378">
        <f t="shared" si="53"/>
        <v>0</v>
      </c>
      <c r="CR165" s="378">
        <f t="shared" si="53"/>
        <v>0</v>
      </c>
      <c r="CS165" s="378">
        <f t="shared" si="53"/>
        <v>0</v>
      </c>
      <c r="CT165" s="378">
        <f t="shared" si="53"/>
        <v>0</v>
      </c>
      <c r="CU165" s="378">
        <f t="shared" si="53"/>
        <v>0</v>
      </c>
      <c r="CV165" s="378">
        <f t="shared" si="53"/>
        <v>0</v>
      </c>
      <c r="CW165" s="378">
        <f t="shared" si="53"/>
        <v>0</v>
      </c>
      <c r="CX165" s="378">
        <f t="shared" ref="CX165:CY165" si="54">SUM(CX156:CX164)</f>
        <v>0</v>
      </c>
      <c r="CY165" s="378">
        <f t="shared" si="54"/>
        <v>0</v>
      </c>
      <c r="CZ165" s="378">
        <f t="shared" ref="CZ165" si="55">SUM(CZ156:CZ164)</f>
        <v>0</v>
      </c>
      <c r="DA165" s="378">
        <f t="shared" si="53"/>
        <v>0</v>
      </c>
      <c r="DB165" s="378">
        <f t="shared" si="53"/>
        <v>57</v>
      </c>
      <c r="DC165" s="378">
        <f t="shared" si="53"/>
        <v>0</v>
      </c>
    </row>
    <row r="166" spans="1:107">
      <c r="A166" s="397"/>
      <c r="B166" s="396"/>
      <c r="C166" s="399"/>
      <c r="D166" s="400"/>
      <c r="E166" s="400"/>
      <c r="F166" s="400"/>
      <c r="G166" s="400"/>
      <c r="H166" s="400"/>
      <c r="I166" s="400"/>
      <c r="J166" s="400"/>
      <c r="K166" s="400"/>
      <c r="L166" s="400"/>
      <c r="M166" s="400"/>
      <c r="N166" s="400"/>
      <c r="O166" s="400"/>
      <c r="P166" s="401"/>
      <c r="Q166" s="401"/>
      <c r="R166" s="401"/>
      <c r="S166" s="401"/>
      <c r="T166" s="402"/>
      <c r="U166" s="396"/>
      <c r="V166" s="396"/>
      <c r="W166" s="396"/>
      <c r="X166" s="399"/>
      <c r="Y166" s="399"/>
      <c r="Z166" s="399"/>
      <c r="AA166" s="399"/>
      <c r="AB166" s="399"/>
      <c r="AC166" s="399"/>
      <c r="AD166" s="399"/>
      <c r="AE166" s="399"/>
      <c r="AF166" s="399"/>
      <c r="AG166" s="399"/>
      <c r="AH166" s="399"/>
      <c r="AI166" s="399"/>
      <c r="AJ166" s="399"/>
      <c r="AK166" s="399"/>
      <c r="AL166" s="399"/>
      <c r="AM166" s="399"/>
      <c r="AN166" s="399"/>
      <c r="AO166" s="399"/>
      <c r="AP166" s="403"/>
      <c r="AQ166" s="404"/>
      <c r="AR166" s="396"/>
      <c r="AS166" s="399"/>
      <c r="AT166" s="399"/>
      <c r="AU166" s="403"/>
      <c r="AV166" s="404"/>
      <c r="AW166" s="396"/>
      <c r="AX166" s="399"/>
      <c r="AY166" s="404"/>
      <c r="AZ166" s="405"/>
      <c r="BA166" s="406"/>
      <c r="BB166" s="406"/>
      <c r="BC166" s="406"/>
      <c r="BD166" s="406"/>
      <c r="BE166" s="406"/>
      <c r="BF166" s="471"/>
      <c r="BG166" s="406"/>
      <c r="BH166" s="406"/>
      <c r="BI166" s="406"/>
      <c r="BJ166" s="406"/>
      <c r="BK166" s="406"/>
      <c r="BL166" s="406"/>
      <c r="BM166" s="406"/>
      <c r="BN166" s="406"/>
      <c r="BO166" s="406"/>
      <c r="BP166" s="471"/>
      <c r="BQ166" s="406"/>
      <c r="BR166" s="406"/>
      <c r="BS166" s="406"/>
      <c r="BT166" s="471"/>
      <c r="BU166" s="471"/>
      <c r="BV166" s="471"/>
      <c r="BW166" s="406"/>
      <c r="BX166" s="471"/>
      <c r="BY166" s="406"/>
      <c r="BZ166" s="406"/>
      <c r="CA166" s="406"/>
      <c r="CB166" s="406"/>
      <c r="CC166" s="473"/>
      <c r="CD166" s="407"/>
      <c r="CE166" s="473"/>
      <c r="CF166" s="407"/>
      <c r="CG166" s="473"/>
      <c r="CH166" s="407"/>
      <c r="CI166" s="407"/>
      <c r="CJ166" s="407"/>
      <c r="CK166" s="473"/>
      <c r="CL166" s="473"/>
      <c r="CM166" s="407"/>
      <c r="CN166" s="407"/>
      <c r="CO166" s="407"/>
      <c r="CP166" s="407"/>
      <c r="CQ166" s="407"/>
      <c r="CR166" s="473"/>
      <c r="CS166" s="473"/>
      <c r="CT166" s="407"/>
      <c r="CU166" s="407"/>
      <c r="CV166" s="407"/>
      <c r="CW166" s="407"/>
      <c r="CX166" s="407"/>
      <c r="CY166" s="407"/>
      <c r="CZ166" s="407"/>
      <c r="DA166" s="407"/>
      <c r="DB166" s="407"/>
      <c r="DC166" s="408"/>
    </row>
    <row r="167" spans="1:107">
      <c r="A167" s="397"/>
      <c r="B167" s="396"/>
      <c r="C167" s="399"/>
      <c r="D167" s="400"/>
      <c r="E167" s="400"/>
      <c r="F167" s="400"/>
      <c r="G167" s="400"/>
      <c r="H167" s="400"/>
      <c r="I167" s="400"/>
      <c r="J167" s="400"/>
      <c r="K167" s="400"/>
      <c r="L167" s="400"/>
      <c r="M167" s="400"/>
      <c r="N167" s="400"/>
      <c r="O167" s="400"/>
      <c r="P167" s="401"/>
      <c r="Q167" s="401"/>
      <c r="R167" s="401"/>
      <c r="S167" s="401"/>
      <c r="T167" s="402"/>
      <c r="U167" s="396"/>
      <c r="V167" s="396"/>
      <c r="W167" s="396"/>
      <c r="X167" s="399"/>
      <c r="Y167" s="399"/>
      <c r="Z167" s="399"/>
      <c r="AA167" s="399"/>
      <c r="AB167" s="399"/>
      <c r="AC167" s="399"/>
      <c r="AD167" s="399"/>
      <c r="AE167" s="399"/>
      <c r="AF167" s="399"/>
      <c r="AG167" s="399"/>
      <c r="AH167" s="399"/>
      <c r="AI167" s="399"/>
      <c r="AJ167" s="399"/>
      <c r="AK167" s="399"/>
      <c r="AL167" s="399"/>
      <c r="AM167" s="399"/>
      <c r="AN167" s="399"/>
      <c r="AO167" s="399"/>
      <c r="AP167" s="403"/>
      <c r="AQ167" s="404"/>
      <c r="AR167" s="396"/>
      <c r="AS167" s="399"/>
      <c r="AT167" s="399"/>
      <c r="AU167" s="403"/>
      <c r="AV167" s="404"/>
      <c r="AW167" s="396"/>
      <c r="AX167" s="399"/>
      <c r="AY167" s="404"/>
      <c r="AZ167" s="405"/>
      <c r="BA167" s="406"/>
      <c r="BB167" s="406"/>
      <c r="BC167" s="406"/>
      <c r="BD167" s="406"/>
      <c r="BE167" s="406"/>
      <c r="BF167" s="471"/>
      <c r="BG167" s="406"/>
      <c r="BH167" s="406"/>
      <c r="BI167" s="406"/>
      <c r="BJ167" s="406"/>
      <c r="BK167" s="406"/>
      <c r="BL167" s="406"/>
      <c r="BM167" s="406"/>
      <c r="BN167" s="406"/>
      <c r="BO167" s="406"/>
      <c r="BP167" s="471"/>
      <c r="BQ167" s="406"/>
      <c r="BR167" s="406"/>
      <c r="BS167" s="406"/>
      <c r="BT167" s="471"/>
      <c r="BU167" s="471"/>
      <c r="BV167" s="471"/>
      <c r="BW167" s="406"/>
      <c r="BX167" s="471"/>
      <c r="BY167" s="406"/>
      <c r="BZ167" s="406"/>
      <c r="CA167" s="406"/>
      <c r="CB167" s="406"/>
      <c r="CC167" s="473"/>
      <c r="CD167" s="407"/>
      <c r="CE167" s="473"/>
      <c r="CF167" s="407"/>
      <c r="CG167" s="473"/>
      <c r="CH167" s="407"/>
      <c r="CI167" s="407"/>
      <c r="CJ167" s="407"/>
      <c r="CK167" s="473"/>
      <c r="CL167" s="473"/>
      <c r="CM167" s="407"/>
      <c r="CN167" s="407"/>
      <c r="CO167" s="407"/>
      <c r="CP167" s="407"/>
      <c r="CQ167" s="407"/>
      <c r="CR167" s="473"/>
      <c r="CS167" s="473"/>
      <c r="CT167" s="407"/>
      <c r="CU167" s="407"/>
      <c r="CV167" s="407"/>
      <c r="CW167" s="407"/>
      <c r="CX167" s="407"/>
      <c r="CY167" s="407"/>
      <c r="CZ167" s="407"/>
      <c r="DA167" s="407"/>
      <c r="DB167" s="407"/>
      <c r="DC167" s="408"/>
    </row>
    <row r="168" spans="1:107">
      <c r="A168" s="397"/>
      <c r="B168" s="396"/>
      <c r="C168" s="399"/>
      <c r="D168" s="400"/>
      <c r="E168" s="400"/>
      <c r="F168" s="400"/>
      <c r="G168" s="400"/>
      <c r="H168" s="400"/>
      <c r="I168" s="400"/>
      <c r="J168" s="400"/>
      <c r="K168" s="400"/>
      <c r="L168" s="400"/>
      <c r="M168" s="400"/>
      <c r="N168" s="400"/>
      <c r="O168" s="400"/>
      <c r="P168" s="401"/>
      <c r="Q168" s="401"/>
      <c r="R168" s="401"/>
      <c r="S168" s="401"/>
      <c r="T168" s="402"/>
      <c r="U168" s="396"/>
      <c r="V168" s="396"/>
      <c r="W168" s="396"/>
      <c r="X168" s="399"/>
      <c r="Y168" s="399"/>
      <c r="Z168" s="399"/>
      <c r="AA168" s="399"/>
      <c r="AB168" s="399"/>
      <c r="AC168" s="399"/>
      <c r="AD168" s="399"/>
      <c r="AE168" s="399"/>
      <c r="AF168" s="399"/>
      <c r="AG168" s="399"/>
      <c r="AH168" s="399"/>
      <c r="AI168" s="399"/>
      <c r="AJ168" s="399"/>
      <c r="AK168" s="399"/>
      <c r="AL168" s="399"/>
      <c r="AM168" s="399"/>
      <c r="AN168" s="399"/>
      <c r="AO168" s="399"/>
      <c r="AP168" s="403"/>
      <c r="AQ168" s="404"/>
      <c r="AR168" s="396"/>
      <c r="AS168" s="399"/>
      <c r="AT168" s="399"/>
      <c r="AU168" s="403"/>
      <c r="AV168" s="404"/>
      <c r="AW168" s="396"/>
      <c r="AX168" s="399"/>
      <c r="AY168" s="404"/>
      <c r="AZ168" s="405"/>
      <c r="BA168" s="406"/>
      <c r="BB168" s="406"/>
      <c r="BC168" s="406"/>
      <c r="BD168" s="406"/>
      <c r="BE168" s="406"/>
      <c r="BF168" s="471"/>
      <c r="BG168" s="406"/>
      <c r="BH168" s="406"/>
      <c r="BI168" s="406"/>
      <c r="BJ168" s="406"/>
      <c r="BK168" s="406"/>
      <c r="BL168" s="406"/>
      <c r="BM168" s="406"/>
      <c r="BN168" s="406"/>
      <c r="BO168" s="406"/>
      <c r="BP168" s="471"/>
      <c r="BQ168" s="406"/>
      <c r="BR168" s="406"/>
      <c r="BS168" s="406"/>
      <c r="BT168" s="471"/>
      <c r="BU168" s="471"/>
      <c r="BV168" s="471"/>
      <c r="BW168" s="406"/>
      <c r="BX168" s="471"/>
      <c r="BY168" s="406"/>
      <c r="BZ168" s="406"/>
      <c r="CA168" s="406"/>
      <c r="CB168" s="406"/>
      <c r="CC168" s="473"/>
      <c r="CD168" s="407"/>
      <c r="CE168" s="473"/>
      <c r="CF168" s="407"/>
      <c r="CG168" s="473"/>
      <c r="CH168" s="407"/>
      <c r="CI168" s="407"/>
      <c r="CJ168" s="407"/>
      <c r="CK168" s="473"/>
      <c r="CL168" s="473"/>
      <c r="CM168" s="407"/>
      <c r="CN168" s="407"/>
      <c r="CO168" s="407"/>
      <c r="CP168" s="407"/>
      <c r="CQ168" s="407"/>
      <c r="CR168" s="473"/>
      <c r="CS168" s="473"/>
      <c r="CT168" s="407"/>
      <c r="CU168" s="407"/>
      <c r="CV168" s="407"/>
      <c r="CW168" s="407"/>
      <c r="CX168" s="407"/>
      <c r="CY168" s="407"/>
      <c r="CZ168" s="407"/>
      <c r="DA168" s="407"/>
      <c r="DB168" s="407"/>
      <c r="DC168" s="408"/>
    </row>
    <row r="169" spans="1:107">
      <c r="A169" s="397"/>
      <c r="B169" s="396"/>
      <c r="C169" s="399"/>
      <c r="D169" s="400"/>
      <c r="E169" s="400"/>
      <c r="F169" s="400"/>
      <c r="G169" s="400"/>
      <c r="H169" s="400"/>
      <c r="I169" s="400"/>
      <c r="J169" s="400"/>
      <c r="K169" s="400"/>
      <c r="L169" s="400"/>
      <c r="M169" s="400"/>
      <c r="N169" s="400"/>
      <c r="O169" s="400"/>
      <c r="P169" s="401"/>
      <c r="Q169" s="401"/>
      <c r="R169" s="401"/>
      <c r="S169" s="401"/>
      <c r="T169" s="402"/>
      <c r="U169" s="396"/>
      <c r="V169" s="396"/>
      <c r="W169" s="396"/>
      <c r="X169" s="399"/>
      <c r="Y169" s="399"/>
      <c r="Z169" s="399"/>
      <c r="AA169" s="399"/>
      <c r="AB169" s="399"/>
      <c r="AC169" s="399"/>
      <c r="AD169" s="399"/>
      <c r="AE169" s="399"/>
      <c r="AF169" s="399"/>
      <c r="AG169" s="399"/>
      <c r="AH169" s="399"/>
      <c r="AI169" s="399"/>
      <c r="AJ169" s="399"/>
      <c r="AK169" s="399"/>
      <c r="AL169" s="399"/>
      <c r="AM169" s="399"/>
      <c r="AN169" s="399"/>
      <c r="AO169" s="399"/>
      <c r="AP169" s="403"/>
      <c r="AQ169" s="404"/>
      <c r="AR169" s="396"/>
      <c r="AS169" s="399"/>
      <c r="AT169" s="399"/>
      <c r="AU169" s="403"/>
      <c r="AV169" s="404"/>
      <c r="AW169" s="396"/>
      <c r="AX169" s="399"/>
      <c r="AY169" s="404"/>
      <c r="AZ169" s="405"/>
      <c r="BA169" s="406"/>
      <c r="BB169" s="406"/>
      <c r="BC169" s="406"/>
      <c r="BD169" s="406"/>
      <c r="BE169" s="406"/>
      <c r="BF169" s="471"/>
      <c r="BG169" s="406"/>
      <c r="BH169" s="406"/>
      <c r="BI169" s="406"/>
      <c r="BJ169" s="406"/>
      <c r="BK169" s="406"/>
      <c r="BL169" s="406"/>
      <c r="BM169" s="406"/>
      <c r="BN169" s="406"/>
      <c r="BO169" s="406"/>
      <c r="BP169" s="471"/>
      <c r="BQ169" s="406"/>
      <c r="BR169" s="406"/>
      <c r="BS169" s="406"/>
      <c r="BT169" s="471"/>
      <c r="BU169" s="471"/>
      <c r="BV169" s="471"/>
      <c r="BW169" s="406"/>
      <c r="BX169" s="471"/>
      <c r="BY169" s="406"/>
      <c r="BZ169" s="406"/>
      <c r="CA169" s="406"/>
      <c r="CB169" s="406"/>
      <c r="CC169" s="473"/>
      <c r="CD169" s="407"/>
      <c r="CE169" s="473"/>
      <c r="CF169" s="407"/>
      <c r="CG169" s="473"/>
      <c r="CH169" s="407"/>
      <c r="CI169" s="407"/>
      <c r="CJ169" s="407"/>
      <c r="CK169" s="473"/>
      <c r="CL169" s="473"/>
      <c r="CM169" s="407"/>
      <c r="CN169" s="407"/>
      <c r="CO169" s="407"/>
      <c r="CP169" s="407"/>
      <c r="CQ169" s="407"/>
      <c r="CR169" s="473"/>
      <c r="CS169" s="473"/>
      <c r="CT169" s="407"/>
      <c r="CU169" s="407"/>
      <c r="CV169" s="407"/>
      <c r="CW169" s="407"/>
      <c r="CX169" s="407"/>
      <c r="CY169" s="407"/>
      <c r="CZ169" s="407"/>
      <c r="DA169" s="407"/>
      <c r="DB169" s="407"/>
      <c r="DC169" s="408"/>
    </row>
    <row r="170" spans="1:107">
      <c r="A170" s="397"/>
      <c r="B170" s="396"/>
      <c r="C170" s="399"/>
      <c r="D170" s="400"/>
      <c r="E170" s="400"/>
      <c r="F170" s="400"/>
      <c r="G170" s="400"/>
      <c r="H170" s="400"/>
      <c r="I170" s="400"/>
      <c r="J170" s="400"/>
      <c r="K170" s="400"/>
      <c r="L170" s="400"/>
      <c r="M170" s="400"/>
      <c r="N170" s="400"/>
      <c r="O170" s="400"/>
      <c r="P170" s="401"/>
      <c r="Q170" s="401"/>
      <c r="R170" s="401"/>
      <c r="S170" s="401"/>
      <c r="T170" s="402"/>
      <c r="U170" s="396"/>
      <c r="V170" s="396"/>
      <c r="W170" s="396"/>
      <c r="X170" s="399"/>
      <c r="Y170" s="399"/>
      <c r="Z170" s="399"/>
      <c r="AA170" s="399"/>
      <c r="AB170" s="399"/>
      <c r="AC170" s="399"/>
      <c r="AD170" s="399"/>
      <c r="AE170" s="399"/>
      <c r="AF170" s="399"/>
      <c r="AG170" s="399"/>
      <c r="AH170" s="399"/>
      <c r="AI170" s="399"/>
      <c r="AJ170" s="399"/>
      <c r="AK170" s="399"/>
      <c r="AL170" s="399"/>
      <c r="AM170" s="399"/>
      <c r="AN170" s="399"/>
      <c r="AO170" s="399"/>
      <c r="AP170" s="403"/>
      <c r="AQ170" s="404"/>
      <c r="AR170" s="396"/>
      <c r="AS170" s="399"/>
      <c r="AT170" s="399"/>
      <c r="AU170" s="403"/>
      <c r="AV170" s="404"/>
      <c r="AW170" s="396"/>
      <c r="AX170" s="399"/>
      <c r="AY170" s="404"/>
      <c r="AZ170" s="405"/>
      <c r="BA170" s="406"/>
      <c r="BB170" s="406"/>
      <c r="BC170" s="406"/>
      <c r="BD170" s="406"/>
      <c r="BE170" s="406"/>
      <c r="BF170" s="471"/>
      <c r="BG170" s="406"/>
      <c r="BH170" s="406"/>
      <c r="BI170" s="406"/>
      <c r="BJ170" s="406"/>
      <c r="BK170" s="406"/>
      <c r="BL170" s="406"/>
      <c r="BM170" s="406"/>
      <c r="BN170" s="406"/>
      <c r="BO170" s="406"/>
      <c r="BP170" s="471"/>
      <c r="BQ170" s="406"/>
      <c r="BR170" s="406"/>
      <c r="BS170" s="406"/>
      <c r="BT170" s="471"/>
      <c r="BU170" s="471"/>
      <c r="BV170" s="471"/>
      <c r="BW170" s="406"/>
      <c r="BX170" s="471"/>
      <c r="BY170" s="406"/>
      <c r="BZ170" s="406"/>
      <c r="CA170" s="406"/>
      <c r="CB170" s="406"/>
      <c r="CC170" s="473"/>
      <c r="CD170" s="407"/>
      <c r="CE170" s="473"/>
      <c r="CF170" s="407"/>
      <c r="CG170" s="473"/>
      <c r="CH170" s="407"/>
      <c r="CI170" s="407"/>
      <c r="CJ170" s="407"/>
      <c r="CK170" s="473"/>
      <c r="CL170" s="473"/>
      <c r="CM170" s="407"/>
      <c r="CN170" s="407"/>
      <c r="CO170" s="407"/>
      <c r="CP170" s="407"/>
      <c r="CQ170" s="407"/>
      <c r="CR170" s="473"/>
      <c r="CS170" s="473"/>
      <c r="CT170" s="407"/>
      <c r="CU170" s="407"/>
      <c r="CV170" s="407"/>
      <c r="CW170" s="407"/>
      <c r="CX170" s="407"/>
      <c r="CY170" s="407"/>
      <c r="CZ170" s="407"/>
      <c r="DA170" s="407"/>
      <c r="DB170" s="407"/>
      <c r="DC170" s="408"/>
    </row>
    <row r="171" spans="1:107">
      <c r="A171" s="397"/>
      <c r="B171" s="396"/>
      <c r="C171" s="399"/>
      <c r="D171" s="400"/>
      <c r="E171" s="400"/>
      <c r="F171" s="400"/>
      <c r="G171" s="400"/>
      <c r="H171" s="400"/>
      <c r="I171" s="400"/>
      <c r="J171" s="400"/>
      <c r="K171" s="400"/>
      <c r="L171" s="400"/>
      <c r="M171" s="400"/>
      <c r="N171" s="400"/>
      <c r="O171" s="400"/>
      <c r="P171" s="401"/>
      <c r="Q171" s="401"/>
      <c r="R171" s="401"/>
      <c r="S171" s="401"/>
      <c r="T171" s="402"/>
      <c r="U171" s="396"/>
      <c r="V171" s="396"/>
      <c r="W171" s="396"/>
      <c r="X171" s="399"/>
      <c r="Y171" s="399"/>
      <c r="Z171" s="399"/>
      <c r="AA171" s="399"/>
      <c r="AB171" s="399"/>
      <c r="AC171" s="399"/>
      <c r="AD171" s="399"/>
      <c r="AE171" s="399"/>
      <c r="AF171" s="399"/>
      <c r="AG171" s="399"/>
      <c r="AH171" s="399"/>
      <c r="AI171" s="399"/>
      <c r="AJ171" s="399"/>
      <c r="AK171" s="399"/>
      <c r="AL171" s="399"/>
      <c r="AM171" s="399"/>
      <c r="AN171" s="399"/>
      <c r="AO171" s="399"/>
      <c r="AP171" s="403"/>
      <c r="AQ171" s="404"/>
      <c r="AR171" s="396"/>
      <c r="AS171" s="399"/>
      <c r="AT171" s="399"/>
      <c r="AU171" s="403"/>
      <c r="AV171" s="404"/>
      <c r="AW171" s="396"/>
      <c r="AX171" s="399"/>
      <c r="AY171" s="404"/>
      <c r="AZ171" s="405"/>
      <c r="BA171" s="406"/>
      <c r="BB171" s="406"/>
      <c r="BC171" s="406"/>
      <c r="BD171" s="406"/>
      <c r="BE171" s="406"/>
      <c r="BF171" s="471"/>
      <c r="BG171" s="406"/>
      <c r="BH171" s="406"/>
      <c r="BI171" s="406"/>
      <c r="BJ171" s="406"/>
      <c r="BK171" s="406"/>
      <c r="BL171" s="406"/>
      <c r="BM171" s="406"/>
      <c r="BN171" s="406"/>
      <c r="BO171" s="406"/>
      <c r="BP171" s="471"/>
      <c r="BQ171" s="406"/>
      <c r="BR171" s="406"/>
      <c r="BS171" s="406"/>
      <c r="BT171" s="471"/>
      <c r="BU171" s="471"/>
      <c r="BV171" s="471"/>
      <c r="BW171" s="406"/>
      <c r="BX171" s="471"/>
      <c r="BY171" s="406"/>
      <c r="BZ171" s="406"/>
      <c r="CA171" s="406"/>
      <c r="CB171" s="406"/>
      <c r="CC171" s="473"/>
      <c r="CD171" s="407"/>
      <c r="CE171" s="473"/>
      <c r="CF171" s="407"/>
      <c r="CG171" s="473"/>
      <c r="CH171" s="407"/>
      <c r="CI171" s="407"/>
      <c r="CJ171" s="407"/>
      <c r="CK171" s="473"/>
      <c r="CL171" s="473"/>
      <c r="CM171" s="407"/>
      <c r="CN171" s="407"/>
      <c r="CO171" s="407"/>
      <c r="CP171" s="407"/>
      <c r="CQ171" s="407"/>
      <c r="CR171" s="473"/>
      <c r="CS171" s="473"/>
      <c r="CT171" s="407"/>
      <c r="CU171" s="407"/>
      <c r="CV171" s="407"/>
      <c r="CW171" s="407"/>
      <c r="CX171" s="407"/>
      <c r="CY171" s="407"/>
      <c r="CZ171" s="407"/>
      <c r="DA171" s="407"/>
      <c r="DB171" s="407"/>
      <c r="DC171" s="408"/>
    </row>
    <row r="172" spans="1:107">
      <c r="A172" s="308"/>
      <c r="B172" s="410"/>
      <c r="C172" s="411"/>
      <c r="D172" s="412"/>
      <c r="E172" s="412"/>
      <c r="F172" s="412"/>
      <c r="G172" s="412"/>
      <c r="H172" s="412"/>
      <c r="I172" s="412"/>
      <c r="J172" s="412"/>
      <c r="K172" s="412"/>
      <c r="L172" s="412"/>
      <c r="M172" s="412"/>
      <c r="N172" s="412"/>
      <c r="O172" s="412"/>
      <c r="P172" s="413"/>
      <c r="Q172" s="413"/>
      <c r="R172" s="413"/>
      <c r="S172" s="413"/>
      <c r="T172" s="414"/>
      <c r="U172" s="410"/>
      <c r="V172" s="410"/>
      <c r="W172" s="410"/>
      <c r="X172" s="411"/>
      <c r="Y172" s="411"/>
      <c r="Z172" s="411"/>
      <c r="AA172" s="411"/>
      <c r="AB172" s="411"/>
      <c r="AC172" s="411"/>
      <c r="AD172" s="411"/>
      <c r="AE172" s="411"/>
      <c r="AF172" s="411"/>
      <c r="AG172" s="411"/>
      <c r="AH172" s="411"/>
      <c r="AI172" s="411"/>
      <c r="AJ172" s="411"/>
      <c r="AK172" s="411"/>
      <c r="AL172" s="411"/>
      <c r="AM172" s="411"/>
      <c r="AN172" s="411"/>
      <c r="AO172" s="411"/>
      <c r="AP172" s="415"/>
      <c r="AQ172" s="416"/>
      <c r="AR172" s="410"/>
      <c r="AS172" s="411"/>
      <c r="AT172" s="411"/>
      <c r="AU172" s="415"/>
      <c r="AV172" s="416"/>
      <c r="AW172" s="410"/>
      <c r="AX172" s="411"/>
      <c r="AY172" s="416"/>
      <c r="AZ172" s="417"/>
      <c r="BA172" s="418"/>
      <c r="BB172" s="418"/>
      <c r="BC172" s="418"/>
      <c r="BD172" s="418"/>
      <c r="BE172" s="418"/>
      <c r="BF172" s="418"/>
      <c r="BG172" s="418"/>
      <c r="BH172" s="418"/>
      <c r="BI172" s="418"/>
      <c r="BJ172" s="418"/>
      <c r="BK172" s="418"/>
      <c r="BL172" s="418"/>
      <c r="BM172" s="418"/>
      <c r="BN172" s="418"/>
      <c r="BO172" s="418"/>
      <c r="BP172" s="418"/>
      <c r="BQ172" s="418"/>
      <c r="BR172" s="418"/>
      <c r="BS172" s="418"/>
      <c r="BT172" s="418"/>
      <c r="BU172" s="418"/>
      <c r="BV172" s="418"/>
      <c r="BW172" s="418"/>
      <c r="BX172" s="418"/>
      <c r="BY172" s="418"/>
      <c r="BZ172" s="418"/>
      <c r="CA172" s="418"/>
      <c r="CB172" s="418"/>
      <c r="CC172" s="419"/>
      <c r="CD172" s="419"/>
      <c r="CE172" s="419"/>
      <c r="CF172" s="419"/>
      <c r="CG172" s="419"/>
      <c r="CH172" s="419"/>
      <c r="CI172" s="419"/>
      <c r="CJ172" s="419"/>
      <c r="CK172" s="419"/>
      <c r="CL172" s="419"/>
      <c r="CM172" s="419"/>
      <c r="CN172" s="419"/>
      <c r="CO172" s="419"/>
      <c r="CP172" s="419"/>
      <c r="CQ172" s="419"/>
      <c r="CR172" s="419"/>
      <c r="CS172" s="419"/>
      <c r="CT172" s="419"/>
      <c r="CU172" s="419"/>
      <c r="CV172" s="419"/>
      <c r="CW172" s="419"/>
      <c r="CX172" s="419"/>
      <c r="CY172" s="419"/>
      <c r="CZ172" s="419"/>
      <c r="DA172" s="419"/>
      <c r="DB172" s="419"/>
      <c r="DC172" s="420"/>
    </row>
    <row r="173" spans="1:107" ht="19.5" thickBot="1">
      <c r="A173" s="421"/>
      <c r="B173" s="422" t="s">
        <v>170</v>
      </c>
      <c r="C173" s="423">
        <f>SUM(C65+C98+C153+C165)</f>
        <v>754</v>
      </c>
      <c r="D173" s="423">
        <f t="shared" ref="D173:BQ173" si="56">SUM(D65+D98+D153+D165)</f>
        <v>5233</v>
      </c>
      <c r="E173" s="423">
        <f t="shared" si="56"/>
        <v>486</v>
      </c>
      <c r="F173" s="423">
        <f t="shared" si="56"/>
        <v>67</v>
      </c>
      <c r="G173" s="423">
        <f t="shared" si="56"/>
        <v>0</v>
      </c>
      <c r="H173" s="423">
        <f t="shared" si="56"/>
        <v>2982</v>
      </c>
      <c r="I173" s="423">
        <f t="shared" si="56"/>
        <v>0</v>
      </c>
      <c r="J173" s="423">
        <f t="shared" si="56"/>
        <v>0</v>
      </c>
      <c r="K173" s="423">
        <f t="shared" si="56"/>
        <v>0</v>
      </c>
      <c r="L173" s="423">
        <f t="shared" si="56"/>
        <v>0</v>
      </c>
      <c r="M173" s="423">
        <f t="shared" si="56"/>
        <v>0</v>
      </c>
      <c r="N173" s="423">
        <f t="shared" si="56"/>
        <v>0</v>
      </c>
      <c r="O173" s="423">
        <f t="shared" si="56"/>
        <v>0</v>
      </c>
      <c r="P173" s="423">
        <f t="shared" si="56"/>
        <v>0</v>
      </c>
      <c r="Q173" s="423">
        <f t="shared" si="56"/>
        <v>0</v>
      </c>
      <c r="R173" s="423">
        <f t="shared" si="56"/>
        <v>0</v>
      </c>
      <c r="S173" s="423">
        <f t="shared" si="56"/>
        <v>0</v>
      </c>
      <c r="T173" s="423">
        <f t="shared" si="56"/>
        <v>486</v>
      </c>
      <c r="U173" s="423">
        <f t="shared" si="56"/>
        <v>6188</v>
      </c>
      <c r="V173" s="423">
        <f t="shared" si="56"/>
        <v>127</v>
      </c>
      <c r="W173" s="423">
        <f t="shared" si="56"/>
        <v>0</v>
      </c>
      <c r="X173" s="423">
        <f t="shared" si="56"/>
        <v>0</v>
      </c>
      <c r="Y173" s="423">
        <f t="shared" si="56"/>
        <v>0</v>
      </c>
      <c r="Z173" s="423">
        <f t="shared" si="56"/>
        <v>1978</v>
      </c>
      <c r="AA173" s="423">
        <f t="shared" si="56"/>
        <v>8220</v>
      </c>
      <c r="AB173" s="423">
        <f t="shared" si="56"/>
        <v>0</v>
      </c>
      <c r="AC173" s="423">
        <f t="shared" si="56"/>
        <v>0</v>
      </c>
      <c r="AD173" s="423">
        <f t="shared" si="56"/>
        <v>1812</v>
      </c>
      <c r="AE173" s="423">
        <f t="shared" si="56"/>
        <v>0</v>
      </c>
      <c r="AF173" s="423">
        <f t="shared" si="56"/>
        <v>0</v>
      </c>
      <c r="AG173" s="423">
        <f t="shared" si="56"/>
        <v>0</v>
      </c>
      <c r="AH173" s="423">
        <f t="shared" si="56"/>
        <v>0</v>
      </c>
      <c r="AI173" s="423">
        <f t="shared" si="56"/>
        <v>0</v>
      </c>
      <c r="AJ173" s="423">
        <f t="shared" si="56"/>
        <v>0</v>
      </c>
      <c r="AK173" s="423">
        <f t="shared" si="56"/>
        <v>0</v>
      </c>
      <c r="AL173" s="423">
        <f t="shared" si="56"/>
        <v>0</v>
      </c>
      <c r="AM173" s="423">
        <f t="shared" si="56"/>
        <v>0</v>
      </c>
      <c r="AN173" s="423">
        <f t="shared" si="56"/>
        <v>1217.2</v>
      </c>
      <c r="AO173" s="423">
        <f t="shared" si="56"/>
        <v>10.6</v>
      </c>
      <c r="AP173" s="423">
        <f t="shared" si="56"/>
        <v>0</v>
      </c>
      <c r="AQ173" s="423">
        <f t="shared" si="56"/>
        <v>926.5</v>
      </c>
      <c r="AR173" s="423">
        <f t="shared" si="56"/>
        <v>5171</v>
      </c>
      <c r="AS173" s="423">
        <f t="shared" si="56"/>
        <v>486</v>
      </c>
      <c r="AT173" s="423">
        <f t="shared" si="56"/>
        <v>93</v>
      </c>
      <c r="AU173" s="423">
        <f t="shared" si="56"/>
        <v>0</v>
      </c>
      <c r="AV173" s="423">
        <f t="shared" si="56"/>
        <v>0</v>
      </c>
      <c r="AW173" s="423">
        <f t="shared" si="56"/>
        <v>5020</v>
      </c>
      <c r="AX173" s="423">
        <f t="shared" si="56"/>
        <v>1880</v>
      </c>
      <c r="AY173" s="423">
        <f t="shared" si="56"/>
        <v>5657</v>
      </c>
      <c r="AZ173" s="423">
        <f t="shared" si="56"/>
        <v>2</v>
      </c>
      <c r="BA173" s="423">
        <f t="shared" si="56"/>
        <v>7</v>
      </c>
      <c r="BB173" s="423">
        <f t="shared" si="56"/>
        <v>3</v>
      </c>
      <c r="BC173" s="423">
        <f t="shared" si="56"/>
        <v>2</v>
      </c>
      <c r="BD173" s="423">
        <f t="shared" si="56"/>
        <v>0</v>
      </c>
      <c r="BE173" s="423">
        <f t="shared" si="56"/>
        <v>1</v>
      </c>
      <c r="BF173" s="423">
        <f t="shared" si="56"/>
        <v>0</v>
      </c>
      <c r="BG173" s="423">
        <f t="shared" si="56"/>
        <v>7</v>
      </c>
      <c r="BH173" s="423">
        <f t="shared" si="56"/>
        <v>1</v>
      </c>
      <c r="BI173" s="423">
        <f t="shared" si="56"/>
        <v>4</v>
      </c>
      <c r="BJ173" s="423">
        <f t="shared" si="56"/>
        <v>3</v>
      </c>
      <c r="BK173" s="423">
        <f t="shared" si="56"/>
        <v>12</v>
      </c>
      <c r="BL173" s="423">
        <f t="shared" si="56"/>
        <v>3</v>
      </c>
      <c r="BM173" s="423">
        <f t="shared" si="56"/>
        <v>9</v>
      </c>
      <c r="BN173" s="423">
        <f t="shared" si="56"/>
        <v>44</v>
      </c>
      <c r="BO173" s="423">
        <f t="shared" si="56"/>
        <v>1</v>
      </c>
      <c r="BP173" s="423">
        <f t="shared" si="56"/>
        <v>0</v>
      </c>
      <c r="BQ173" s="423">
        <f t="shared" si="56"/>
        <v>0</v>
      </c>
      <c r="BR173" s="423">
        <f t="shared" ref="BR173:BV173" si="57">SUM(BR65+BR98+BR153+BR165)</f>
        <v>0</v>
      </c>
      <c r="BS173" s="423">
        <f t="shared" si="57"/>
        <v>0</v>
      </c>
      <c r="BT173" s="423">
        <f t="shared" si="57"/>
        <v>0</v>
      </c>
      <c r="BU173" s="423">
        <f t="shared" si="57"/>
        <v>0</v>
      </c>
      <c r="BV173" s="423">
        <f t="shared" si="57"/>
        <v>0</v>
      </c>
      <c r="BW173" s="423">
        <f t="shared" ref="BW173:DC173" si="58">SUM(BW65+BW98+BW153+BW165)</f>
        <v>49</v>
      </c>
      <c r="BX173" s="423"/>
      <c r="BY173" s="423">
        <f t="shared" si="58"/>
        <v>5</v>
      </c>
      <c r="BZ173" s="423">
        <f t="shared" si="58"/>
        <v>1</v>
      </c>
      <c r="CA173" s="423">
        <f t="shared" si="58"/>
        <v>3</v>
      </c>
      <c r="CB173" s="423">
        <f t="shared" si="58"/>
        <v>3</v>
      </c>
      <c r="CC173" s="423"/>
      <c r="CD173" s="423">
        <f t="shared" si="58"/>
        <v>18</v>
      </c>
      <c r="CE173" s="423"/>
      <c r="CF173" s="423">
        <f t="shared" si="58"/>
        <v>7</v>
      </c>
      <c r="CG173" s="423"/>
      <c r="CH173" s="423">
        <f t="shared" si="58"/>
        <v>4</v>
      </c>
      <c r="CI173" s="423">
        <f t="shared" si="58"/>
        <v>0</v>
      </c>
      <c r="CJ173" s="423">
        <f t="shared" si="58"/>
        <v>0</v>
      </c>
      <c r="CK173" s="423"/>
      <c r="CL173" s="423"/>
      <c r="CM173" s="423">
        <f t="shared" si="58"/>
        <v>0</v>
      </c>
      <c r="CN173" s="423">
        <f t="shared" si="58"/>
        <v>0</v>
      </c>
      <c r="CO173" s="423">
        <f t="shared" si="58"/>
        <v>0</v>
      </c>
      <c r="CP173" s="423">
        <f t="shared" si="58"/>
        <v>0</v>
      </c>
      <c r="CQ173" s="423">
        <f t="shared" si="58"/>
        <v>0</v>
      </c>
      <c r="CR173" s="423">
        <f t="shared" si="58"/>
        <v>0</v>
      </c>
      <c r="CS173" s="423">
        <f t="shared" si="58"/>
        <v>0</v>
      </c>
      <c r="CT173" s="423">
        <f t="shared" si="58"/>
        <v>0</v>
      </c>
      <c r="CU173" s="423">
        <f t="shared" si="58"/>
        <v>0</v>
      </c>
      <c r="CV173" s="423">
        <f t="shared" si="58"/>
        <v>0</v>
      </c>
      <c r="CW173" s="423">
        <f t="shared" si="58"/>
        <v>0</v>
      </c>
      <c r="CX173" s="423">
        <f t="shared" si="58"/>
        <v>0</v>
      </c>
      <c r="CY173" s="423">
        <f t="shared" si="58"/>
        <v>0</v>
      </c>
      <c r="CZ173" s="423">
        <f t="shared" si="58"/>
        <v>0</v>
      </c>
      <c r="DA173" s="423">
        <f t="shared" si="58"/>
        <v>0</v>
      </c>
      <c r="DB173" s="423">
        <f t="shared" si="58"/>
        <v>171</v>
      </c>
      <c r="DC173" s="423">
        <f t="shared" si="58"/>
        <v>0</v>
      </c>
    </row>
    <row r="174" spans="1:107" ht="17.25" thickTop="1">
      <c r="AQ174" s="424"/>
      <c r="AR174" s="424"/>
    </row>
    <row r="175" spans="1:107">
      <c r="AQ175" s="424"/>
      <c r="AR175" s="424"/>
    </row>
    <row r="176" spans="1:107">
      <c r="AQ176" s="424"/>
      <c r="AR176" s="424"/>
    </row>
    <row r="177" spans="1:107">
      <c r="AQ177" s="424"/>
      <c r="AR177" s="424"/>
    </row>
    <row r="178" spans="1:107">
      <c r="B178" s="309" t="s">
        <v>652</v>
      </c>
      <c r="AQ178" s="424"/>
      <c r="AR178" s="424"/>
    </row>
    <row r="179" spans="1:107">
      <c r="AQ179" s="424"/>
      <c r="AR179" s="424"/>
    </row>
    <row r="180" spans="1:107">
      <c r="AQ180" s="424"/>
      <c r="AR180" s="424"/>
    </row>
    <row r="181" spans="1:107">
      <c r="AQ181" s="424"/>
      <c r="AR181" s="424"/>
      <c r="BB181" s="319" t="s">
        <v>204</v>
      </c>
      <c r="BC181" s="319" t="s">
        <v>203</v>
      </c>
      <c r="BD181" s="319" t="s">
        <v>202</v>
      </c>
      <c r="BE181" s="319" t="s">
        <v>201</v>
      </c>
      <c r="BF181" s="319"/>
      <c r="BG181" s="319" t="s">
        <v>432</v>
      </c>
      <c r="BH181" s="319" t="s">
        <v>433</v>
      </c>
      <c r="BI181" s="319" t="s">
        <v>434</v>
      </c>
      <c r="BJ181" s="319" t="s">
        <v>435</v>
      </c>
      <c r="BK181" s="319" t="s">
        <v>436</v>
      </c>
      <c r="BL181" s="319" t="s">
        <v>437</v>
      </c>
      <c r="BM181" s="319" t="s">
        <v>438</v>
      </c>
      <c r="BN181" s="319" t="s">
        <v>439</v>
      </c>
      <c r="BO181" s="319" t="s">
        <v>440</v>
      </c>
      <c r="BP181" s="319"/>
      <c r="BQ181" s="319" t="s">
        <v>441</v>
      </c>
      <c r="BR181" s="319" t="s">
        <v>459</v>
      </c>
      <c r="BS181" s="319" t="s">
        <v>460</v>
      </c>
      <c r="BT181" s="319" t="s">
        <v>461</v>
      </c>
      <c r="BU181" s="320" t="s">
        <v>462</v>
      </c>
      <c r="BV181" s="320"/>
      <c r="BW181" s="320" t="s">
        <v>708</v>
      </c>
      <c r="BX181" s="320"/>
      <c r="BY181" s="320" t="s">
        <v>709</v>
      </c>
      <c r="BZ181" s="307" t="s">
        <v>200</v>
      </c>
      <c r="CA181" s="307" t="s">
        <v>199</v>
      </c>
      <c r="CB181" s="307" t="s">
        <v>198</v>
      </c>
      <c r="CC181" s="307"/>
      <c r="CD181" s="307" t="s">
        <v>197</v>
      </c>
      <c r="CE181" s="307"/>
      <c r="CF181" s="307" t="s">
        <v>196</v>
      </c>
      <c r="CG181" s="307"/>
      <c r="CH181" s="307" t="s">
        <v>195</v>
      </c>
      <c r="CI181" s="307" t="s">
        <v>194</v>
      </c>
      <c r="CJ181" s="307" t="s">
        <v>193</v>
      </c>
      <c r="CK181" s="307"/>
      <c r="CL181" s="307"/>
      <c r="CM181" s="307" t="s">
        <v>192</v>
      </c>
      <c r="CN181" s="307" t="s">
        <v>191</v>
      </c>
      <c r="CO181" s="307" t="s">
        <v>190</v>
      </c>
      <c r="CP181" s="307" t="s">
        <v>189</v>
      </c>
      <c r="CQ181" s="307" t="s">
        <v>188</v>
      </c>
      <c r="CR181" s="307" t="s">
        <v>187</v>
      </c>
      <c r="CS181" s="313" t="s">
        <v>186</v>
      </c>
      <c r="CT181" s="313" t="s">
        <v>710</v>
      </c>
      <c r="CU181" s="313" t="s">
        <v>711</v>
      </c>
    </row>
    <row r="182" spans="1:107">
      <c r="AQ182" s="424"/>
      <c r="AR182" s="424"/>
      <c r="BB182" s="315">
        <f>4.15*4.3</f>
        <v>17.845000000000002</v>
      </c>
      <c r="BC182" s="305">
        <f>2.1*2.4</f>
        <v>5.04</v>
      </c>
      <c r="BD182" s="315">
        <f>4.15*4.3</f>
        <v>17.845000000000002</v>
      </c>
      <c r="BE182" s="305">
        <f>2.1*2.4</f>
        <v>5.04</v>
      </c>
      <c r="BF182" s="305"/>
      <c r="BG182" s="305">
        <f>7*2.4</f>
        <v>16.8</v>
      </c>
      <c r="BH182" s="305">
        <f>2*2.4</f>
        <v>4.8</v>
      </c>
      <c r="BI182" s="305">
        <f>2*2.4</f>
        <v>4.8</v>
      </c>
      <c r="BJ182" s="305">
        <f>2.1*2.4</f>
        <v>5.04</v>
      </c>
      <c r="BK182" s="305">
        <f>1*2.4</f>
        <v>2.4</v>
      </c>
      <c r="BL182" s="305">
        <f>1*2.4</f>
        <v>2.4</v>
      </c>
      <c r="BM182" s="305">
        <f>1*2.4</f>
        <v>2.4</v>
      </c>
      <c r="BN182" s="305">
        <f>1.3*2.4</f>
        <v>3.12</v>
      </c>
      <c r="BO182" s="305">
        <f>1*2.05</f>
        <v>2.0499999999999998</v>
      </c>
      <c r="BP182" s="305"/>
      <c r="BQ182" s="305">
        <f>1*2.4</f>
        <v>2.4</v>
      </c>
      <c r="BR182" s="305">
        <f>(2*2.4)+(0.4*5.1)</f>
        <v>6.84</v>
      </c>
      <c r="BS182" s="305">
        <f>1*2.4</f>
        <v>2.4</v>
      </c>
      <c r="BT182" s="305">
        <f>6.7*2.7</f>
        <v>18.090000000000003</v>
      </c>
      <c r="BU182" s="305">
        <f>5.5*2.5</f>
        <v>13.75</v>
      </c>
      <c r="BV182" s="305"/>
      <c r="BW182" s="305"/>
      <c r="BX182" s="305"/>
      <c r="BY182" s="305"/>
      <c r="BZ182" s="315">
        <f>1.65*5.1</f>
        <v>8.4149999999999991</v>
      </c>
      <c r="CA182" s="315">
        <f>5.1*1.65</f>
        <v>8.4149999999999991</v>
      </c>
      <c r="CB182" s="305">
        <f>1.8*1.65</f>
        <v>2.9699999999999998</v>
      </c>
      <c r="CC182" s="305"/>
      <c r="CD182" s="315">
        <f>1.65*5.1</f>
        <v>8.4149999999999991</v>
      </c>
      <c r="CE182" s="315"/>
      <c r="CF182" s="315">
        <f>1.75*1.65</f>
        <v>2.8874999999999997</v>
      </c>
      <c r="CG182" s="315"/>
      <c r="CH182" s="305">
        <f>0.6*2.3</f>
        <v>1.38</v>
      </c>
      <c r="CI182" s="315">
        <f>1.7*1.65</f>
        <v>2.8049999999999997</v>
      </c>
      <c r="CJ182" s="315">
        <f>1.9*1.2</f>
        <v>2.2799999999999998</v>
      </c>
      <c r="CK182" s="315"/>
      <c r="CL182" s="315"/>
      <c r="CM182" s="305">
        <f>7.5*2.4</f>
        <v>18</v>
      </c>
      <c r="CN182" s="305">
        <f>1.8*1.65</f>
        <v>2.9699999999999998</v>
      </c>
      <c r="CO182" s="315">
        <f>5.1*1.65</f>
        <v>8.4149999999999991</v>
      </c>
      <c r="CP182" s="315">
        <f>1.75*1.65</f>
        <v>2.8874999999999997</v>
      </c>
      <c r="CQ182" s="315">
        <f>6.35*1.65</f>
        <v>10.477499999999999</v>
      </c>
      <c r="CR182" s="315">
        <f>11.95*1.65</f>
        <v>19.717499999999998</v>
      </c>
      <c r="CS182" s="315">
        <f>5.6*1.3</f>
        <v>7.2799999999999994</v>
      </c>
      <c r="CT182" s="315"/>
      <c r="CU182" s="315"/>
    </row>
    <row r="183" spans="1:107">
      <c r="AQ183" s="424"/>
      <c r="AR183" s="424"/>
      <c r="BB183" s="317">
        <v>4.1500000000000004</v>
      </c>
      <c r="BC183" s="317">
        <v>2.1</v>
      </c>
      <c r="BD183" s="317">
        <v>4.1500000000000004</v>
      </c>
      <c r="BE183" s="317">
        <v>2.1</v>
      </c>
      <c r="BF183" s="317"/>
      <c r="BG183" s="317">
        <v>7</v>
      </c>
      <c r="BH183" s="317">
        <f>2</f>
        <v>2</v>
      </c>
      <c r="BI183" s="317">
        <f>2</f>
        <v>2</v>
      </c>
      <c r="BJ183" s="317">
        <v>2.1</v>
      </c>
      <c r="BK183" s="317">
        <v>1.1000000000000001</v>
      </c>
      <c r="BL183" s="317">
        <v>1.1000000000000001</v>
      </c>
      <c r="BM183" s="317">
        <v>1.1000000000000001</v>
      </c>
      <c r="BN183" s="317">
        <v>1.3</v>
      </c>
      <c r="BO183" s="317">
        <v>1.1000000000000001</v>
      </c>
      <c r="BP183" s="317"/>
      <c r="BQ183" s="317">
        <v>1.1000000000000001</v>
      </c>
      <c r="BR183" s="317">
        <v>5.0999999999999996</v>
      </c>
      <c r="BS183" s="317">
        <v>1.1000000000000001</v>
      </c>
      <c r="BT183" s="317">
        <v>6.7</v>
      </c>
      <c r="BU183" s="317" t="s">
        <v>571</v>
      </c>
      <c r="BV183" s="317"/>
      <c r="BW183" s="317"/>
      <c r="BX183" s="317"/>
      <c r="BY183" s="317"/>
      <c r="BZ183" s="331">
        <f>5.1*2</f>
        <v>10.199999999999999</v>
      </c>
      <c r="CA183" s="331">
        <f>5.1*2</f>
        <v>10.199999999999999</v>
      </c>
      <c r="CB183" s="317">
        <f>1.8*2</f>
        <v>3.6</v>
      </c>
      <c r="CC183" s="317"/>
      <c r="CD183" s="331">
        <f>5.1*2</f>
        <v>10.199999999999999</v>
      </c>
      <c r="CE183" s="331"/>
      <c r="CF183" s="331">
        <f>1.75*2</f>
        <v>3.5</v>
      </c>
      <c r="CG183" s="331"/>
      <c r="CH183" s="317">
        <f>2.3*2</f>
        <v>4.5999999999999996</v>
      </c>
      <c r="CI183" s="331">
        <f>1.7*2</f>
        <v>3.4</v>
      </c>
      <c r="CJ183" s="331">
        <f>1.9*2</f>
        <v>3.8</v>
      </c>
      <c r="CK183" s="331"/>
      <c r="CL183" s="331"/>
      <c r="CM183" s="317">
        <f>7.5*2</f>
        <v>15</v>
      </c>
      <c r="CN183" s="317">
        <f>1.8*2</f>
        <v>3.6</v>
      </c>
      <c r="CO183" s="331">
        <f>5.1*2</f>
        <v>10.199999999999999</v>
      </c>
      <c r="CP183" s="331">
        <f>1.75*2</f>
        <v>3.5</v>
      </c>
      <c r="CQ183" s="331">
        <f>6.35*2</f>
        <v>12.7</v>
      </c>
      <c r="CR183" s="317">
        <f>11.95*2</f>
        <v>23.9</v>
      </c>
      <c r="CS183" s="317"/>
      <c r="CT183" s="317"/>
      <c r="CU183" s="317"/>
    </row>
    <row r="184" spans="1:107">
      <c r="AQ184" s="424"/>
      <c r="AR184" s="424"/>
      <c r="BB184" s="317">
        <f>4.3*2</f>
        <v>8.6</v>
      </c>
      <c r="BC184" s="317">
        <f>2.4*2</f>
        <v>4.8</v>
      </c>
      <c r="BD184" s="317">
        <f>4.3*2</f>
        <v>8.6</v>
      </c>
      <c r="BE184" s="317">
        <f t="shared" ref="BE184:BN184" si="59">2.4*2</f>
        <v>4.8</v>
      </c>
      <c r="BF184" s="317"/>
      <c r="BG184" s="317">
        <f t="shared" si="59"/>
        <v>4.8</v>
      </c>
      <c r="BH184" s="317">
        <f t="shared" si="59"/>
        <v>4.8</v>
      </c>
      <c r="BI184" s="317">
        <f t="shared" si="59"/>
        <v>4.8</v>
      </c>
      <c r="BJ184" s="317">
        <f t="shared" si="59"/>
        <v>4.8</v>
      </c>
      <c r="BK184" s="317">
        <f t="shared" si="59"/>
        <v>4.8</v>
      </c>
      <c r="BL184" s="317">
        <f t="shared" si="59"/>
        <v>4.8</v>
      </c>
      <c r="BM184" s="317">
        <f t="shared" si="59"/>
        <v>4.8</v>
      </c>
      <c r="BN184" s="317">
        <f t="shared" si="59"/>
        <v>4.8</v>
      </c>
      <c r="BO184" s="317">
        <f>2.05*2</f>
        <v>4.0999999999999996</v>
      </c>
      <c r="BP184" s="317"/>
      <c r="BQ184" s="317">
        <f>2.4*2</f>
        <v>4.8</v>
      </c>
      <c r="BR184" s="317">
        <f>2.8*2</f>
        <v>5.6</v>
      </c>
      <c r="BS184" s="317">
        <f>2.4*2</f>
        <v>4.8</v>
      </c>
      <c r="BT184" s="317">
        <f>2.7*2</f>
        <v>5.4</v>
      </c>
      <c r="BU184" s="317">
        <f>2.5*2</f>
        <v>5</v>
      </c>
      <c r="BV184" s="317"/>
      <c r="BW184" s="317"/>
      <c r="BX184" s="317"/>
      <c r="BY184" s="317"/>
      <c r="BZ184" s="331">
        <f>1.65*2</f>
        <v>3.3</v>
      </c>
      <c r="CA184" s="331">
        <f>1.65*2</f>
        <v>3.3</v>
      </c>
      <c r="CB184" s="331">
        <f>1.65*2</f>
        <v>3.3</v>
      </c>
      <c r="CC184" s="331"/>
      <c r="CD184" s="331">
        <f>1.65*2</f>
        <v>3.3</v>
      </c>
      <c r="CE184" s="331"/>
      <c r="CF184" s="331">
        <f>1.65*2</f>
        <v>3.3</v>
      </c>
      <c r="CG184" s="331"/>
      <c r="CH184" s="317">
        <f>0.6*2</f>
        <v>1.2</v>
      </c>
      <c r="CI184" s="331">
        <f>1.65*2</f>
        <v>3.3</v>
      </c>
      <c r="CJ184" s="331">
        <f>1.2*2</f>
        <v>2.4</v>
      </c>
      <c r="CK184" s="331"/>
      <c r="CL184" s="331"/>
      <c r="CM184" s="317">
        <f>2.4*2</f>
        <v>4.8</v>
      </c>
      <c r="CN184" s="331">
        <f>1.65*2</f>
        <v>3.3</v>
      </c>
      <c r="CO184" s="331">
        <f>1.65*2</f>
        <v>3.3</v>
      </c>
      <c r="CP184" s="331">
        <f>1.65*2</f>
        <v>3.3</v>
      </c>
      <c r="CQ184" s="331">
        <f>1.65*2</f>
        <v>3.3</v>
      </c>
      <c r="CR184" s="331">
        <f>1.65*2</f>
        <v>3.3</v>
      </c>
      <c r="CS184" s="317" t="s">
        <v>588</v>
      </c>
      <c r="CT184" s="317"/>
      <c r="CU184" s="317"/>
    </row>
    <row r="185" spans="1:107">
      <c r="AQ185" s="424"/>
      <c r="AR185" s="424"/>
      <c r="BB185" s="321" t="s">
        <v>175</v>
      </c>
      <c r="BC185" s="321" t="s">
        <v>175</v>
      </c>
      <c r="BD185" s="321" t="s">
        <v>175</v>
      </c>
      <c r="BE185" s="321" t="s">
        <v>175</v>
      </c>
      <c r="BF185" s="321"/>
      <c r="BG185" s="321" t="s">
        <v>175</v>
      </c>
      <c r="BH185" s="321" t="s">
        <v>175</v>
      </c>
      <c r="BI185" s="321" t="s">
        <v>175</v>
      </c>
      <c r="BJ185" s="321" t="s">
        <v>175</v>
      </c>
      <c r="BK185" s="321" t="s">
        <v>175</v>
      </c>
      <c r="BL185" s="321" t="s">
        <v>175</v>
      </c>
      <c r="BM185" s="321" t="s">
        <v>175</v>
      </c>
      <c r="BN185" s="321" t="s">
        <v>175</v>
      </c>
      <c r="BO185" s="321" t="s">
        <v>175</v>
      </c>
      <c r="BP185" s="321"/>
      <c r="BQ185" s="321" t="s">
        <v>175</v>
      </c>
      <c r="BR185" s="321" t="s">
        <v>175</v>
      </c>
      <c r="BS185" s="321" t="s">
        <v>175</v>
      </c>
      <c r="BT185" s="321" t="s">
        <v>175</v>
      </c>
      <c r="BU185" s="321" t="s">
        <v>175</v>
      </c>
      <c r="BV185" s="321"/>
      <c r="BW185" s="321"/>
      <c r="BX185" s="321"/>
      <c r="BY185" s="321"/>
      <c r="BZ185" s="321" t="s">
        <v>175</v>
      </c>
      <c r="CA185" s="321" t="s">
        <v>175</v>
      </c>
      <c r="CB185" s="321" t="s">
        <v>175</v>
      </c>
      <c r="CC185" s="321"/>
      <c r="CD185" s="321" t="s">
        <v>175</v>
      </c>
      <c r="CE185" s="321"/>
      <c r="CF185" s="321" t="s">
        <v>175</v>
      </c>
      <c r="CG185" s="321"/>
      <c r="CH185" s="321" t="s">
        <v>175</v>
      </c>
      <c r="CI185" s="321" t="s">
        <v>175</v>
      </c>
      <c r="CJ185" s="321" t="s">
        <v>175</v>
      </c>
      <c r="CK185" s="321"/>
      <c r="CL185" s="321"/>
      <c r="CM185" s="321" t="s">
        <v>175</v>
      </c>
      <c r="CN185" s="321" t="s">
        <v>175</v>
      </c>
      <c r="CO185" s="321" t="s">
        <v>175</v>
      </c>
      <c r="CP185" s="321" t="s">
        <v>175</v>
      </c>
      <c r="CQ185" s="321" t="s">
        <v>175</v>
      </c>
      <c r="CR185" s="321" t="s">
        <v>175</v>
      </c>
      <c r="CS185" s="321" t="s">
        <v>175</v>
      </c>
      <c r="CT185" s="321"/>
      <c r="CU185" s="321"/>
    </row>
    <row r="186" spans="1:107">
      <c r="AQ186" s="424"/>
      <c r="AR186" s="424"/>
    </row>
    <row r="187" spans="1:107" ht="20.25">
      <c r="A187" s="335"/>
      <c r="B187" s="336"/>
      <c r="C187" s="337"/>
      <c r="D187" s="338"/>
      <c r="E187" s="338"/>
      <c r="F187" s="338"/>
      <c r="G187" s="338"/>
      <c r="H187" s="338"/>
      <c r="I187" s="338"/>
      <c r="J187" s="338"/>
      <c r="K187" s="338"/>
      <c r="L187" s="338"/>
      <c r="M187" s="338"/>
      <c r="N187" s="338"/>
      <c r="O187" s="338"/>
      <c r="P187" s="339"/>
      <c r="Q187" s="339"/>
      <c r="R187" s="339"/>
      <c r="S187" s="339"/>
      <c r="T187" s="340"/>
      <c r="U187" s="341"/>
      <c r="V187" s="341"/>
      <c r="W187" s="341"/>
      <c r="X187" s="337"/>
      <c r="Y187" s="337"/>
      <c r="Z187" s="337"/>
      <c r="AA187" s="337"/>
      <c r="AB187" s="337"/>
      <c r="AC187" s="337"/>
      <c r="AD187" s="337"/>
      <c r="AE187" s="337"/>
      <c r="AF187" s="337"/>
      <c r="AG187" s="337"/>
      <c r="AH187" s="337"/>
      <c r="AI187" s="337"/>
      <c r="AJ187" s="337"/>
      <c r="AK187" s="337"/>
      <c r="AL187" s="337"/>
      <c r="AM187" s="337"/>
      <c r="AN187" s="337"/>
      <c r="AO187" s="337"/>
      <c r="AP187" s="342"/>
      <c r="AQ187" s="343"/>
      <c r="AR187" s="341"/>
      <c r="AS187" s="337"/>
      <c r="AT187" s="337"/>
      <c r="AU187" s="337"/>
      <c r="AV187" s="343"/>
      <c r="AW187" s="341"/>
      <c r="AX187" s="337"/>
      <c r="AY187" s="343"/>
      <c r="AZ187" s="442"/>
      <c r="BA187" s="338"/>
      <c r="BB187" s="338"/>
      <c r="BC187" s="338"/>
      <c r="BD187" s="338"/>
      <c r="BE187" s="338"/>
      <c r="BF187" s="338"/>
      <c r="BG187" s="338"/>
      <c r="BH187" s="338"/>
      <c r="BI187" s="338"/>
      <c r="BJ187" s="338"/>
      <c r="BK187" s="338"/>
      <c r="BL187" s="338"/>
      <c r="BM187" s="338"/>
      <c r="BN187" s="338"/>
      <c r="BO187" s="338"/>
      <c r="BP187" s="338"/>
      <c r="BQ187" s="338"/>
      <c r="BR187" s="338"/>
      <c r="BS187" s="338"/>
      <c r="BT187" s="338"/>
      <c r="BU187" s="338"/>
      <c r="BV187" s="338"/>
      <c r="BW187" s="338"/>
      <c r="BX187" s="338"/>
      <c r="BY187" s="338"/>
      <c r="BZ187" s="338"/>
      <c r="CA187" s="338"/>
      <c r="CB187" s="338"/>
      <c r="CC187" s="338"/>
      <c r="CD187" s="338"/>
      <c r="CE187" s="338"/>
      <c r="CF187" s="338"/>
      <c r="CG187" s="338"/>
      <c r="CH187" s="338"/>
      <c r="CI187" s="338"/>
      <c r="CJ187" s="338"/>
      <c r="CK187" s="338"/>
      <c r="CL187" s="338"/>
      <c r="CM187" s="338"/>
      <c r="CN187" s="338"/>
      <c r="CO187" s="338"/>
      <c r="CP187" s="338"/>
      <c r="CQ187" s="338"/>
      <c r="CR187" s="338"/>
      <c r="CS187" s="338"/>
      <c r="CT187" s="338"/>
      <c r="CU187" s="338"/>
      <c r="CV187" s="338"/>
      <c r="CW187" s="338"/>
      <c r="CX187" s="338"/>
      <c r="CY187" s="338"/>
      <c r="CZ187" s="338"/>
      <c r="DA187" s="338"/>
      <c r="DB187" s="338"/>
      <c r="DC187" s="340"/>
    </row>
    <row r="188" spans="1:107">
      <c r="A188" s="347"/>
      <c r="B188" s="348" t="s">
        <v>174</v>
      </c>
      <c r="C188" s="349"/>
      <c r="D188" s="350"/>
      <c r="E188" s="350"/>
      <c r="F188" s="350"/>
      <c r="G188" s="350"/>
      <c r="H188" s="350"/>
      <c r="I188" s="350"/>
      <c r="J188" s="350"/>
      <c r="K188" s="350"/>
      <c r="L188" s="350"/>
      <c r="M188" s="350"/>
      <c r="N188" s="350"/>
      <c r="O188" s="350"/>
      <c r="P188" s="351"/>
      <c r="Q188" s="351"/>
      <c r="R188" s="351"/>
      <c r="S188" s="351"/>
      <c r="T188" s="352"/>
      <c r="U188" s="353"/>
      <c r="V188" s="353"/>
      <c r="W188" s="353"/>
      <c r="X188" s="349"/>
      <c r="Y188" s="349"/>
      <c r="Z188" s="349"/>
      <c r="AA188" s="349"/>
      <c r="AB188" s="349"/>
      <c r="AC188" s="349"/>
      <c r="AD188" s="349"/>
      <c r="AE188" s="349"/>
      <c r="AF188" s="349"/>
      <c r="AG188" s="349"/>
      <c r="AH188" s="349"/>
      <c r="AI188" s="349"/>
      <c r="AJ188" s="349"/>
      <c r="AK188" s="349"/>
      <c r="AL188" s="349"/>
      <c r="AM188" s="349"/>
      <c r="AN188" s="349"/>
      <c r="AO188" s="349"/>
      <c r="AP188" s="354"/>
      <c r="AQ188" s="352"/>
      <c r="AR188" s="355"/>
      <c r="AS188" s="356"/>
      <c r="AT188" s="356"/>
      <c r="AU188" s="356"/>
      <c r="AV188" s="357"/>
      <c r="AW188" s="355"/>
      <c r="AX188" s="356"/>
      <c r="AY188" s="357"/>
      <c r="AZ188" s="358"/>
      <c r="BA188" s="350"/>
      <c r="BB188" s="350"/>
      <c r="BC188" s="350"/>
      <c r="BD188" s="350"/>
      <c r="BE188" s="350"/>
      <c r="BF188" s="350"/>
      <c r="BG188" s="350"/>
      <c r="BH188" s="350"/>
      <c r="BI188" s="350"/>
      <c r="BJ188" s="350"/>
      <c r="BK188" s="350"/>
      <c r="BL188" s="350"/>
      <c r="BM188" s="350"/>
      <c r="BN188" s="350"/>
      <c r="BO188" s="350"/>
      <c r="BP188" s="350"/>
      <c r="BQ188" s="350"/>
      <c r="BR188" s="350"/>
      <c r="BS188" s="350"/>
      <c r="BT188" s="350"/>
      <c r="BU188" s="350"/>
      <c r="BV188" s="350"/>
      <c r="BW188" s="350"/>
      <c r="BX188" s="350"/>
      <c r="BY188" s="350"/>
      <c r="BZ188" s="350"/>
      <c r="CA188" s="350"/>
      <c r="CB188" s="350"/>
      <c r="CC188" s="350"/>
      <c r="CD188" s="350"/>
      <c r="CE188" s="350"/>
      <c r="CF188" s="350"/>
      <c r="CG188" s="350"/>
      <c r="CH188" s="350"/>
      <c r="CI188" s="350"/>
      <c r="CJ188" s="350"/>
      <c r="CK188" s="350"/>
      <c r="CL188" s="350"/>
      <c r="CM188" s="350"/>
      <c r="CN188" s="350"/>
      <c r="CO188" s="350"/>
      <c r="CP188" s="350"/>
      <c r="CQ188" s="350"/>
      <c r="CR188" s="350"/>
      <c r="CS188" s="350"/>
      <c r="CT188" s="350"/>
      <c r="CU188" s="350"/>
      <c r="CV188" s="350"/>
      <c r="CW188" s="350"/>
      <c r="CX188" s="350"/>
      <c r="CY188" s="350"/>
      <c r="CZ188" s="350"/>
      <c r="DA188" s="350"/>
      <c r="DB188" s="350"/>
      <c r="DC188" s="359"/>
    </row>
    <row r="189" spans="1:107">
      <c r="A189" s="347"/>
      <c r="B189" s="358"/>
      <c r="C189" s="349"/>
      <c r="D189" s="350"/>
      <c r="E189" s="350"/>
      <c r="F189" s="350"/>
      <c r="G189" s="350"/>
      <c r="H189" s="350"/>
      <c r="I189" s="350"/>
      <c r="J189" s="350"/>
      <c r="K189" s="350"/>
      <c r="L189" s="350"/>
      <c r="M189" s="350"/>
      <c r="N189" s="350"/>
      <c r="O189" s="350"/>
      <c r="P189" s="351"/>
      <c r="Q189" s="351"/>
      <c r="R189" s="351"/>
      <c r="S189" s="351"/>
      <c r="T189" s="352"/>
      <c r="U189" s="353"/>
      <c r="V189" s="353"/>
      <c r="W189" s="353"/>
      <c r="X189" s="349"/>
      <c r="Y189" s="349"/>
      <c r="Z189" s="349"/>
      <c r="AA189" s="349"/>
      <c r="AB189" s="349"/>
      <c r="AC189" s="349"/>
      <c r="AD189" s="349"/>
      <c r="AE189" s="349"/>
      <c r="AF189" s="349"/>
      <c r="AG189" s="349"/>
      <c r="AH189" s="349"/>
      <c r="AI189" s="349"/>
      <c r="AJ189" s="349"/>
      <c r="AK189" s="349"/>
      <c r="AL189" s="349"/>
      <c r="AM189" s="349"/>
      <c r="AN189" s="349"/>
      <c r="AO189" s="349"/>
      <c r="AP189" s="354"/>
      <c r="AQ189" s="352"/>
      <c r="AR189" s="355"/>
      <c r="AS189" s="356"/>
      <c r="AT189" s="356"/>
      <c r="AU189" s="356"/>
      <c r="AV189" s="357"/>
      <c r="AW189" s="355"/>
      <c r="AX189" s="356"/>
      <c r="AY189" s="357"/>
      <c r="AZ189" s="358"/>
      <c r="BA189" s="350"/>
      <c r="BB189" s="350"/>
      <c r="BC189" s="350"/>
      <c r="BD189" s="350"/>
      <c r="BE189" s="350"/>
      <c r="BF189" s="350"/>
      <c r="BG189" s="350"/>
      <c r="BH189" s="350"/>
      <c r="BI189" s="350"/>
      <c r="BJ189" s="350"/>
      <c r="BK189" s="350"/>
      <c r="BL189" s="350"/>
      <c r="BM189" s="350"/>
      <c r="BN189" s="350"/>
      <c r="BO189" s="350"/>
      <c r="BP189" s="350"/>
      <c r="BQ189" s="350"/>
      <c r="BR189" s="350"/>
      <c r="BS189" s="350"/>
      <c r="BT189" s="350"/>
      <c r="BU189" s="350"/>
      <c r="BV189" s="350"/>
      <c r="BW189" s="350"/>
      <c r="BX189" s="350"/>
      <c r="BY189" s="350"/>
      <c r="BZ189" s="350"/>
      <c r="CA189" s="350"/>
      <c r="CB189" s="350"/>
      <c r="CC189" s="350"/>
      <c r="CD189" s="350"/>
      <c r="CE189" s="350"/>
      <c r="CF189" s="350"/>
      <c r="CG189" s="350"/>
      <c r="CH189" s="350"/>
      <c r="CI189" s="350"/>
      <c r="CJ189" s="350"/>
      <c r="CK189" s="350"/>
      <c r="CL189" s="350"/>
      <c r="CM189" s="350"/>
      <c r="CN189" s="350"/>
      <c r="CO189" s="350"/>
      <c r="CP189" s="350"/>
      <c r="CQ189" s="350"/>
      <c r="CR189" s="350"/>
      <c r="CS189" s="350"/>
      <c r="CT189" s="350"/>
      <c r="CU189" s="350"/>
      <c r="CV189" s="350"/>
      <c r="CW189" s="350"/>
      <c r="CX189" s="350"/>
      <c r="CY189" s="350"/>
      <c r="CZ189" s="350"/>
      <c r="DA189" s="350"/>
      <c r="DB189" s="350"/>
      <c r="DC189" s="359"/>
    </row>
    <row r="190" spans="1:107">
      <c r="A190" s="365"/>
      <c r="B190" s="360" t="s">
        <v>463</v>
      </c>
      <c r="C190" s="367">
        <f>ROUNDUP(622.73+88.37,0)</f>
        <v>712</v>
      </c>
      <c r="D190" s="349"/>
      <c r="E190" s="349"/>
      <c r="F190" s="349"/>
      <c r="G190" s="349"/>
      <c r="H190" s="349"/>
      <c r="I190" s="349"/>
      <c r="J190" s="349"/>
      <c r="K190" s="349"/>
      <c r="L190" s="349"/>
      <c r="M190" s="349"/>
      <c r="N190" s="349"/>
      <c r="O190" s="349"/>
      <c r="P190" s="354"/>
      <c r="Q190" s="354"/>
      <c r="R190" s="354"/>
      <c r="S190" s="354"/>
      <c r="T190" s="352"/>
      <c r="U190" s="353"/>
      <c r="V190" s="353"/>
      <c r="W190" s="353"/>
      <c r="X190" s="349"/>
      <c r="Y190" s="349"/>
      <c r="Z190" s="349"/>
      <c r="AA190" s="349"/>
      <c r="AB190" s="349"/>
      <c r="AC190" s="349"/>
      <c r="AD190" s="349"/>
      <c r="AE190" s="349"/>
      <c r="AF190" s="349"/>
      <c r="AG190" s="349"/>
      <c r="AH190" s="349"/>
      <c r="AI190" s="349"/>
      <c r="AJ190" s="349"/>
      <c r="AK190" s="349"/>
      <c r="AL190" s="349"/>
      <c r="AM190" s="349"/>
      <c r="AN190" s="349"/>
      <c r="AO190" s="349"/>
      <c r="AP190" s="354"/>
      <c r="AQ190" s="352"/>
      <c r="AR190" s="353"/>
      <c r="AS190" s="349"/>
      <c r="AT190" s="349"/>
      <c r="AU190" s="349"/>
      <c r="AV190" s="352"/>
      <c r="AW190" s="353"/>
      <c r="AX190" s="349"/>
      <c r="AY190" s="352"/>
      <c r="AZ190" s="353"/>
      <c r="BA190" s="349"/>
      <c r="BB190" s="349"/>
      <c r="BC190" s="349"/>
      <c r="BD190" s="349"/>
      <c r="BE190" s="349"/>
      <c r="BF190" s="349"/>
      <c r="BG190" s="349"/>
      <c r="BH190" s="349"/>
      <c r="BI190" s="349"/>
      <c r="BJ190" s="349"/>
      <c r="BK190" s="349"/>
      <c r="BL190" s="349"/>
      <c r="BM190" s="349"/>
      <c r="BN190" s="349"/>
      <c r="BO190" s="349"/>
      <c r="BP190" s="349"/>
      <c r="BQ190" s="349"/>
      <c r="BR190" s="349"/>
      <c r="BS190" s="349"/>
      <c r="BT190" s="349"/>
      <c r="BU190" s="349"/>
      <c r="BV190" s="349"/>
      <c r="BW190" s="349"/>
      <c r="BX190" s="349"/>
      <c r="BY190" s="349"/>
      <c r="BZ190" s="349"/>
      <c r="CA190" s="349"/>
      <c r="CB190" s="349"/>
      <c r="CC190" s="349"/>
      <c r="CD190" s="349"/>
      <c r="CE190" s="349"/>
      <c r="CF190" s="349"/>
      <c r="CG190" s="349"/>
      <c r="CH190" s="349"/>
      <c r="CI190" s="349"/>
      <c r="CJ190" s="349"/>
      <c r="CK190" s="349"/>
      <c r="CL190" s="349"/>
      <c r="CM190" s="349"/>
      <c r="CN190" s="349"/>
      <c r="CO190" s="349"/>
      <c r="CP190" s="349"/>
      <c r="CQ190" s="349"/>
      <c r="CR190" s="349"/>
      <c r="CS190" s="349"/>
      <c r="CT190" s="349"/>
      <c r="CU190" s="349"/>
      <c r="CV190" s="349"/>
      <c r="CW190" s="349"/>
      <c r="CX190" s="349"/>
      <c r="CY190" s="349"/>
      <c r="CZ190" s="349"/>
      <c r="DA190" s="349"/>
      <c r="DB190" s="349"/>
      <c r="DC190" s="352"/>
    </row>
    <row r="191" spans="1:107">
      <c r="A191" s="365"/>
      <c r="B191" s="366" t="s">
        <v>563</v>
      </c>
      <c r="C191" s="349">
        <v>75</v>
      </c>
      <c r="D191" s="349"/>
      <c r="E191" s="349"/>
      <c r="F191" s="349"/>
      <c r="G191" s="349"/>
      <c r="H191" s="349"/>
      <c r="I191" s="349"/>
      <c r="J191" s="349"/>
      <c r="K191" s="349"/>
      <c r="L191" s="349"/>
      <c r="M191" s="349"/>
      <c r="N191" s="349"/>
      <c r="O191" s="349"/>
      <c r="P191" s="354"/>
      <c r="Q191" s="354"/>
      <c r="R191" s="354"/>
      <c r="S191" s="354"/>
      <c r="T191" s="352"/>
      <c r="U191" s="353">
        <f>ROUNDUP((37*3.2)-((BS7*2)+(BW7*2)),0)</f>
        <v>102</v>
      </c>
      <c r="V191" s="353"/>
      <c r="W191" s="353"/>
      <c r="X191" s="349"/>
      <c r="Y191" s="349"/>
      <c r="Z191" s="349">
        <f>U191</f>
        <v>102</v>
      </c>
      <c r="AA191" s="349">
        <f>U191</f>
        <v>102</v>
      </c>
      <c r="AB191" s="349"/>
      <c r="AC191" s="349"/>
      <c r="AD191" s="349"/>
      <c r="AE191" s="349"/>
      <c r="AF191" s="349"/>
      <c r="AG191" s="349"/>
      <c r="AH191" s="349"/>
      <c r="AI191" s="349"/>
      <c r="AJ191" s="349"/>
      <c r="AK191" s="349"/>
      <c r="AL191" s="349"/>
      <c r="AM191" s="349"/>
      <c r="AN191" s="349">
        <f>ROUNDUP((BS9*2)+(BW9*2),0)</f>
        <v>17</v>
      </c>
      <c r="AO191" s="349"/>
      <c r="AP191" s="354"/>
      <c r="AQ191" s="352">
        <f>ROUNDUP(BW8*2,0)</f>
        <v>21</v>
      </c>
      <c r="AR191" s="353">
        <f>C191</f>
        <v>75</v>
      </c>
      <c r="AS191" s="349"/>
      <c r="AT191" s="349"/>
      <c r="AU191" s="349"/>
      <c r="AV191" s="352"/>
      <c r="AW191" s="353">
        <f t="shared" ref="AW191:AW198" si="60">AA191</f>
        <v>102</v>
      </c>
      <c r="AX191" s="349">
        <f t="shared" ref="AX191:AX198" si="61">Z191</f>
        <v>102</v>
      </c>
      <c r="AY191" s="352">
        <f t="shared" ref="AY191:AY198" si="62">AR191</f>
        <v>75</v>
      </c>
      <c r="AZ191" s="353"/>
      <c r="BA191" s="349"/>
      <c r="BB191" s="349"/>
      <c r="BC191" s="349"/>
      <c r="BD191" s="349"/>
      <c r="BE191" s="349"/>
      <c r="BF191" s="349"/>
      <c r="BG191" s="349"/>
      <c r="BH191" s="349"/>
      <c r="BI191" s="349"/>
      <c r="BJ191" s="349"/>
      <c r="BK191" s="349"/>
      <c r="BL191" s="349"/>
      <c r="BM191" s="349"/>
      <c r="BN191" s="349"/>
      <c r="BO191" s="349"/>
      <c r="BP191" s="349"/>
      <c r="BQ191" s="349"/>
      <c r="BR191" s="349"/>
      <c r="BS191" s="349">
        <v>2</v>
      </c>
      <c r="BT191" s="349"/>
      <c r="BU191" s="349"/>
      <c r="BV191" s="349"/>
      <c r="BW191" s="349">
        <v>2</v>
      </c>
      <c r="BX191" s="349"/>
      <c r="BY191" s="349"/>
      <c r="BZ191" s="349"/>
      <c r="CA191" s="349"/>
      <c r="CB191" s="349"/>
      <c r="CC191" s="349"/>
      <c r="CD191" s="349"/>
      <c r="CE191" s="349"/>
      <c r="CF191" s="349"/>
      <c r="CG191" s="349"/>
      <c r="CH191" s="349"/>
      <c r="CI191" s="349"/>
      <c r="CJ191" s="349"/>
      <c r="CK191" s="349"/>
      <c r="CL191" s="349"/>
      <c r="CM191" s="349"/>
      <c r="CN191" s="349"/>
      <c r="CO191" s="349"/>
      <c r="CP191" s="349"/>
      <c r="CQ191" s="349"/>
      <c r="CR191" s="349"/>
      <c r="CS191" s="349"/>
      <c r="CT191" s="349"/>
      <c r="CU191" s="349"/>
      <c r="CV191" s="349"/>
      <c r="CW191" s="349"/>
      <c r="CX191" s="349"/>
      <c r="CY191" s="349"/>
      <c r="CZ191" s="349"/>
      <c r="DA191" s="349"/>
      <c r="DB191" s="349"/>
      <c r="DC191" s="352"/>
    </row>
    <row r="192" spans="1:107">
      <c r="A192" s="365"/>
      <c r="B192" s="366" t="s">
        <v>564</v>
      </c>
      <c r="C192" s="349">
        <v>75</v>
      </c>
      <c r="D192" s="349"/>
      <c r="E192" s="349"/>
      <c r="F192" s="349"/>
      <c r="G192" s="349"/>
      <c r="H192" s="349"/>
      <c r="I192" s="349"/>
      <c r="J192" s="349"/>
      <c r="K192" s="349"/>
      <c r="L192" s="349"/>
      <c r="M192" s="349"/>
      <c r="N192" s="349"/>
      <c r="O192" s="349"/>
      <c r="P192" s="354"/>
      <c r="Q192" s="354"/>
      <c r="R192" s="354"/>
      <c r="S192" s="354"/>
      <c r="T192" s="352"/>
      <c r="U192" s="353">
        <f>ROUNDUP((37*3.2)-((BS7*2)+(BW7*2)),0)</f>
        <v>102</v>
      </c>
      <c r="V192" s="353"/>
      <c r="W192" s="353"/>
      <c r="X192" s="349"/>
      <c r="Y192" s="349"/>
      <c r="Z192" s="349">
        <f t="shared" ref="Z192:Z200" si="63">U192</f>
        <v>102</v>
      </c>
      <c r="AA192" s="349">
        <f t="shared" ref="AA192:AA200" si="64">U192</f>
        <v>102</v>
      </c>
      <c r="AB192" s="349"/>
      <c r="AC192" s="349"/>
      <c r="AD192" s="349"/>
      <c r="AE192" s="349"/>
      <c r="AF192" s="349"/>
      <c r="AG192" s="349"/>
      <c r="AH192" s="349"/>
      <c r="AI192" s="349"/>
      <c r="AJ192" s="349"/>
      <c r="AK192" s="349"/>
      <c r="AL192" s="349"/>
      <c r="AM192" s="349"/>
      <c r="AN192" s="349">
        <f>ROUNDUP((BS9*2)+(BW9*2),0)</f>
        <v>17</v>
      </c>
      <c r="AO192" s="349"/>
      <c r="AP192" s="354"/>
      <c r="AQ192" s="352">
        <f>ROUNDUP(BW8*2,0)</f>
        <v>21</v>
      </c>
      <c r="AR192" s="353">
        <f t="shared" ref="AR192:AR198" si="65">C192</f>
        <v>75</v>
      </c>
      <c r="AS192" s="349"/>
      <c r="AT192" s="349"/>
      <c r="AU192" s="349"/>
      <c r="AV192" s="352"/>
      <c r="AW192" s="353">
        <f t="shared" si="60"/>
        <v>102</v>
      </c>
      <c r="AX192" s="349">
        <f t="shared" si="61"/>
        <v>102</v>
      </c>
      <c r="AY192" s="352">
        <f t="shared" si="62"/>
        <v>75</v>
      </c>
      <c r="AZ192" s="353"/>
      <c r="BA192" s="349"/>
      <c r="BB192" s="349"/>
      <c r="BC192" s="349"/>
      <c r="BD192" s="349"/>
      <c r="BE192" s="349"/>
      <c r="BF192" s="349"/>
      <c r="BG192" s="349"/>
      <c r="BH192" s="349"/>
      <c r="BI192" s="349"/>
      <c r="BJ192" s="349"/>
      <c r="BK192" s="349"/>
      <c r="BL192" s="349"/>
      <c r="BM192" s="349"/>
      <c r="BN192" s="349"/>
      <c r="BO192" s="349"/>
      <c r="BP192" s="349"/>
      <c r="BQ192" s="349"/>
      <c r="BR192" s="349"/>
      <c r="BS192" s="349">
        <v>2</v>
      </c>
      <c r="BT192" s="349"/>
      <c r="BU192" s="349"/>
      <c r="BV192" s="349"/>
      <c r="BW192" s="349">
        <v>2</v>
      </c>
      <c r="BX192" s="349"/>
      <c r="BY192" s="349"/>
      <c r="BZ192" s="349"/>
      <c r="CA192" s="349"/>
      <c r="CB192" s="349"/>
      <c r="CC192" s="349"/>
      <c r="CD192" s="349"/>
      <c r="CE192" s="349"/>
      <c r="CF192" s="349"/>
      <c r="CG192" s="349"/>
      <c r="CH192" s="349"/>
      <c r="CI192" s="349"/>
      <c r="CJ192" s="349"/>
      <c r="CK192" s="349"/>
      <c r="CL192" s="349"/>
      <c r="CM192" s="349"/>
      <c r="CN192" s="349"/>
      <c r="CO192" s="349"/>
      <c r="CP192" s="349"/>
      <c r="CQ192" s="349"/>
      <c r="CR192" s="349"/>
      <c r="CS192" s="349"/>
      <c r="CT192" s="349"/>
      <c r="CU192" s="349"/>
      <c r="CV192" s="349"/>
      <c r="CW192" s="349"/>
      <c r="CX192" s="349"/>
      <c r="CY192" s="349"/>
      <c r="CZ192" s="349"/>
      <c r="DA192" s="349"/>
      <c r="DB192" s="349"/>
      <c r="DC192" s="352"/>
    </row>
    <row r="193" spans="1:107">
      <c r="A193" s="365"/>
      <c r="B193" s="366" t="s">
        <v>565</v>
      </c>
      <c r="C193" s="349">
        <v>75</v>
      </c>
      <c r="D193" s="349"/>
      <c r="E193" s="349"/>
      <c r="F193" s="349"/>
      <c r="G193" s="349"/>
      <c r="H193" s="349"/>
      <c r="I193" s="349"/>
      <c r="J193" s="349"/>
      <c r="K193" s="349"/>
      <c r="L193" s="349"/>
      <c r="M193" s="349"/>
      <c r="N193" s="349"/>
      <c r="O193" s="349"/>
      <c r="P193" s="354"/>
      <c r="Q193" s="354"/>
      <c r="R193" s="354"/>
      <c r="S193" s="354"/>
      <c r="T193" s="352"/>
      <c r="U193" s="353">
        <f>ROUNDUP((37*3.2)-((BS7*2)+(BW7)),0)</f>
        <v>110</v>
      </c>
      <c r="V193" s="353"/>
      <c r="W193" s="353"/>
      <c r="X193" s="349"/>
      <c r="Y193" s="349"/>
      <c r="Z193" s="349">
        <f t="shared" si="63"/>
        <v>110</v>
      </c>
      <c r="AA193" s="349">
        <f t="shared" si="64"/>
        <v>110</v>
      </c>
      <c r="AB193" s="349"/>
      <c r="AC193" s="349"/>
      <c r="AD193" s="349"/>
      <c r="AE193" s="349"/>
      <c r="AF193" s="349"/>
      <c r="AG193" s="349"/>
      <c r="AH193" s="349"/>
      <c r="AI193" s="349"/>
      <c r="AJ193" s="349"/>
      <c r="AK193" s="349"/>
      <c r="AL193" s="349"/>
      <c r="AM193" s="349"/>
      <c r="AN193" s="349">
        <f>ROUNDUP(BW9,0)</f>
        <v>4</v>
      </c>
      <c r="AO193" s="349"/>
      <c r="AP193" s="354"/>
      <c r="AQ193" s="352"/>
      <c r="AR193" s="353">
        <f t="shared" si="65"/>
        <v>75</v>
      </c>
      <c r="AS193" s="349"/>
      <c r="AT193" s="349"/>
      <c r="AU193" s="349"/>
      <c r="AV193" s="352"/>
      <c r="AW193" s="353">
        <f t="shared" si="60"/>
        <v>110</v>
      </c>
      <c r="AX193" s="349">
        <f t="shared" si="61"/>
        <v>110</v>
      </c>
      <c r="AY193" s="352">
        <f t="shared" si="62"/>
        <v>75</v>
      </c>
      <c r="AZ193" s="353"/>
      <c r="BA193" s="349"/>
      <c r="BB193" s="349"/>
      <c r="BC193" s="349"/>
      <c r="BD193" s="349"/>
      <c r="BE193" s="349"/>
      <c r="BF193" s="349"/>
      <c r="BG193" s="349"/>
      <c r="BH193" s="349"/>
      <c r="BI193" s="349"/>
      <c r="BJ193" s="349"/>
      <c r="BK193" s="349"/>
      <c r="BL193" s="349"/>
      <c r="BM193" s="349"/>
      <c r="BN193" s="349"/>
      <c r="BO193" s="349"/>
      <c r="BP193" s="349"/>
      <c r="BQ193" s="349"/>
      <c r="BR193" s="349"/>
      <c r="BS193" s="349">
        <v>2</v>
      </c>
      <c r="BT193" s="349"/>
      <c r="BU193" s="349"/>
      <c r="BV193" s="349"/>
      <c r="BW193" s="349">
        <v>1</v>
      </c>
      <c r="BX193" s="349"/>
      <c r="BY193" s="349"/>
      <c r="BZ193" s="349"/>
      <c r="CA193" s="349"/>
      <c r="CB193" s="349"/>
      <c r="CC193" s="349"/>
      <c r="CD193" s="349"/>
      <c r="CE193" s="349"/>
      <c r="CF193" s="349"/>
      <c r="CG193" s="349"/>
      <c r="CH193" s="349"/>
      <c r="CI193" s="349"/>
      <c r="CJ193" s="349"/>
      <c r="CK193" s="349"/>
      <c r="CL193" s="349"/>
      <c r="CM193" s="349"/>
      <c r="CN193" s="349"/>
      <c r="CO193" s="349"/>
      <c r="CP193" s="349"/>
      <c r="CQ193" s="349"/>
      <c r="CR193" s="349"/>
      <c r="CS193" s="349"/>
      <c r="CT193" s="349"/>
      <c r="CU193" s="349"/>
      <c r="CV193" s="349"/>
      <c r="CW193" s="349"/>
      <c r="CX193" s="349"/>
      <c r="CY193" s="349"/>
      <c r="CZ193" s="349"/>
      <c r="DA193" s="349"/>
      <c r="DB193" s="349"/>
      <c r="DC193" s="352"/>
    </row>
    <row r="194" spans="1:107">
      <c r="A194" s="365"/>
      <c r="B194" s="366" t="s">
        <v>566</v>
      </c>
      <c r="C194" s="349">
        <v>75</v>
      </c>
      <c r="D194" s="349"/>
      <c r="E194" s="349"/>
      <c r="F194" s="349"/>
      <c r="G194" s="349"/>
      <c r="H194" s="349"/>
      <c r="I194" s="349"/>
      <c r="J194" s="349"/>
      <c r="K194" s="349"/>
      <c r="L194" s="349"/>
      <c r="M194" s="349"/>
      <c r="N194" s="349"/>
      <c r="O194" s="349"/>
      <c r="P194" s="354"/>
      <c r="Q194" s="354"/>
      <c r="R194" s="354"/>
      <c r="S194" s="354"/>
      <c r="T194" s="352"/>
      <c r="U194" s="353">
        <f>ROUNDUP((37*3.2)-((BS7*2)),0)</f>
        <v>119</v>
      </c>
      <c r="V194" s="353"/>
      <c r="W194" s="353"/>
      <c r="X194" s="349"/>
      <c r="Y194" s="349"/>
      <c r="Z194" s="349">
        <f t="shared" si="63"/>
        <v>119</v>
      </c>
      <c r="AA194" s="349">
        <f t="shared" si="64"/>
        <v>119</v>
      </c>
      <c r="AB194" s="349"/>
      <c r="AC194" s="349"/>
      <c r="AD194" s="349"/>
      <c r="AE194" s="349"/>
      <c r="AF194" s="349"/>
      <c r="AG194" s="349"/>
      <c r="AH194" s="349"/>
      <c r="AI194" s="349"/>
      <c r="AJ194" s="349"/>
      <c r="AK194" s="349"/>
      <c r="AL194" s="349"/>
      <c r="AM194" s="349"/>
      <c r="AN194" s="349"/>
      <c r="AO194" s="349"/>
      <c r="AP194" s="354"/>
      <c r="AQ194" s="352"/>
      <c r="AR194" s="353">
        <f t="shared" si="65"/>
        <v>75</v>
      </c>
      <c r="AS194" s="349"/>
      <c r="AT194" s="349"/>
      <c r="AU194" s="349"/>
      <c r="AV194" s="352"/>
      <c r="AW194" s="353">
        <f t="shared" si="60"/>
        <v>119</v>
      </c>
      <c r="AX194" s="349">
        <f t="shared" si="61"/>
        <v>119</v>
      </c>
      <c r="AY194" s="352">
        <f t="shared" si="62"/>
        <v>75</v>
      </c>
      <c r="AZ194" s="353"/>
      <c r="BA194" s="349"/>
      <c r="BB194" s="349"/>
      <c r="BC194" s="349"/>
      <c r="BD194" s="349"/>
      <c r="BE194" s="349"/>
      <c r="BF194" s="349"/>
      <c r="BG194" s="349"/>
      <c r="BH194" s="349"/>
      <c r="BI194" s="349"/>
      <c r="BJ194" s="349"/>
      <c r="BK194" s="349"/>
      <c r="BL194" s="349"/>
      <c r="BM194" s="349"/>
      <c r="BN194" s="349"/>
      <c r="BO194" s="349"/>
      <c r="BP194" s="349"/>
      <c r="BQ194" s="349"/>
      <c r="BR194" s="349"/>
      <c r="BS194" s="349">
        <v>2</v>
      </c>
      <c r="BT194" s="349"/>
      <c r="BU194" s="349"/>
      <c r="BV194" s="349"/>
      <c r="BW194" s="349"/>
      <c r="BX194" s="349"/>
      <c r="BY194" s="349"/>
      <c r="BZ194" s="349"/>
      <c r="CA194" s="349"/>
      <c r="CB194" s="349"/>
      <c r="CC194" s="349"/>
      <c r="CD194" s="349"/>
      <c r="CE194" s="349"/>
      <c r="CF194" s="349"/>
      <c r="CG194" s="349"/>
      <c r="CH194" s="349"/>
      <c r="CI194" s="349"/>
      <c r="CJ194" s="349"/>
      <c r="CK194" s="349"/>
      <c r="CL194" s="349"/>
      <c r="CM194" s="349"/>
      <c r="CN194" s="349"/>
      <c r="CO194" s="349"/>
      <c r="CP194" s="349"/>
      <c r="CQ194" s="349"/>
      <c r="CR194" s="349"/>
      <c r="CS194" s="349"/>
      <c r="CT194" s="349"/>
      <c r="CU194" s="349"/>
      <c r="CV194" s="349"/>
      <c r="CW194" s="349"/>
      <c r="CX194" s="349"/>
      <c r="CY194" s="349"/>
      <c r="CZ194" s="349"/>
      <c r="DA194" s="349"/>
      <c r="DB194" s="349"/>
      <c r="DC194" s="352"/>
    </row>
    <row r="195" spans="1:107">
      <c r="A195" s="365"/>
      <c r="B195" s="366" t="s">
        <v>567</v>
      </c>
      <c r="C195" s="349">
        <v>75</v>
      </c>
      <c r="D195" s="349"/>
      <c r="E195" s="349"/>
      <c r="F195" s="349"/>
      <c r="G195" s="349"/>
      <c r="H195" s="349"/>
      <c r="I195" s="349"/>
      <c r="J195" s="349"/>
      <c r="K195" s="349"/>
      <c r="L195" s="349"/>
      <c r="M195" s="349"/>
      <c r="N195" s="349"/>
      <c r="O195" s="349"/>
      <c r="P195" s="354"/>
      <c r="Q195" s="354"/>
      <c r="R195" s="354"/>
      <c r="S195" s="354"/>
      <c r="T195" s="352"/>
      <c r="U195" s="353">
        <f>ROUNDUP((37*3.2)-((BS7*2)+(BW7*2)),0)</f>
        <v>102</v>
      </c>
      <c r="V195" s="353"/>
      <c r="W195" s="353"/>
      <c r="X195" s="349"/>
      <c r="Y195" s="349"/>
      <c r="Z195" s="349">
        <f t="shared" si="63"/>
        <v>102</v>
      </c>
      <c r="AA195" s="349">
        <f t="shared" si="64"/>
        <v>102</v>
      </c>
      <c r="AB195" s="349"/>
      <c r="AC195" s="349"/>
      <c r="AD195" s="349"/>
      <c r="AE195" s="349"/>
      <c r="AF195" s="349"/>
      <c r="AG195" s="349"/>
      <c r="AH195" s="349"/>
      <c r="AI195" s="349"/>
      <c r="AJ195" s="349"/>
      <c r="AK195" s="349"/>
      <c r="AL195" s="349"/>
      <c r="AM195" s="349"/>
      <c r="AN195" s="349">
        <f>ROUNDUP((BS9*2)+(BW9*2),0)</f>
        <v>17</v>
      </c>
      <c r="AO195" s="349"/>
      <c r="AP195" s="354"/>
      <c r="AQ195" s="352">
        <f>ROUNDUP(BW8*2,0)</f>
        <v>21</v>
      </c>
      <c r="AR195" s="353">
        <f t="shared" si="65"/>
        <v>75</v>
      </c>
      <c r="AS195" s="349"/>
      <c r="AT195" s="349"/>
      <c r="AU195" s="349"/>
      <c r="AV195" s="352"/>
      <c r="AW195" s="353">
        <f t="shared" si="60"/>
        <v>102</v>
      </c>
      <c r="AX195" s="349">
        <f t="shared" si="61"/>
        <v>102</v>
      </c>
      <c r="AY195" s="352">
        <f t="shared" si="62"/>
        <v>75</v>
      </c>
      <c r="AZ195" s="353"/>
      <c r="BA195" s="349"/>
      <c r="BB195" s="349"/>
      <c r="BC195" s="349"/>
      <c r="BD195" s="349"/>
      <c r="BE195" s="349"/>
      <c r="BF195" s="349"/>
      <c r="BG195" s="349"/>
      <c r="BH195" s="349"/>
      <c r="BI195" s="349"/>
      <c r="BJ195" s="349"/>
      <c r="BK195" s="349"/>
      <c r="BL195" s="349"/>
      <c r="BM195" s="349"/>
      <c r="BN195" s="349"/>
      <c r="BO195" s="349"/>
      <c r="BP195" s="349"/>
      <c r="BQ195" s="349"/>
      <c r="BR195" s="349"/>
      <c r="BS195" s="349">
        <v>2</v>
      </c>
      <c r="BT195" s="349"/>
      <c r="BU195" s="349"/>
      <c r="BV195" s="349"/>
      <c r="BW195" s="349">
        <v>2</v>
      </c>
      <c r="BX195" s="349"/>
      <c r="BY195" s="349"/>
      <c r="BZ195" s="349"/>
      <c r="CA195" s="349"/>
      <c r="CB195" s="349"/>
      <c r="CC195" s="349"/>
      <c r="CD195" s="349"/>
      <c r="CE195" s="349"/>
      <c r="CF195" s="349"/>
      <c r="CG195" s="349"/>
      <c r="CH195" s="349"/>
      <c r="CI195" s="349"/>
      <c r="CJ195" s="349"/>
      <c r="CK195" s="349"/>
      <c r="CL195" s="349"/>
      <c r="CM195" s="349"/>
      <c r="CN195" s="349"/>
      <c r="CO195" s="349"/>
      <c r="CP195" s="349"/>
      <c r="CQ195" s="349"/>
      <c r="CR195" s="349"/>
      <c r="CS195" s="349"/>
      <c r="CT195" s="349"/>
      <c r="CU195" s="349"/>
      <c r="CV195" s="349"/>
      <c r="CW195" s="349"/>
      <c r="CX195" s="349"/>
      <c r="CY195" s="349"/>
      <c r="CZ195" s="349"/>
      <c r="DA195" s="349"/>
      <c r="DB195" s="349"/>
      <c r="DC195" s="352"/>
    </row>
    <row r="196" spans="1:107">
      <c r="A196" s="365"/>
      <c r="B196" s="366" t="s">
        <v>568</v>
      </c>
      <c r="C196" s="349">
        <v>75</v>
      </c>
      <c r="D196" s="349"/>
      <c r="E196" s="349"/>
      <c r="F196" s="349"/>
      <c r="G196" s="349"/>
      <c r="H196" s="349"/>
      <c r="I196" s="349"/>
      <c r="J196" s="349"/>
      <c r="K196" s="349"/>
      <c r="L196" s="349"/>
      <c r="M196" s="349"/>
      <c r="N196" s="349"/>
      <c r="O196" s="349"/>
      <c r="P196" s="354"/>
      <c r="Q196" s="354"/>
      <c r="R196" s="354"/>
      <c r="S196" s="354"/>
      <c r="T196" s="352"/>
      <c r="U196" s="353">
        <f>ROUNDUP((37*3.2)-((BS7*2)+(BW7*2)),0)</f>
        <v>102</v>
      </c>
      <c r="V196" s="353"/>
      <c r="W196" s="353"/>
      <c r="X196" s="349"/>
      <c r="Y196" s="349"/>
      <c r="Z196" s="349">
        <f t="shared" si="63"/>
        <v>102</v>
      </c>
      <c r="AA196" s="349">
        <f t="shared" si="64"/>
        <v>102</v>
      </c>
      <c r="AB196" s="349"/>
      <c r="AC196" s="349"/>
      <c r="AD196" s="349"/>
      <c r="AE196" s="349"/>
      <c r="AF196" s="349"/>
      <c r="AG196" s="349"/>
      <c r="AH196" s="349"/>
      <c r="AI196" s="349"/>
      <c r="AJ196" s="349"/>
      <c r="AK196" s="349"/>
      <c r="AL196" s="349"/>
      <c r="AM196" s="349"/>
      <c r="AN196" s="349">
        <f>ROUNDUP((BS9*2)+(BW9*2),0)</f>
        <v>17</v>
      </c>
      <c r="AO196" s="349"/>
      <c r="AP196" s="354"/>
      <c r="AQ196" s="352">
        <f>ROUNDUP(BW8*2,0)</f>
        <v>21</v>
      </c>
      <c r="AR196" s="353">
        <f t="shared" si="65"/>
        <v>75</v>
      </c>
      <c r="AS196" s="349"/>
      <c r="AT196" s="349"/>
      <c r="AU196" s="349"/>
      <c r="AV196" s="352"/>
      <c r="AW196" s="353">
        <f t="shared" si="60"/>
        <v>102</v>
      </c>
      <c r="AX196" s="349">
        <f t="shared" si="61"/>
        <v>102</v>
      </c>
      <c r="AY196" s="352">
        <f t="shared" si="62"/>
        <v>75</v>
      </c>
      <c r="AZ196" s="353"/>
      <c r="BA196" s="349"/>
      <c r="BB196" s="349"/>
      <c r="BC196" s="349"/>
      <c r="BD196" s="349"/>
      <c r="BE196" s="349"/>
      <c r="BF196" s="349"/>
      <c r="BG196" s="349"/>
      <c r="BH196" s="349"/>
      <c r="BI196" s="349"/>
      <c r="BJ196" s="349"/>
      <c r="BK196" s="349"/>
      <c r="BL196" s="349"/>
      <c r="BM196" s="349"/>
      <c r="BN196" s="349"/>
      <c r="BO196" s="349"/>
      <c r="BP196" s="349"/>
      <c r="BQ196" s="349"/>
      <c r="BR196" s="349"/>
      <c r="BS196" s="349">
        <v>2</v>
      </c>
      <c r="BT196" s="349"/>
      <c r="BU196" s="349"/>
      <c r="BV196" s="349"/>
      <c r="BW196" s="349">
        <v>2</v>
      </c>
      <c r="BX196" s="349"/>
      <c r="BY196" s="349"/>
      <c r="BZ196" s="349"/>
      <c r="CA196" s="349"/>
      <c r="CB196" s="349"/>
      <c r="CC196" s="349"/>
      <c r="CD196" s="349"/>
      <c r="CE196" s="349"/>
      <c r="CF196" s="349"/>
      <c r="CG196" s="349"/>
      <c r="CH196" s="349"/>
      <c r="CI196" s="349"/>
      <c r="CJ196" s="349"/>
      <c r="CK196" s="349"/>
      <c r="CL196" s="349"/>
      <c r="CM196" s="349"/>
      <c r="CN196" s="349"/>
      <c r="CO196" s="349"/>
      <c r="CP196" s="349"/>
      <c r="CQ196" s="349"/>
      <c r="CR196" s="349"/>
      <c r="CS196" s="349"/>
      <c r="CT196" s="349"/>
      <c r="CU196" s="349"/>
      <c r="CV196" s="349"/>
      <c r="CW196" s="349"/>
      <c r="CX196" s="349"/>
      <c r="CY196" s="349"/>
      <c r="CZ196" s="349"/>
      <c r="DA196" s="349"/>
      <c r="DB196" s="349"/>
      <c r="DC196" s="352"/>
    </row>
    <row r="197" spans="1:107">
      <c r="A197" s="365"/>
      <c r="B197" s="366" t="s">
        <v>442</v>
      </c>
      <c r="C197" s="367">
        <f>ROUNDUP(16.81,0)</f>
        <v>17</v>
      </c>
      <c r="D197" s="349"/>
      <c r="E197" s="349"/>
      <c r="F197" s="349"/>
      <c r="G197" s="349"/>
      <c r="H197" s="349"/>
      <c r="I197" s="349"/>
      <c r="J197" s="349"/>
      <c r="K197" s="349"/>
      <c r="L197" s="349"/>
      <c r="M197" s="349"/>
      <c r="N197" s="349"/>
      <c r="O197" s="349"/>
      <c r="P197" s="354"/>
      <c r="Q197" s="354"/>
      <c r="R197" s="354"/>
      <c r="S197" s="354"/>
      <c r="T197" s="352"/>
      <c r="U197" s="353">
        <f>ROUNDUP((17.5*3.2)-(BA7+BY7),0)</f>
        <v>28</v>
      </c>
      <c r="V197" s="353"/>
      <c r="W197" s="353"/>
      <c r="X197" s="349"/>
      <c r="Y197" s="349"/>
      <c r="Z197" s="349">
        <f t="shared" si="63"/>
        <v>28</v>
      </c>
      <c r="AA197" s="349">
        <f t="shared" si="64"/>
        <v>28</v>
      </c>
      <c r="AB197" s="349"/>
      <c r="AC197" s="349"/>
      <c r="AD197" s="349"/>
      <c r="AE197" s="349"/>
      <c r="AF197" s="349"/>
      <c r="AG197" s="349"/>
      <c r="AH197" s="349"/>
      <c r="AI197" s="349"/>
      <c r="AJ197" s="349"/>
      <c r="AK197" s="349"/>
      <c r="AL197" s="349"/>
      <c r="AM197" s="349"/>
      <c r="AN197" s="349">
        <f>ROUNDUP((BA9+BY9),0)</f>
        <v>11</v>
      </c>
      <c r="AO197" s="349"/>
      <c r="AP197" s="354"/>
      <c r="AQ197" s="352">
        <f>ROUNDUP((BA8+BY8),0)</f>
        <v>17</v>
      </c>
      <c r="AR197" s="353">
        <f t="shared" si="65"/>
        <v>17</v>
      </c>
      <c r="AS197" s="349"/>
      <c r="AT197" s="349"/>
      <c r="AU197" s="349"/>
      <c r="AV197" s="352"/>
      <c r="AW197" s="353">
        <f t="shared" si="60"/>
        <v>28</v>
      </c>
      <c r="AX197" s="349">
        <f t="shared" si="61"/>
        <v>28</v>
      </c>
      <c r="AY197" s="352">
        <f t="shared" si="62"/>
        <v>17</v>
      </c>
      <c r="AZ197" s="353"/>
      <c r="BA197" s="349">
        <v>1</v>
      </c>
      <c r="BB197" s="349"/>
      <c r="BC197" s="349"/>
      <c r="BD197" s="349"/>
      <c r="BE197" s="349"/>
      <c r="BF197" s="349"/>
      <c r="BG197" s="349"/>
      <c r="BH197" s="349"/>
      <c r="BI197" s="349"/>
      <c r="BJ197" s="349"/>
      <c r="BK197" s="349"/>
      <c r="BL197" s="349"/>
      <c r="BM197" s="349"/>
      <c r="BN197" s="349"/>
      <c r="BO197" s="349"/>
      <c r="BP197" s="349"/>
      <c r="BQ197" s="349"/>
      <c r="BR197" s="349"/>
      <c r="BS197" s="349"/>
      <c r="BT197" s="349"/>
      <c r="BU197" s="349"/>
      <c r="BV197" s="349"/>
      <c r="BW197" s="349"/>
      <c r="BX197" s="349"/>
      <c r="BY197" s="349">
        <v>1</v>
      </c>
      <c r="BZ197" s="349"/>
      <c r="CA197" s="349"/>
      <c r="CB197" s="349"/>
      <c r="CC197" s="349"/>
      <c r="CD197" s="349"/>
      <c r="CE197" s="349"/>
      <c r="CF197" s="349"/>
      <c r="CG197" s="349"/>
      <c r="CH197" s="349"/>
      <c r="CI197" s="349"/>
      <c r="CJ197" s="349"/>
      <c r="CK197" s="349"/>
      <c r="CL197" s="349"/>
      <c r="CM197" s="349"/>
      <c r="CN197" s="349"/>
      <c r="CO197" s="349"/>
      <c r="CP197" s="349"/>
      <c r="CQ197" s="349"/>
      <c r="CR197" s="349"/>
      <c r="CS197" s="349"/>
      <c r="CT197" s="349"/>
      <c r="CU197" s="349"/>
      <c r="CV197" s="349"/>
      <c r="CW197" s="349"/>
      <c r="CX197" s="349"/>
      <c r="CY197" s="349"/>
      <c r="CZ197" s="349"/>
      <c r="DA197" s="349"/>
      <c r="DB197" s="349"/>
      <c r="DC197" s="352"/>
    </row>
    <row r="198" spans="1:107">
      <c r="A198" s="365"/>
      <c r="B198" s="366" t="s">
        <v>443</v>
      </c>
      <c r="C198" s="367">
        <f>ROUNDUP(35.96,0)</f>
        <v>36</v>
      </c>
      <c r="D198" s="349"/>
      <c r="E198" s="349"/>
      <c r="F198" s="349"/>
      <c r="G198" s="349"/>
      <c r="H198" s="349"/>
      <c r="I198" s="349"/>
      <c r="J198" s="349"/>
      <c r="K198" s="349"/>
      <c r="L198" s="349"/>
      <c r="M198" s="349"/>
      <c r="N198" s="349"/>
      <c r="O198" s="349"/>
      <c r="P198" s="354"/>
      <c r="Q198" s="354"/>
      <c r="R198" s="354"/>
      <c r="S198" s="354"/>
      <c r="T198" s="352"/>
      <c r="U198" s="353">
        <f>ROUNDUP((24*3.2)-(BA7+BY7),0)</f>
        <v>49</v>
      </c>
      <c r="V198" s="353"/>
      <c r="W198" s="353"/>
      <c r="X198" s="349"/>
      <c r="Y198" s="349"/>
      <c r="Z198" s="349">
        <f t="shared" si="63"/>
        <v>49</v>
      </c>
      <c r="AA198" s="349">
        <f t="shared" si="64"/>
        <v>49</v>
      </c>
      <c r="AB198" s="349"/>
      <c r="AC198" s="349"/>
      <c r="AD198" s="349"/>
      <c r="AE198" s="349"/>
      <c r="AF198" s="349"/>
      <c r="AG198" s="349"/>
      <c r="AH198" s="349"/>
      <c r="AI198" s="349"/>
      <c r="AJ198" s="349"/>
      <c r="AK198" s="349"/>
      <c r="AL198" s="349"/>
      <c r="AM198" s="349"/>
      <c r="AN198" s="349">
        <f>ROUNDUP((BA9+BY9),0)</f>
        <v>11</v>
      </c>
      <c r="AO198" s="349"/>
      <c r="AP198" s="354"/>
      <c r="AQ198" s="352">
        <f>ROUNDUP((BA8+BY8),0)</f>
        <v>17</v>
      </c>
      <c r="AR198" s="353">
        <f t="shared" si="65"/>
        <v>36</v>
      </c>
      <c r="AS198" s="349"/>
      <c r="AT198" s="349"/>
      <c r="AU198" s="349"/>
      <c r="AV198" s="352"/>
      <c r="AW198" s="353">
        <f t="shared" si="60"/>
        <v>49</v>
      </c>
      <c r="AX198" s="349">
        <f t="shared" si="61"/>
        <v>49</v>
      </c>
      <c r="AY198" s="352">
        <f t="shared" si="62"/>
        <v>36</v>
      </c>
      <c r="AZ198" s="353"/>
      <c r="BA198" s="349">
        <v>1</v>
      </c>
      <c r="BB198" s="349"/>
      <c r="BC198" s="349"/>
      <c r="BD198" s="349"/>
      <c r="BE198" s="349"/>
      <c r="BF198" s="349"/>
      <c r="BG198" s="349"/>
      <c r="BH198" s="349"/>
      <c r="BI198" s="349"/>
      <c r="BJ198" s="349"/>
      <c r="BK198" s="349"/>
      <c r="BL198" s="349"/>
      <c r="BM198" s="349"/>
      <c r="BN198" s="349"/>
      <c r="BO198" s="349"/>
      <c r="BP198" s="349"/>
      <c r="BQ198" s="349"/>
      <c r="BR198" s="349"/>
      <c r="BS198" s="349"/>
      <c r="BT198" s="349"/>
      <c r="BU198" s="349"/>
      <c r="BV198" s="349"/>
      <c r="BW198" s="349"/>
      <c r="BX198" s="349"/>
      <c r="BY198" s="349">
        <v>1</v>
      </c>
      <c r="BZ198" s="349"/>
      <c r="CA198" s="349"/>
      <c r="CB198" s="349"/>
      <c r="CC198" s="349"/>
      <c r="CD198" s="349"/>
      <c r="CE198" s="349"/>
      <c r="CF198" s="349"/>
      <c r="CG198" s="349"/>
      <c r="CH198" s="349"/>
      <c r="CI198" s="349"/>
      <c r="CJ198" s="349"/>
      <c r="CK198" s="349"/>
      <c r="CL198" s="349"/>
      <c r="CM198" s="349"/>
      <c r="CN198" s="349"/>
      <c r="CO198" s="349"/>
      <c r="CP198" s="349"/>
      <c r="CQ198" s="349"/>
      <c r="CR198" s="349"/>
      <c r="CS198" s="349"/>
      <c r="CT198" s="349"/>
      <c r="CU198" s="349"/>
      <c r="CV198" s="349"/>
      <c r="CW198" s="349"/>
      <c r="CX198" s="349"/>
      <c r="CY198" s="349"/>
      <c r="CZ198" s="349"/>
      <c r="DA198" s="349"/>
      <c r="DB198" s="349"/>
      <c r="DC198" s="352"/>
    </row>
    <row r="199" spans="1:107">
      <c r="A199" s="365"/>
      <c r="B199" s="366" t="s">
        <v>569</v>
      </c>
      <c r="C199" s="367"/>
      <c r="D199" s="349"/>
      <c r="E199" s="367">
        <f>ROUNDUP(16.77,0)</f>
        <v>17</v>
      </c>
      <c r="F199" s="349"/>
      <c r="G199" s="349"/>
      <c r="H199" s="349"/>
      <c r="I199" s="349"/>
      <c r="J199" s="349"/>
      <c r="K199" s="349"/>
      <c r="L199" s="349"/>
      <c r="M199" s="349"/>
      <c r="N199" s="349"/>
      <c r="O199" s="349"/>
      <c r="P199" s="354"/>
      <c r="Q199" s="354"/>
      <c r="R199" s="354"/>
      <c r="S199" s="354"/>
      <c r="T199" s="352">
        <f t="shared" ref="T199:T200" si="66">SUM(C199:O199)</f>
        <v>17</v>
      </c>
      <c r="U199" s="353">
        <f>ROUNDUP(((17.7*3.2)+((1.55*2.8)*3))-(BB7+BZ7),0)</f>
        <v>49</v>
      </c>
      <c r="V199" s="353"/>
      <c r="W199" s="353"/>
      <c r="X199" s="349"/>
      <c r="Y199" s="349"/>
      <c r="Z199" s="349">
        <f t="shared" si="63"/>
        <v>49</v>
      </c>
      <c r="AA199" s="349">
        <f t="shared" si="64"/>
        <v>49</v>
      </c>
      <c r="AB199" s="349"/>
      <c r="AC199" s="349"/>
      <c r="AD199" s="349">
        <f>AA199</f>
        <v>49</v>
      </c>
      <c r="AE199" s="349"/>
      <c r="AF199" s="349"/>
      <c r="AG199" s="349"/>
      <c r="AH199" s="349"/>
      <c r="AI199" s="349"/>
      <c r="AJ199" s="349"/>
      <c r="AK199" s="349"/>
      <c r="AL199" s="349"/>
      <c r="AM199" s="349"/>
      <c r="AN199" s="349">
        <f>ROUNDUP((2*2.8)+BB9+BZ9,0)</f>
        <v>16</v>
      </c>
      <c r="AO199" s="349">
        <f>ROUNDUP(2*2.8,0)</f>
        <v>6</v>
      </c>
      <c r="AP199" s="354"/>
      <c r="AQ199" s="352">
        <f>ROUNDUP((BB8+BZ8),0)</f>
        <v>12</v>
      </c>
      <c r="AR199" s="353"/>
      <c r="AS199" s="349">
        <f>E199</f>
        <v>17</v>
      </c>
      <c r="AT199" s="349"/>
      <c r="AU199" s="349"/>
      <c r="AV199" s="352"/>
      <c r="AW199" s="353"/>
      <c r="AX199" s="349"/>
      <c r="AY199" s="352">
        <f>AS199</f>
        <v>17</v>
      </c>
      <c r="AZ199" s="353"/>
      <c r="BA199" s="349"/>
      <c r="BB199" s="349"/>
      <c r="BC199" s="349"/>
      <c r="BD199" s="349"/>
      <c r="BE199" s="349"/>
      <c r="BF199" s="349"/>
      <c r="BG199" s="349"/>
      <c r="BH199" s="349"/>
      <c r="BI199" s="349"/>
      <c r="BJ199" s="349"/>
      <c r="BK199" s="349"/>
      <c r="BL199" s="349"/>
      <c r="BM199" s="349"/>
      <c r="BN199" s="349"/>
      <c r="BO199" s="349"/>
      <c r="BP199" s="349"/>
      <c r="BQ199" s="349"/>
      <c r="BR199" s="349"/>
      <c r="BS199" s="349"/>
      <c r="BT199" s="349"/>
      <c r="BU199" s="349"/>
      <c r="BV199" s="349"/>
      <c r="BW199" s="349"/>
      <c r="BX199" s="349"/>
      <c r="BY199" s="349"/>
      <c r="BZ199" s="349"/>
      <c r="CA199" s="349"/>
      <c r="CB199" s="349"/>
      <c r="CC199" s="349"/>
      <c r="CD199" s="349"/>
      <c r="CE199" s="349"/>
      <c r="CF199" s="349"/>
      <c r="CG199" s="349"/>
      <c r="CH199" s="349"/>
      <c r="CI199" s="349"/>
      <c r="CJ199" s="349"/>
      <c r="CK199" s="349"/>
      <c r="CL199" s="349"/>
      <c r="CM199" s="349"/>
      <c r="CN199" s="349"/>
      <c r="CO199" s="349"/>
      <c r="CP199" s="349"/>
      <c r="CQ199" s="349"/>
      <c r="CR199" s="349"/>
      <c r="CS199" s="349"/>
      <c r="CT199" s="349"/>
      <c r="CU199" s="349"/>
      <c r="CV199" s="349"/>
      <c r="CW199" s="349"/>
      <c r="CX199" s="349"/>
      <c r="CY199" s="349"/>
      <c r="CZ199" s="349"/>
      <c r="DA199" s="349"/>
      <c r="DB199" s="349"/>
      <c r="DC199" s="352"/>
    </row>
    <row r="200" spans="1:107">
      <c r="A200" s="365"/>
      <c r="B200" s="366" t="s">
        <v>570</v>
      </c>
      <c r="C200" s="367"/>
      <c r="D200" s="349"/>
      <c r="E200" s="367">
        <f>ROUNDUP(18.59,0)</f>
        <v>19</v>
      </c>
      <c r="F200" s="349"/>
      <c r="G200" s="349"/>
      <c r="H200" s="349"/>
      <c r="I200" s="349"/>
      <c r="J200" s="349"/>
      <c r="K200" s="349"/>
      <c r="L200" s="349"/>
      <c r="M200" s="349"/>
      <c r="N200" s="349"/>
      <c r="O200" s="349"/>
      <c r="P200" s="354"/>
      <c r="Q200" s="354"/>
      <c r="R200" s="354"/>
      <c r="S200" s="354"/>
      <c r="T200" s="352">
        <f t="shared" si="66"/>
        <v>19</v>
      </c>
      <c r="U200" s="353">
        <f>ROUNDUP(((18.5*3.2)+(1.85*2.8)+(1.35*2.8))-(BB7+BZ7),0)</f>
        <v>47</v>
      </c>
      <c r="V200" s="353"/>
      <c r="W200" s="353"/>
      <c r="X200" s="349"/>
      <c r="Y200" s="349"/>
      <c r="Z200" s="349">
        <f t="shared" si="63"/>
        <v>47</v>
      </c>
      <c r="AA200" s="349">
        <f t="shared" si="64"/>
        <v>47</v>
      </c>
      <c r="AB200" s="349"/>
      <c r="AC200" s="349"/>
      <c r="AD200" s="349">
        <f>AA200</f>
        <v>47</v>
      </c>
      <c r="AE200" s="349"/>
      <c r="AF200" s="349"/>
      <c r="AG200" s="349"/>
      <c r="AH200" s="349"/>
      <c r="AI200" s="349"/>
      <c r="AJ200" s="349"/>
      <c r="AK200" s="349"/>
      <c r="AL200" s="349"/>
      <c r="AM200" s="349"/>
      <c r="AN200" s="349">
        <f>ROUNDUP((4*2.8)+BB9+BZ9,0)</f>
        <v>22</v>
      </c>
      <c r="AO200" s="349"/>
      <c r="AP200" s="354"/>
      <c r="AQ200" s="352">
        <f>ROUNDUP((BB8+BZ8),0)</f>
        <v>12</v>
      </c>
      <c r="AR200" s="353"/>
      <c r="AS200" s="349">
        <f>E200</f>
        <v>19</v>
      </c>
      <c r="AT200" s="349"/>
      <c r="AU200" s="349"/>
      <c r="AV200" s="352"/>
      <c r="AW200" s="353"/>
      <c r="AX200" s="349"/>
      <c r="AY200" s="352">
        <f>AS200</f>
        <v>19</v>
      </c>
      <c r="AZ200" s="353"/>
      <c r="BA200" s="349"/>
      <c r="BB200" s="349"/>
      <c r="BC200" s="349"/>
      <c r="BD200" s="349"/>
      <c r="BE200" s="349"/>
      <c r="BF200" s="349"/>
      <c r="BG200" s="349"/>
      <c r="BH200" s="349"/>
      <c r="BI200" s="349"/>
      <c r="BJ200" s="349"/>
      <c r="BK200" s="349"/>
      <c r="BL200" s="349"/>
      <c r="BM200" s="349"/>
      <c r="BN200" s="349"/>
      <c r="BO200" s="349"/>
      <c r="BP200" s="349"/>
      <c r="BQ200" s="349"/>
      <c r="BR200" s="349"/>
      <c r="BS200" s="349"/>
      <c r="BT200" s="349"/>
      <c r="BU200" s="349"/>
      <c r="BV200" s="349"/>
      <c r="BW200" s="349"/>
      <c r="BX200" s="349"/>
      <c r="BY200" s="349"/>
      <c r="BZ200" s="349"/>
      <c r="CA200" s="349"/>
      <c r="CB200" s="349"/>
      <c r="CC200" s="349"/>
      <c r="CD200" s="349"/>
      <c r="CE200" s="349"/>
      <c r="CF200" s="349"/>
      <c r="CG200" s="349"/>
      <c r="CH200" s="349"/>
      <c r="CI200" s="349"/>
      <c r="CJ200" s="349"/>
      <c r="CK200" s="349"/>
      <c r="CL200" s="349"/>
      <c r="CM200" s="349"/>
      <c r="CN200" s="349"/>
      <c r="CO200" s="349"/>
      <c r="CP200" s="349"/>
      <c r="CQ200" s="349"/>
      <c r="CR200" s="349"/>
      <c r="CS200" s="349"/>
      <c r="CT200" s="349"/>
      <c r="CU200" s="349"/>
      <c r="CV200" s="349"/>
      <c r="CW200" s="349"/>
      <c r="CX200" s="349"/>
      <c r="CY200" s="349"/>
      <c r="CZ200" s="349"/>
      <c r="DA200" s="349"/>
      <c r="DB200" s="349"/>
      <c r="DC200" s="352"/>
    </row>
    <row r="201" spans="1:107">
      <c r="A201" s="365"/>
      <c r="B201" s="353"/>
      <c r="C201" s="349"/>
      <c r="D201" s="349"/>
      <c r="E201" s="349"/>
      <c r="F201" s="349"/>
      <c r="G201" s="349"/>
      <c r="H201" s="349"/>
      <c r="I201" s="349"/>
      <c r="J201" s="349"/>
      <c r="K201" s="349"/>
      <c r="L201" s="349"/>
      <c r="M201" s="349"/>
      <c r="N201" s="349"/>
      <c r="O201" s="349"/>
      <c r="P201" s="354"/>
      <c r="Q201" s="354"/>
      <c r="R201" s="354"/>
      <c r="S201" s="354"/>
      <c r="T201" s="352"/>
      <c r="U201" s="353"/>
      <c r="V201" s="353"/>
      <c r="W201" s="353"/>
      <c r="X201" s="349"/>
      <c r="Y201" s="349"/>
      <c r="Z201" s="349"/>
      <c r="AA201" s="349"/>
      <c r="AB201" s="349"/>
      <c r="AC201" s="349"/>
      <c r="AD201" s="349"/>
      <c r="AE201" s="349"/>
      <c r="AF201" s="349"/>
      <c r="AG201" s="349"/>
      <c r="AH201" s="349"/>
      <c r="AI201" s="349"/>
      <c r="AJ201" s="349"/>
      <c r="AK201" s="349"/>
      <c r="AL201" s="349"/>
      <c r="AM201" s="349"/>
      <c r="AN201" s="349"/>
      <c r="AO201" s="349"/>
      <c r="AP201" s="354"/>
      <c r="AQ201" s="352"/>
      <c r="AR201" s="353"/>
      <c r="AS201" s="349"/>
      <c r="AT201" s="349"/>
      <c r="AU201" s="349"/>
      <c r="AV201" s="352"/>
      <c r="AW201" s="353"/>
      <c r="AX201" s="349"/>
      <c r="AY201" s="352"/>
      <c r="AZ201" s="353"/>
      <c r="BA201" s="349"/>
      <c r="BB201" s="349"/>
      <c r="BC201" s="349"/>
      <c r="BD201" s="349"/>
      <c r="BE201" s="349"/>
      <c r="BF201" s="349"/>
      <c r="BG201" s="349"/>
      <c r="BH201" s="349"/>
      <c r="BI201" s="349"/>
      <c r="BJ201" s="349"/>
      <c r="BK201" s="349"/>
      <c r="BL201" s="349"/>
      <c r="BM201" s="349"/>
      <c r="BN201" s="349"/>
      <c r="BO201" s="349"/>
      <c r="BP201" s="349"/>
      <c r="BQ201" s="349"/>
      <c r="BR201" s="349"/>
      <c r="BS201" s="349"/>
      <c r="BT201" s="349"/>
      <c r="BU201" s="349"/>
      <c r="BV201" s="349"/>
      <c r="BW201" s="349"/>
      <c r="BX201" s="349"/>
      <c r="BY201" s="349"/>
      <c r="BZ201" s="349"/>
      <c r="CA201" s="349"/>
      <c r="CB201" s="349"/>
      <c r="CC201" s="349"/>
      <c r="CD201" s="349"/>
      <c r="CE201" s="349"/>
      <c r="CF201" s="349"/>
      <c r="CG201" s="349"/>
      <c r="CH201" s="349"/>
      <c r="CI201" s="349"/>
      <c r="CJ201" s="349"/>
      <c r="CK201" s="349"/>
      <c r="CL201" s="349"/>
      <c r="CM201" s="349"/>
      <c r="CN201" s="349"/>
      <c r="CO201" s="349"/>
      <c r="CP201" s="349"/>
      <c r="CQ201" s="349"/>
      <c r="CR201" s="349"/>
      <c r="CS201" s="349"/>
      <c r="CT201" s="349"/>
      <c r="CU201" s="349"/>
      <c r="CV201" s="349"/>
      <c r="CW201" s="349"/>
      <c r="CX201" s="349"/>
      <c r="CY201" s="349"/>
      <c r="CZ201" s="349"/>
      <c r="DA201" s="349"/>
      <c r="DB201" s="349"/>
      <c r="DC201" s="352"/>
    </row>
    <row r="202" spans="1:107">
      <c r="A202" s="365"/>
      <c r="B202" s="366"/>
      <c r="C202" s="349"/>
      <c r="D202" s="349"/>
      <c r="E202" s="349"/>
      <c r="F202" s="349"/>
      <c r="G202" s="349"/>
      <c r="H202" s="349"/>
      <c r="I202" s="349"/>
      <c r="J202" s="349"/>
      <c r="K202" s="349"/>
      <c r="L202" s="349"/>
      <c r="M202" s="349"/>
      <c r="N202" s="349"/>
      <c r="O202" s="349"/>
      <c r="P202" s="349"/>
      <c r="Q202" s="349"/>
      <c r="R202" s="354"/>
      <c r="S202" s="354"/>
      <c r="T202" s="352"/>
      <c r="U202" s="353"/>
      <c r="V202" s="353"/>
      <c r="W202" s="353"/>
      <c r="X202" s="349"/>
      <c r="Y202" s="349"/>
      <c r="Z202" s="349"/>
      <c r="AA202" s="349"/>
      <c r="AB202" s="349"/>
      <c r="AC202" s="349"/>
      <c r="AD202" s="349"/>
      <c r="AE202" s="349"/>
      <c r="AF202" s="349"/>
      <c r="AG202" s="349"/>
      <c r="AH202" s="349"/>
      <c r="AI202" s="349"/>
      <c r="AJ202" s="349"/>
      <c r="AK202" s="349"/>
      <c r="AL202" s="349"/>
      <c r="AM202" s="349"/>
      <c r="AN202" s="349"/>
      <c r="AO202" s="349"/>
      <c r="AP202" s="354"/>
      <c r="AQ202" s="352"/>
      <c r="AR202" s="353"/>
      <c r="AS202" s="349"/>
      <c r="AT202" s="349"/>
      <c r="AU202" s="349"/>
      <c r="AV202" s="352"/>
      <c r="AW202" s="353"/>
      <c r="AX202" s="349"/>
      <c r="AY202" s="352"/>
      <c r="AZ202" s="372"/>
      <c r="BA202" s="349"/>
      <c r="BB202" s="373"/>
      <c r="BC202" s="373"/>
      <c r="BD202" s="373"/>
      <c r="BE202" s="373"/>
      <c r="BF202" s="373"/>
      <c r="BG202" s="373"/>
      <c r="BH202" s="373"/>
      <c r="BI202" s="373"/>
      <c r="BJ202" s="373"/>
      <c r="BK202" s="373"/>
      <c r="BL202" s="373"/>
      <c r="BM202" s="373"/>
      <c r="BN202" s="373"/>
      <c r="BO202" s="373"/>
      <c r="BP202" s="373"/>
      <c r="BQ202" s="373"/>
      <c r="BR202" s="373"/>
      <c r="BS202" s="373"/>
      <c r="BT202" s="373"/>
      <c r="BU202" s="373"/>
      <c r="BV202" s="373"/>
      <c r="BW202" s="373"/>
      <c r="BX202" s="373"/>
      <c r="BY202" s="373"/>
      <c r="BZ202" s="373"/>
      <c r="CA202" s="373"/>
      <c r="CB202" s="373"/>
      <c r="CC202" s="373"/>
      <c r="CD202" s="373"/>
      <c r="CE202" s="373"/>
      <c r="CF202" s="373"/>
      <c r="CG202" s="373"/>
      <c r="CH202" s="373"/>
      <c r="CI202" s="373"/>
      <c r="CJ202" s="373"/>
      <c r="CK202" s="373"/>
      <c r="CL202" s="373"/>
      <c r="CM202" s="373"/>
      <c r="CN202" s="373"/>
      <c r="CO202" s="373"/>
      <c r="CP202" s="373"/>
      <c r="CQ202" s="373"/>
      <c r="CR202" s="373"/>
      <c r="CS202" s="373"/>
      <c r="CT202" s="373"/>
      <c r="CU202" s="373"/>
      <c r="CV202" s="373"/>
      <c r="CW202" s="373"/>
      <c r="CX202" s="373"/>
      <c r="CY202" s="373"/>
      <c r="CZ202" s="373"/>
      <c r="DA202" s="373"/>
      <c r="DB202" s="373"/>
      <c r="DC202" s="375"/>
    </row>
    <row r="203" spans="1:107">
      <c r="A203" s="365"/>
      <c r="B203" s="366"/>
      <c r="C203" s="349"/>
      <c r="D203" s="349"/>
      <c r="E203" s="349"/>
      <c r="F203" s="349"/>
      <c r="G203" s="349"/>
      <c r="H203" s="349"/>
      <c r="I203" s="349"/>
      <c r="J203" s="349"/>
      <c r="K203" s="349"/>
      <c r="L203" s="349"/>
      <c r="M203" s="349"/>
      <c r="N203" s="349"/>
      <c r="O203" s="349"/>
      <c r="P203" s="354"/>
      <c r="Q203" s="349"/>
      <c r="R203" s="354"/>
      <c r="S203" s="354"/>
      <c r="T203" s="352"/>
      <c r="U203" s="353"/>
      <c r="V203" s="353"/>
      <c r="W203" s="353"/>
      <c r="X203" s="349"/>
      <c r="Y203" s="349"/>
      <c r="Z203" s="349"/>
      <c r="AA203" s="349"/>
      <c r="AB203" s="349"/>
      <c r="AC203" s="349"/>
      <c r="AD203" s="349"/>
      <c r="AE203" s="349"/>
      <c r="AF203" s="349"/>
      <c r="AG203" s="349"/>
      <c r="AH203" s="349"/>
      <c r="AI203" s="349"/>
      <c r="AJ203" s="349"/>
      <c r="AK203" s="349"/>
      <c r="AL203" s="349"/>
      <c r="AM203" s="349"/>
      <c r="AN203" s="349"/>
      <c r="AO203" s="349"/>
      <c r="AP203" s="354"/>
      <c r="AQ203" s="352"/>
      <c r="AR203" s="353"/>
      <c r="AS203" s="349"/>
      <c r="AT203" s="349"/>
      <c r="AU203" s="349"/>
      <c r="AV203" s="352"/>
      <c r="AW203" s="353"/>
      <c r="AX203" s="349"/>
      <c r="AY203" s="352"/>
      <c r="AZ203" s="372"/>
      <c r="BA203" s="349"/>
      <c r="BB203" s="373"/>
      <c r="BC203" s="373"/>
      <c r="BD203" s="373"/>
      <c r="BE203" s="373"/>
      <c r="BF203" s="373"/>
      <c r="BG203" s="373"/>
      <c r="BH203" s="373"/>
      <c r="BI203" s="373"/>
      <c r="BJ203" s="373"/>
      <c r="BK203" s="373"/>
      <c r="BL203" s="373"/>
      <c r="BM203" s="373"/>
      <c r="BN203" s="373"/>
      <c r="BO203" s="373"/>
      <c r="BP203" s="373"/>
      <c r="BQ203" s="373"/>
      <c r="BR203" s="373"/>
      <c r="BS203" s="373"/>
      <c r="BT203" s="373"/>
      <c r="BU203" s="373"/>
      <c r="BV203" s="373"/>
      <c r="BW203" s="373"/>
      <c r="BX203" s="373"/>
      <c r="BY203" s="373"/>
      <c r="BZ203" s="373"/>
      <c r="CA203" s="373"/>
      <c r="CB203" s="373"/>
      <c r="CC203" s="373"/>
      <c r="CD203" s="373"/>
      <c r="CE203" s="373"/>
      <c r="CF203" s="373"/>
      <c r="CG203" s="373"/>
      <c r="CH203" s="373"/>
      <c r="CI203" s="373"/>
      <c r="CJ203" s="373"/>
      <c r="CK203" s="373"/>
      <c r="CL203" s="373"/>
      <c r="CM203" s="373"/>
      <c r="CN203" s="373"/>
      <c r="CO203" s="373"/>
      <c r="CP203" s="373"/>
      <c r="CQ203" s="373"/>
      <c r="CR203" s="373"/>
      <c r="CS203" s="373"/>
      <c r="CT203" s="373"/>
      <c r="CU203" s="373"/>
      <c r="CV203" s="373"/>
      <c r="CW203" s="373"/>
      <c r="CX203" s="373"/>
      <c r="CY203" s="373"/>
      <c r="CZ203" s="373"/>
      <c r="DA203" s="373"/>
      <c r="DB203" s="373"/>
      <c r="DC203" s="375"/>
    </row>
    <row r="204" spans="1:107" ht="17.25">
      <c r="A204" s="365"/>
      <c r="B204" s="353"/>
      <c r="C204" s="425"/>
      <c r="D204" s="353"/>
      <c r="E204" s="349"/>
      <c r="F204" s="349"/>
      <c r="G204" s="349"/>
      <c r="H204" s="349"/>
      <c r="I204" s="349"/>
      <c r="J204" s="349"/>
      <c r="K204" s="349"/>
      <c r="L204" s="349"/>
      <c r="M204" s="349"/>
      <c r="N204" s="349"/>
      <c r="O204" s="349"/>
      <c r="P204" s="354"/>
      <c r="Q204" s="354"/>
      <c r="R204" s="354"/>
      <c r="S204" s="354"/>
      <c r="T204" s="352"/>
      <c r="U204" s="353"/>
      <c r="V204" s="353"/>
      <c r="W204" s="353"/>
      <c r="X204" s="349"/>
      <c r="Y204" s="349"/>
      <c r="Z204" s="349"/>
      <c r="AA204" s="349"/>
      <c r="AB204" s="349"/>
      <c r="AC204" s="349"/>
      <c r="AD204" s="349"/>
      <c r="AE204" s="349"/>
      <c r="AF204" s="349"/>
      <c r="AG204" s="349"/>
      <c r="AH204" s="349"/>
      <c r="AI204" s="349"/>
      <c r="AJ204" s="349"/>
      <c r="AK204" s="349"/>
      <c r="AL204" s="349"/>
      <c r="AM204" s="349"/>
      <c r="AN204" s="349"/>
      <c r="AO204" s="349"/>
      <c r="AP204" s="354"/>
      <c r="AQ204" s="352"/>
      <c r="AR204" s="353"/>
      <c r="AS204" s="349"/>
      <c r="AT204" s="349"/>
      <c r="AU204" s="349"/>
      <c r="AV204" s="352"/>
      <c r="AW204" s="353"/>
      <c r="AX204" s="349"/>
      <c r="AY204" s="352"/>
      <c r="AZ204" s="372"/>
      <c r="BA204" s="373"/>
      <c r="BB204" s="373"/>
      <c r="BC204" s="373"/>
      <c r="BD204" s="373"/>
      <c r="BE204" s="373"/>
      <c r="BF204" s="373"/>
      <c r="BG204" s="373"/>
      <c r="BH204" s="373"/>
      <c r="BI204" s="373"/>
      <c r="BJ204" s="373"/>
      <c r="BK204" s="373"/>
      <c r="BL204" s="373"/>
      <c r="BM204" s="373"/>
      <c r="BN204" s="373"/>
      <c r="BO204" s="373"/>
      <c r="BP204" s="373"/>
      <c r="BQ204" s="373"/>
      <c r="BR204" s="373"/>
      <c r="BS204" s="373"/>
      <c r="BT204" s="373"/>
      <c r="BU204" s="373"/>
      <c r="BV204" s="373"/>
      <c r="BW204" s="373"/>
      <c r="BX204" s="373"/>
      <c r="BY204" s="373"/>
      <c r="BZ204" s="373"/>
      <c r="CA204" s="373"/>
      <c r="CB204" s="373"/>
      <c r="CC204" s="373"/>
      <c r="CD204" s="373"/>
      <c r="CE204" s="373"/>
      <c r="CF204" s="373"/>
      <c r="CG204" s="373"/>
      <c r="CH204" s="373"/>
      <c r="CI204" s="373"/>
      <c r="CJ204" s="373"/>
      <c r="CK204" s="373"/>
      <c r="CL204" s="373"/>
      <c r="CM204" s="373"/>
      <c r="CN204" s="373"/>
      <c r="CO204" s="373"/>
      <c r="CP204" s="373"/>
      <c r="CQ204" s="373"/>
      <c r="CR204" s="373"/>
      <c r="CS204" s="373"/>
      <c r="CT204" s="373"/>
      <c r="CU204" s="373"/>
      <c r="CV204" s="373"/>
      <c r="CW204" s="373"/>
      <c r="CX204" s="373"/>
      <c r="CY204" s="373"/>
      <c r="CZ204" s="373"/>
      <c r="DA204" s="373"/>
      <c r="DB204" s="373"/>
      <c r="DC204" s="375"/>
    </row>
    <row r="205" spans="1:107">
      <c r="A205" s="365"/>
      <c r="B205" s="353"/>
      <c r="C205" s="349"/>
      <c r="D205" s="349"/>
      <c r="E205" s="349"/>
      <c r="F205" s="349"/>
      <c r="G205" s="349"/>
      <c r="H205" s="349"/>
      <c r="I205" s="349"/>
      <c r="J205" s="349"/>
      <c r="K205" s="349"/>
      <c r="L205" s="349"/>
      <c r="M205" s="349"/>
      <c r="N205" s="349"/>
      <c r="O205" s="349"/>
      <c r="P205" s="354"/>
      <c r="Q205" s="354"/>
      <c r="R205" s="354"/>
      <c r="S205" s="354"/>
      <c r="T205" s="352"/>
      <c r="U205" s="353"/>
      <c r="V205" s="353"/>
      <c r="W205" s="353"/>
      <c r="X205" s="349"/>
      <c r="Y205" s="349"/>
      <c r="Z205" s="349"/>
      <c r="AA205" s="349"/>
      <c r="AB205" s="349"/>
      <c r="AC205" s="349"/>
      <c r="AD205" s="349"/>
      <c r="AE205" s="349"/>
      <c r="AF205" s="349"/>
      <c r="AG205" s="349"/>
      <c r="AH205" s="349"/>
      <c r="AI205" s="349"/>
      <c r="AJ205" s="349"/>
      <c r="AK205" s="349"/>
      <c r="AL205" s="349"/>
      <c r="AM205" s="349"/>
      <c r="AN205" s="349"/>
      <c r="AO205" s="349"/>
      <c r="AP205" s="354"/>
      <c r="AQ205" s="352"/>
      <c r="AR205" s="353"/>
      <c r="AS205" s="349"/>
      <c r="AT205" s="349"/>
      <c r="AU205" s="349"/>
      <c r="AV205" s="352"/>
      <c r="AW205" s="353"/>
      <c r="AX205" s="349"/>
      <c r="AY205" s="352"/>
      <c r="AZ205" s="372"/>
      <c r="BA205" s="373"/>
      <c r="BB205" s="373"/>
      <c r="BC205" s="373"/>
      <c r="BD205" s="373"/>
      <c r="BE205" s="373"/>
      <c r="BF205" s="373"/>
      <c r="BG205" s="373"/>
      <c r="BH205" s="373"/>
      <c r="BI205" s="373"/>
      <c r="BJ205" s="373"/>
      <c r="BK205" s="373"/>
      <c r="BL205" s="373"/>
      <c r="BM205" s="373"/>
      <c r="BN205" s="373"/>
      <c r="BO205" s="373"/>
      <c r="BP205" s="373"/>
      <c r="BQ205" s="373"/>
      <c r="BR205" s="373"/>
      <c r="BS205" s="373"/>
      <c r="BT205" s="373"/>
      <c r="BU205" s="373"/>
      <c r="BV205" s="373"/>
      <c r="BW205" s="373"/>
      <c r="BX205" s="373"/>
      <c r="BY205" s="373"/>
      <c r="BZ205" s="373"/>
      <c r="CA205" s="373"/>
      <c r="CB205" s="373"/>
      <c r="CC205" s="373"/>
      <c r="CD205" s="373"/>
      <c r="CE205" s="373"/>
      <c r="CF205" s="373"/>
      <c r="CG205" s="373"/>
      <c r="CH205" s="373"/>
      <c r="CI205" s="373"/>
      <c r="CJ205" s="373"/>
      <c r="CK205" s="373"/>
      <c r="CL205" s="373"/>
      <c r="CM205" s="373"/>
      <c r="CN205" s="373"/>
      <c r="CO205" s="373"/>
      <c r="CP205" s="373"/>
      <c r="CQ205" s="373"/>
      <c r="CR205" s="373"/>
      <c r="CS205" s="373"/>
      <c r="CT205" s="373"/>
      <c r="CU205" s="373"/>
      <c r="CV205" s="373"/>
      <c r="CW205" s="373"/>
      <c r="CX205" s="373"/>
      <c r="CY205" s="373"/>
      <c r="CZ205" s="373"/>
      <c r="DA205" s="373"/>
      <c r="DB205" s="373"/>
      <c r="DC205" s="375"/>
    </row>
    <row r="206" spans="1:107">
      <c r="A206" s="365"/>
      <c r="B206" s="353"/>
      <c r="C206" s="349"/>
      <c r="D206" s="349"/>
      <c r="E206" s="349"/>
      <c r="F206" s="349"/>
      <c r="G206" s="349"/>
      <c r="H206" s="349"/>
      <c r="I206" s="349"/>
      <c r="J206" s="349"/>
      <c r="K206" s="349"/>
      <c r="L206" s="349"/>
      <c r="M206" s="349"/>
      <c r="N206" s="349"/>
      <c r="O206" s="349"/>
      <c r="P206" s="354"/>
      <c r="Q206" s="354"/>
      <c r="R206" s="354"/>
      <c r="S206" s="354"/>
      <c r="T206" s="352"/>
      <c r="U206" s="353"/>
      <c r="V206" s="353"/>
      <c r="W206" s="353"/>
      <c r="X206" s="349"/>
      <c r="Y206" s="349"/>
      <c r="Z206" s="349"/>
      <c r="AA206" s="349"/>
      <c r="AB206" s="349"/>
      <c r="AC206" s="349"/>
      <c r="AD206" s="349"/>
      <c r="AE206" s="349"/>
      <c r="AF206" s="349"/>
      <c r="AG206" s="349"/>
      <c r="AH206" s="349"/>
      <c r="AI206" s="349"/>
      <c r="AJ206" s="349"/>
      <c r="AK206" s="349"/>
      <c r="AL206" s="349"/>
      <c r="AM206" s="349"/>
      <c r="AN206" s="349"/>
      <c r="AO206" s="349"/>
      <c r="AP206" s="354"/>
      <c r="AQ206" s="352"/>
      <c r="AR206" s="353"/>
      <c r="AS206" s="349"/>
      <c r="AT206" s="349"/>
      <c r="AU206" s="349"/>
      <c r="AV206" s="352"/>
      <c r="AW206" s="353"/>
      <c r="AX206" s="349"/>
      <c r="AY206" s="352"/>
      <c r="AZ206" s="372"/>
      <c r="BA206" s="373"/>
      <c r="BB206" s="373"/>
      <c r="BC206" s="373"/>
      <c r="BD206" s="373"/>
      <c r="BE206" s="373"/>
      <c r="BF206" s="373"/>
      <c r="BG206" s="373"/>
      <c r="BH206" s="373"/>
      <c r="BI206" s="373"/>
      <c r="BJ206" s="373"/>
      <c r="BK206" s="373"/>
      <c r="BL206" s="373"/>
      <c r="BM206" s="373"/>
      <c r="BN206" s="373"/>
      <c r="BO206" s="373"/>
      <c r="BP206" s="373"/>
      <c r="BQ206" s="373"/>
      <c r="BR206" s="373"/>
      <c r="BS206" s="373"/>
      <c r="BT206" s="373"/>
      <c r="BU206" s="373"/>
      <c r="BV206" s="373"/>
      <c r="BW206" s="373"/>
      <c r="BX206" s="373"/>
      <c r="BY206" s="373"/>
      <c r="BZ206" s="373"/>
      <c r="CA206" s="373"/>
      <c r="CB206" s="373"/>
      <c r="CC206" s="373"/>
      <c r="CD206" s="373"/>
      <c r="CE206" s="373"/>
      <c r="CF206" s="373"/>
      <c r="CG206" s="373"/>
      <c r="CH206" s="373"/>
      <c r="CI206" s="373"/>
      <c r="CJ206" s="373"/>
      <c r="CK206" s="373"/>
      <c r="CL206" s="373"/>
      <c r="CM206" s="373"/>
      <c r="CN206" s="373"/>
      <c r="CO206" s="373"/>
      <c r="CP206" s="373"/>
      <c r="CQ206" s="373"/>
      <c r="CR206" s="373"/>
      <c r="CS206" s="373"/>
      <c r="CT206" s="373"/>
      <c r="CU206" s="373"/>
      <c r="CV206" s="373"/>
      <c r="CW206" s="373"/>
      <c r="CX206" s="373"/>
      <c r="CY206" s="373"/>
      <c r="CZ206" s="373"/>
      <c r="DA206" s="373"/>
      <c r="DB206" s="373"/>
      <c r="DC206" s="375"/>
    </row>
    <row r="207" spans="1:107">
      <c r="A207" s="365"/>
      <c r="B207" s="353"/>
      <c r="C207" s="349"/>
      <c r="D207" s="349"/>
      <c r="E207" s="349"/>
      <c r="F207" s="349"/>
      <c r="G207" s="349"/>
      <c r="H207" s="349"/>
      <c r="I207" s="349"/>
      <c r="J207" s="349"/>
      <c r="K207" s="349"/>
      <c r="L207" s="349"/>
      <c r="M207" s="349"/>
      <c r="N207" s="349"/>
      <c r="O207" s="349"/>
      <c r="P207" s="354"/>
      <c r="Q207" s="354"/>
      <c r="R207" s="354"/>
      <c r="S207" s="354"/>
      <c r="T207" s="352"/>
      <c r="U207" s="353"/>
      <c r="V207" s="353"/>
      <c r="W207" s="353"/>
      <c r="X207" s="349"/>
      <c r="Y207" s="349"/>
      <c r="Z207" s="349"/>
      <c r="AA207" s="349"/>
      <c r="AB207" s="349"/>
      <c r="AC207" s="349"/>
      <c r="AD207" s="349"/>
      <c r="AE207" s="349"/>
      <c r="AF207" s="349"/>
      <c r="AG207" s="349"/>
      <c r="AH207" s="349"/>
      <c r="AI207" s="349"/>
      <c r="AJ207" s="349"/>
      <c r="AK207" s="349"/>
      <c r="AL207" s="349"/>
      <c r="AM207" s="349"/>
      <c r="AN207" s="349"/>
      <c r="AO207" s="349"/>
      <c r="AP207" s="354"/>
      <c r="AQ207" s="352"/>
      <c r="AR207" s="353"/>
      <c r="AS207" s="349"/>
      <c r="AT207" s="349"/>
      <c r="AU207" s="349"/>
      <c r="AV207" s="352"/>
      <c r="AW207" s="353"/>
      <c r="AX207" s="349"/>
      <c r="AY207" s="352"/>
      <c r="AZ207" s="372"/>
      <c r="BA207" s="373"/>
      <c r="BB207" s="373"/>
      <c r="BC207" s="373"/>
      <c r="BD207" s="373"/>
      <c r="BE207" s="373"/>
      <c r="BF207" s="373"/>
      <c r="BG207" s="373"/>
      <c r="BH207" s="373"/>
      <c r="BI207" s="373"/>
      <c r="BJ207" s="373"/>
      <c r="BK207" s="373"/>
      <c r="BL207" s="373"/>
      <c r="BM207" s="373"/>
      <c r="BN207" s="373"/>
      <c r="BO207" s="373"/>
      <c r="BP207" s="373"/>
      <c r="BQ207" s="373"/>
      <c r="BR207" s="373"/>
      <c r="BS207" s="373"/>
      <c r="BT207" s="373"/>
      <c r="BU207" s="373"/>
      <c r="BV207" s="373"/>
      <c r="BW207" s="373"/>
      <c r="BX207" s="373"/>
      <c r="BY207" s="373"/>
      <c r="BZ207" s="373"/>
      <c r="CA207" s="373"/>
      <c r="CB207" s="373"/>
      <c r="CC207" s="373"/>
      <c r="CD207" s="373"/>
      <c r="CE207" s="373"/>
      <c r="CF207" s="373"/>
      <c r="CG207" s="373"/>
      <c r="CH207" s="373"/>
      <c r="CI207" s="373"/>
      <c r="CJ207" s="373"/>
      <c r="CK207" s="373"/>
      <c r="CL207" s="373"/>
      <c r="CM207" s="373"/>
      <c r="CN207" s="373"/>
      <c r="CO207" s="373"/>
      <c r="CP207" s="373"/>
      <c r="CQ207" s="373"/>
      <c r="CR207" s="373"/>
      <c r="CS207" s="373"/>
      <c r="CT207" s="373"/>
      <c r="CU207" s="373"/>
      <c r="CV207" s="373"/>
      <c r="CW207" s="373"/>
      <c r="CX207" s="373"/>
      <c r="CY207" s="373"/>
      <c r="CZ207" s="373"/>
      <c r="DA207" s="373"/>
      <c r="DB207" s="373"/>
      <c r="DC207" s="375"/>
    </row>
    <row r="208" spans="1:107">
      <c r="A208" s="376"/>
      <c r="B208" s="353"/>
      <c r="C208" s="349"/>
      <c r="D208" s="349"/>
      <c r="E208" s="349"/>
      <c r="F208" s="349"/>
      <c r="G208" s="349"/>
      <c r="H208" s="349"/>
      <c r="I208" s="349"/>
      <c r="J208" s="349"/>
      <c r="K208" s="349"/>
      <c r="L208" s="349"/>
      <c r="M208" s="349"/>
      <c r="N208" s="349"/>
      <c r="O208" s="349"/>
      <c r="P208" s="354"/>
      <c r="Q208" s="354"/>
      <c r="R208" s="354"/>
      <c r="S208" s="354"/>
      <c r="T208" s="352">
        <f t="shared" ref="T208" si="67">SUM(C208:O208)</f>
        <v>0</v>
      </c>
      <c r="U208" s="353"/>
      <c r="V208" s="353"/>
      <c r="W208" s="353"/>
      <c r="X208" s="349"/>
      <c r="Y208" s="349"/>
      <c r="Z208" s="349"/>
      <c r="AA208" s="349"/>
      <c r="AB208" s="349"/>
      <c r="AC208" s="349"/>
      <c r="AD208" s="349"/>
      <c r="AE208" s="349"/>
      <c r="AF208" s="349"/>
      <c r="AG208" s="349"/>
      <c r="AH208" s="349"/>
      <c r="AI208" s="349"/>
      <c r="AJ208" s="349"/>
      <c r="AK208" s="349"/>
      <c r="AL208" s="349"/>
      <c r="AM208" s="349"/>
      <c r="AN208" s="349"/>
      <c r="AO208" s="349"/>
      <c r="AP208" s="354"/>
      <c r="AQ208" s="352"/>
      <c r="AR208" s="353"/>
      <c r="AS208" s="349"/>
      <c r="AT208" s="349"/>
      <c r="AU208" s="349"/>
      <c r="AV208" s="352"/>
      <c r="AW208" s="353"/>
      <c r="AX208" s="349"/>
      <c r="AY208" s="352"/>
      <c r="AZ208" s="372"/>
      <c r="BA208" s="373"/>
      <c r="BB208" s="373"/>
      <c r="BC208" s="373"/>
      <c r="BD208" s="373"/>
      <c r="BE208" s="373"/>
      <c r="BF208" s="373"/>
      <c r="BG208" s="373"/>
      <c r="BH208" s="373"/>
      <c r="BI208" s="373"/>
      <c r="BJ208" s="373"/>
      <c r="BK208" s="373"/>
      <c r="BL208" s="373"/>
      <c r="BM208" s="373"/>
      <c r="BN208" s="373"/>
      <c r="BO208" s="373"/>
      <c r="BP208" s="373"/>
      <c r="BQ208" s="373"/>
      <c r="BR208" s="373"/>
      <c r="BS208" s="373"/>
      <c r="BT208" s="373"/>
      <c r="BU208" s="373"/>
      <c r="BV208" s="373"/>
      <c r="BW208" s="373"/>
      <c r="BX208" s="373"/>
      <c r="BY208" s="373"/>
      <c r="BZ208" s="373"/>
      <c r="CA208" s="373"/>
      <c r="CB208" s="373"/>
      <c r="CC208" s="373"/>
      <c r="CD208" s="373"/>
      <c r="CE208" s="373"/>
      <c r="CF208" s="373"/>
      <c r="CG208" s="373"/>
      <c r="CH208" s="373"/>
      <c r="CI208" s="373"/>
      <c r="CJ208" s="373"/>
      <c r="CK208" s="373"/>
      <c r="CL208" s="373"/>
      <c r="CM208" s="373"/>
      <c r="CN208" s="373"/>
      <c r="CO208" s="373"/>
      <c r="CP208" s="373"/>
      <c r="CQ208" s="373"/>
      <c r="CR208" s="373"/>
      <c r="CS208" s="373"/>
      <c r="CT208" s="373"/>
      <c r="CU208" s="373"/>
      <c r="CV208" s="373"/>
      <c r="CW208" s="373"/>
      <c r="CX208" s="373"/>
      <c r="CY208" s="373"/>
      <c r="CZ208" s="373"/>
      <c r="DA208" s="373"/>
      <c r="DB208" s="373"/>
      <c r="DC208" s="375"/>
    </row>
    <row r="209" spans="1:107" ht="18.75">
      <c r="A209" s="376"/>
      <c r="B209" s="377" t="s">
        <v>171</v>
      </c>
      <c r="C209" s="378">
        <f t="shared" ref="C209:S209" si="68">SUM(C190:C208)</f>
        <v>1215</v>
      </c>
      <c r="D209" s="378">
        <f t="shared" si="68"/>
        <v>0</v>
      </c>
      <c r="E209" s="378">
        <f t="shared" si="68"/>
        <v>36</v>
      </c>
      <c r="F209" s="378">
        <f t="shared" si="68"/>
        <v>0</v>
      </c>
      <c r="G209" s="378">
        <f t="shared" si="68"/>
        <v>0</v>
      </c>
      <c r="H209" s="378">
        <f t="shared" si="68"/>
        <v>0</v>
      </c>
      <c r="I209" s="378">
        <f t="shared" si="68"/>
        <v>0</v>
      </c>
      <c r="J209" s="378">
        <f t="shared" si="68"/>
        <v>0</v>
      </c>
      <c r="K209" s="378">
        <f t="shared" si="68"/>
        <v>0</v>
      </c>
      <c r="L209" s="378">
        <f t="shared" si="68"/>
        <v>0</v>
      </c>
      <c r="M209" s="378">
        <f t="shared" si="68"/>
        <v>0</v>
      </c>
      <c r="N209" s="378">
        <f t="shared" si="68"/>
        <v>0</v>
      </c>
      <c r="O209" s="378">
        <f t="shared" si="68"/>
        <v>0</v>
      </c>
      <c r="P209" s="378">
        <f t="shared" si="68"/>
        <v>0</v>
      </c>
      <c r="Q209" s="378">
        <f t="shared" si="68"/>
        <v>0</v>
      </c>
      <c r="R209" s="378">
        <f t="shared" si="68"/>
        <v>0</v>
      </c>
      <c r="S209" s="378">
        <f t="shared" si="68"/>
        <v>0</v>
      </c>
      <c r="T209" s="380">
        <f t="shared" ref="T209:AM209" si="69">SUM(T188:T208)</f>
        <v>36</v>
      </c>
      <c r="U209" s="381">
        <f t="shared" si="69"/>
        <v>810</v>
      </c>
      <c r="V209" s="381">
        <f t="shared" si="69"/>
        <v>0</v>
      </c>
      <c r="W209" s="381">
        <f t="shared" si="69"/>
        <v>0</v>
      </c>
      <c r="X209" s="378">
        <f t="shared" si="69"/>
        <v>0</v>
      </c>
      <c r="Y209" s="378">
        <f t="shared" si="69"/>
        <v>0</v>
      </c>
      <c r="Z209" s="378">
        <f t="shared" si="69"/>
        <v>810</v>
      </c>
      <c r="AA209" s="378">
        <f t="shared" si="69"/>
        <v>810</v>
      </c>
      <c r="AB209" s="378">
        <f t="shared" si="69"/>
        <v>0</v>
      </c>
      <c r="AC209" s="378">
        <f t="shared" si="69"/>
        <v>0</v>
      </c>
      <c r="AD209" s="378">
        <f t="shared" si="69"/>
        <v>96</v>
      </c>
      <c r="AE209" s="378">
        <f t="shared" si="69"/>
        <v>0</v>
      </c>
      <c r="AF209" s="378">
        <f t="shared" si="69"/>
        <v>0</v>
      </c>
      <c r="AG209" s="378">
        <f t="shared" si="69"/>
        <v>0</v>
      </c>
      <c r="AH209" s="378">
        <f t="shared" si="69"/>
        <v>0</v>
      </c>
      <c r="AI209" s="378">
        <f t="shared" si="69"/>
        <v>0</v>
      </c>
      <c r="AJ209" s="378">
        <f t="shared" si="69"/>
        <v>0</v>
      </c>
      <c r="AK209" s="378">
        <f t="shared" si="69"/>
        <v>0</v>
      </c>
      <c r="AL209" s="378">
        <f t="shared" si="69"/>
        <v>0</v>
      </c>
      <c r="AM209" s="378">
        <f t="shared" si="69"/>
        <v>0</v>
      </c>
      <c r="AN209" s="378">
        <f>SUM(AN188:AN208)*4</f>
        <v>528</v>
      </c>
      <c r="AO209" s="378">
        <f>SUM(AO188:AO208)*4</f>
        <v>24</v>
      </c>
      <c r="AP209" s="378">
        <f>SUM(AP188:AP208)*4</f>
        <v>0</v>
      </c>
      <c r="AQ209" s="380">
        <f t="shared" ref="AQ209:BW209" si="70">SUM(AQ188:AQ208)</f>
        <v>142</v>
      </c>
      <c r="AR209" s="381">
        <f t="shared" si="70"/>
        <v>503</v>
      </c>
      <c r="AS209" s="378">
        <f t="shared" si="70"/>
        <v>36</v>
      </c>
      <c r="AT209" s="378">
        <f t="shared" si="70"/>
        <v>0</v>
      </c>
      <c r="AU209" s="378">
        <f t="shared" si="70"/>
        <v>0</v>
      </c>
      <c r="AV209" s="380">
        <f t="shared" si="70"/>
        <v>0</v>
      </c>
      <c r="AW209" s="381">
        <f t="shared" si="70"/>
        <v>714</v>
      </c>
      <c r="AX209" s="378">
        <f t="shared" si="70"/>
        <v>714</v>
      </c>
      <c r="AY209" s="380">
        <f t="shared" si="70"/>
        <v>539</v>
      </c>
      <c r="AZ209" s="381">
        <f t="shared" si="70"/>
        <v>0</v>
      </c>
      <c r="BA209" s="378">
        <f t="shared" si="70"/>
        <v>2</v>
      </c>
      <c r="BB209" s="378">
        <f t="shared" si="70"/>
        <v>0</v>
      </c>
      <c r="BC209" s="378">
        <f t="shared" si="70"/>
        <v>0</v>
      </c>
      <c r="BD209" s="378">
        <f t="shared" si="70"/>
        <v>0</v>
      </c>
      <c r="BE209" s="378">
        <f t="shared" si="70"/>
        <v>0</v>
      </c>
      <c r="BF209" s="378">
        <f t="shared" si="70"/>
        <v>0</v>
      </c>
      <c r="BG209" s="378">
        <f t="shared" si="70"/>
        <v>0</v>
      </c>
      <c r="BH209" s="378">
        <f t="shared" si="70"/>
        <v>0</v>
      </c>
      <c r="BI209" s="378">
        <f t="shared" si="70"/>
        <v>0</v>
      </c>
      <c r="BJ209" s="378">
        <f t="shared" si="70"/>
        <v>0</v>
      </c>
      <c r="BK209" s="378">
        <f t="shared" si="70"/>
        <v>0</v>
      </c>
      <c r="BL209" s="378">
        <f t="shared" si="70"/>
        <v>0</v>
      </c>
      <c r="BM209" s="378">
        <f t="shared" si="70"/>
        <v>0</v>
      </c>
      <c r="BN209" s="378">
        <f t="shared" si="70"/>
        <v>0</v>
      </c>
      <c r="BO209" s="378">
        <f t="shared" si="70"/>
        <v>0</v>
      </c>
      <c r="BP209" s="378">
        <f t="shared" si="70"/>
        <v>0</v>
      </c>
      <c r="BQ209" s="378">
        <f t="shared" si="70"/>
        <v>0</v>
      </c>
      <c r="BR209" s="378">
        <f t="shared" si="70"/>
        <v>0</v>
      </c>
      <c r="BS209" s="378">
        <f t="shared" si="70"/>
        <v>12</v>
      </c>
      <c r="BT209" s="378">
        <f t="shared" si="70"/>
        <v>0</v>
      </c>
      <c r="BU209" s="378">
        <f t="shared" si="70"/>
        <v>0</v>
      </c>
      <c r="BV209" s="378">
        <f t="shared" si="70"/>
        <v>0</v>
      </c>
      <c r="BW209" s="378">
        <f t="shared" si="70"/>
        <v>9</v>
      </c>
      <c r="BX209" s="378"/>
      <c r="BY209" s="378">
        <f>SUM(BY188:BY208)</f>
        <v>2</v>
      </c>
      <c r="BZ209" s="378">
        <f>SUM(BZ188:BZ208)</f>
        <v>0</v>
      </c>
      <c r="CA209" s="378">
        <f>SUM(CA188:CA208)</f>
        <v>0</v>
      </c>
      <c r="CB209" s="378">
        <f>SUM(CB188:CB208)</f>
        <v>0</v>
      </c>
      <c r="CC209" s="378"/>
      <c r="CD209" s="378">
        <f t="shared" ref="CD209:CJ209" si="71">SUM(CD188:CD208)</f>
        <v>0</v>
      </c>
      <c r="CE209" s="378"/>
      <c r="CF209" s="378">
        <f t="shared" si="71"/>
        <v>0</v>
      </c>
      <c r="CG209" s="378"/>
      <c r="CH209" s="378">
        <f t="shared" si="71"/>
        <v>0</v>
      </c>
      <c r="CI209" s="378">
        <f t="shared" si="71"/>
        <v>0</v>
      </c>
      <c r="CJ209" s="378">
        <f t="shared" si="71"/>
        <v>0</v>
      </c>
      <c r="CK209" s="378"/>
      <c r="CL209" s="378"/>
      <c r="CM209" s="378">
        <f t="shared" ref="CM209" si="72">SUM(CM188:CM208)</f>
        <v>0</v>
      </c>
      <c r="CN209" s="378">
        <f t="shared" ref="CN209" si="73">SUM(CN188:CN208)</f>
        <v>0</v>
      </c>
      <c r="CO209" s="378">
        <f t="shared" ref="CO209" si="74">SUM(CO188:CO208)</f>
        <v>0</v>
      </c>
      <c r="CP209" s="378">
        <f t="shared" ref="CP209" si="75">SUM(CP188:CP208)</f>
        <v>0</v>
      </c>
      <c r="CQ209" s="378">
        <f t="shared" ref="CQ209:CS209" si="76">SUM(CQ188:CQ208)</f>
        <v>0</v>
      </c>
      <c r="CR209" s="378">
        <f t="shared" si="76"/>
        <v>0</v>
      </c>
      <c r="CS209" s="378">
        <f t="shared" si="76"/>
        <v>0</v>
      </c>
      <c r="CT209" s="378">
        <f t="shared" ref="CT209" si="77">SUM(CT188:CT208)</f>
        <v>0</v>
      </c>
      <c r="CU209" s="378">
        <f t="shared" ref="CU209" si="78">SUM(CU188:CU208)</f>
        <v>0</v>
      </c>
      <c r="CV209" s="378">
        <f t="shared" ref="CV209" si="79">SUM(CV188:CV208)</f>
        <v>0</v>
      </c>
      <c r="CW209" s="378">
        <f t="shared" ref="CW209:CY209" si="80">SUM(CW188:CW208)</f>
        <v>0</v>
      </c>
      <c r="CX209" s="378">
        <f t="shared" si="80"/>
        <v>0</v>
      </c>
      <c r="CY209" s="378">
        <f t="shared" si="80"/>
        <v>0</v>
      </c>
      <c r="CZ209" s="378">
        <f t="shared" ref="CZ209" si="81">SUM(CZ188:CZ208)</f>
        <v>0</v>
      </c>
      <c r="DA209" s="378">
        <f t="shared" ref="DA209" si="82">SUM(DA188:DA208)</f>
        <v>0</v>
      </c>
      <c r="DB209" s="378">
        <f t="shared" ref="DB209" si="83">SUM(DB188:DB208)</f>
        <v>0</v>
      </c>
      <c r="DC209" s="380">
        <f t="shared" ref="DC209" si="84">SUM(DC188:DC208)</f>
        <v>0</v>
      </c>
    </row>
    <row r="210" spans="1:107" ht="18.75">
      <c r="A210" s="376"/>
      <c r="B210" s="377"/>
      <c r="C210" s="378"/>
      <c r="D210" s="378"/>
      <c r="E210" s="378"/>
      <c r="F210" s="378"/>
      <c r="G210" s="378"/>
      <c r="H210" s="378"/>
      <c r="I210" s="378"/>
      <c r="J210" s="378"/>
      <c r="K210" s="378"/>
      <c r="L210" s="378"/>
      <c r="M210" s="378"/>
      <c r="N210" s="378"/>
      <c r="O210" s="378"/>
      <c r="P210" s="379"/>
      <c r="Q210" s="379"/>
      <c r="R210" s="379"/>
      <c r="S210" s="379"/>
      <c r="T210" s="380"/>
      <c r="U210" s="381"/>
      <c r="V210" s="381"/>
      <c r="W210" s="381"/>
      <c r="X210" s="378"/>
      <c r="Y210" s="378"/>
      <c r="Z210" s="378"/>
      <c r="AA210" s="378"/>
      <c r="AB210" s="378"/>
      <c r="AC210" s="378"/>
      <c r="AD210" s="378"/>
      <c r="AE210" s="378"/>
      <c r="AF210" s="378"/>
      <c r="AG210" s="378"/>
      <c r="AH210" s="378"/>
      <c r="AI210" s="378"/>
      <c r="AJ210" s="378"/>
      <c r="AK210" s="378"/>
      <c r="AL210" s="378"/>
      <c r="AM210" s="378"/>
      <c r="AN210" s="378"/>
      <c r="AO210" s="378"/>
      <c r="AP210" s="379"/>
      <c r="AQ210" s="380"/>
      <c r="AR210" s="381"/>
      <c r="AS210" s="378"/>
      <c r="AT210" s="378"/>
      <c r="AU210" s="379"/>
      <c r="AV210" s="380"/>
      <c r="AW210" s="381"/>
      <c r="AX210" s="378"/>
      <c r="AY210" s="380"/>
      <c r="AZ210" s="382"/>
      <c r="BA210" s="383"/>
      <c r="BB210" s="383"/>
      <c r="BC210" s="383"/>
      <c r="BD210" s="383"/>
      <c r="BE210" s="383"/>
      <c r="BF210" s="383"/>
      <c r="BG210" s="383"/>
      <c r="BH210" s="383"/>
      <c r="BI210" s="383"/>
      <c r="BJ210" s="383"/>
      <c r="BK210" s="383"/>
      <c r="BL210" s="383"/>
      <c r="BM210" s="383"/>
      <c r="BN210" s="383"/>
      <c r="BO210" s="383"/>
      <c r="BP210" s="383"/>
      <c r="BQ210" s="383"/>
      <c r="BR210" s="383"/>
      <c r="BS210" s="383"/>
      <c r="BT210" s="383"/>
      <c r="BU210" s="383"/>
      <c r="BV210" s="383"/>
      <c r="BW210" s="383"/>
      <c r="BX210" s="383"/>
      <c r="BY210" s="383"/>
      <c r="BZ210" s="383"/>
      <c r="CA210" s="383"/>
      <c r="CB210" s="383"/>
      <c r="CC210" s="383"/>
      <c r="CD210" s="383"/>
      <c r="CE210" s="383"/>
      <c r="CF210" s="383"/>
      <c r="CG210" s="383"/>
      <c r="CH210" s="383"/>
      <c r="CI210" s="383"/>
      <c r="CJ210" s="383"/>
      <c r="CK210" s="383"/>
      <c r="CL210" s="383"/>
      <c r="CM210" s="383"/>
      <c r="CN210" s="383"/>
      <c r="CO210" s="383"/>
      <c r="CP210" s="383"/>
      <c r="CQ210" s="383"/>
      <c r="CR210" s="383"/>
      <c r="CS210" s="383"/>
      <c r="CT210" s="383"/>
      <c r="CU210" s="383"/>
      <c r="CV210" s="383"/>
      <c r="CW210" s="383"/>
      <c r="CX210" s="383"/>
      <c r="CY210" s="383"/>
      <c r="CZ210" s="383"/>
      <c r="DA210" s="383"/>
      <c r="DB210" s="383"/>
      <c r="DC210" s="385"/>
    </row>
    <row r="211" spans="1:107">
      <c r="A211" s="376"/>
      <c r="B211" s="386" t="s">
        <v>267</v>
      </c>
      <c r="C211" s="349"/>
      <c r="D211" s="349"/>
      <c r="E211" s="349"/>
      <c r="F211" s="349"/>
      <c r="G211" s="349"/>
      <c r="H211" s="349"/>
      <c r="I211" s="349"/>
      <c r="J211" s="349"/>
      <c r="K211" s="349"/>
      <c r="L211" s="349"/>
      <c r="M211" s="349"/>
      <c r="N211" s="349"/>
      <c r="O211" s="349"/>
      <c r="P211" s="354"/>
      <c r="Q211" s="354"/>
      <c r="R211" s="354"/>
      <c r="S211" s="354"/>
      <c r="T211" s="359"/>
      <c r="U211" s="353"/>
      <c r="V211" s="353"/>
      <c r="W211" s="353"/>
      <c r="X211" s="349"/>
      <c r="Y211" s="349"/>
      <c r="Z211" s="349"/>
      <c r="AA211" s="349"/>
      <c r="AB211" s="349"/>
      <c r="AC211" s="349"/>
      <c r="AD211" s="349"/>
      <c r="AE211" s="349"/>
      <c r="AF211" s="349"/>
      <c r="AG211" s="349"/>
      <c r="AH211" s="349"/>
      <c r="AI211" s="349"/>
      <c r="AJ211" s="349"/>
      <c r="AK211" s="349"/>
      <c r="AL211" s="349"/>
      <c r="AM211" s="349"/>
      <c r="AN211" s="349"/>
      <c r="AO211" s="349"/>
      <c r="AP211" s="354"/>
      <c r="AQ211" s="352"/>
      <c r="AR211" s="355"/>
      <c r="AS211" s="356"/>
      <c r="AT211" s="356"/>
      <c r="AU211" s="387"/>
      <c r="AV211" s="357"/>
      <c r="AW211" s="353"/>
      <c r="AX211" s="349"/>
      <c r="AY211" s="352"/>
      <c r="AZ211" s="372"/>
      <c r="BA211" s="373"/>
      <c r="BB211" s="373"/>
      <c r="BC211" s="373"/>
      <c r="BD211" s="373"/>
      <c r="BE211" s="373"/>
      <c r="BF211" s="373"/>
      <c r="BG211" s="373"/>
      <c r="BH211" s="373"/>
      <c r="BI211" s="373"/>
      <c r="BJ211" s="373"/>
      <c r="BK211" s="373"/>
      <c r="BL211" s="373"/>
      <c r="BM211" s="373"/>
      <c r="BN211" s="373"/>
      <c r="BO211" s="373"/>
      <c r="BP211" s="373"/>
      <c r="BQ211" s="373"/>
      <c r="BR211" s="373"/>
      <c r="BS211" s="373"/>
      <c r="BT211" s="373"/>
      <c r="BU211" s="373"/>
      <c r="BV211" s="373"/>
      <c r="BW211" s="373"/>
      <c r="BX211" s="373"/>
      <c r="BY211" s="373"/>
      <c r="BZ211" s="373"/>
      <c r="CA211" s="373"/>
      <c r="CB211" s="373"/>
      <c r="CC211" s="373"/>
      <c r="CD211" s="373"/>
      <c r="CE211" s="373"/>
      <c r="CF211" s="373"/>
      <c r="CG211" s="373"/>
      <c r="CH211" s="373"/>
      <c r="CI211" s="373"/>
      <c r="CJ211" s="373"/>
      <c r="CK211" s="373"/>
      <c r="CL211" s="373"/>
      <c r="CM211" s="373"/>
      <c r="CN211" s="373"/>
      <c r="CO211" s="373"/>
      <c r="CP211" s="373"/>
      <c r="CQ211" s="373"/>
      <c r="CR211" s="373"/>
      <c r="CS211" s="373"/>
      <c r="CT211" s="373"/>
      <c r="CU211" s="373"/>
      <c r="CV211" s="373"/>
      <c r="CW211" s="373"/>
      <c r="CX211" s="373"/>
      <c r="CY211" s="373"/>
      <c r="CZ211" s="373"/>
      <c r="DA211" s="373"/>
      <c r="DB211" s="373"/>
      <c r="DC211" s="375"/>
    </row>
    <row r="212" spans="1:107">
      <c r="A212" s="376"/>
      <c r="B212" s="396"/>
      <c r="C212" s="349"/>
      <c r="D212" s="349"/>
      <c r="E212" s="349"/>
      <c r="F212" s="349"/>
      <c r="G212" s="349"/>
      <c r="H212" s="349"/>
      <c r="I212" s="349"/>
      <c r="J212" s="349"/>
      <c r="K212" s="349"/>
      <c r="L212" s="349"/>
      <c r="M212" s="349"/>
      <c r="N212" s="349"/>
      <c r="O212" s="349"/>
      <c r="P212" s="354"/>
      <c r="Q212" s="354"/>
      <c r="R212" s="354"/>
      <c r="S212" s="354"/>
      <c r="T212" s="352">
        <f t="shared" ref="T212" si="85">SUM(C212:O212)</f>
        <v>0</v>
      </c>
      <c r="U212" s="353"/>
      <c r="V212" s="353"/>
      <c r="W212" s="353"/>
      <c r="X212" s="349"/>
      <c r="Y212" s="349"/>
      <c r="Z212" s="349"/>
      <c r="AA212" s="349"/>
      <c r="AB212" s="349"/>
      <c r="AC212" s="349"/>
      <c r="AD212" s="349"/>
      <c r="AE212" s="349"/>
      <c r="AF212" s="349"/>
      <c r="AG212" s="349"/>
      <c r="AH212" s="349"/>
      <c r="AI212" s="349"/>
      <c r="AJ212" s="349"/>
      <c r="AK212" s="349"/>
      <c r="AL212" s="349"/>
      <c r="AM212" s="349"/>
      <c r="AN212" s="349"/>
      <c r="AO212" s="349"/>
      <c r="AP212" s="354"/>
      <c r="AQ212" s="352"/>
      <c r="AR212" s="355"/>
      <c r="AS212" s="356"/>
      <c r="AT212" s="356"/>
      <c r="AU212" s="387"/>
      <c r="AV212" s="357"/>
      <c r="AW212" s="353"/>
      <c r="AX212" s="349"/>
      <c r="AY212" s="352"/>
      <c r="AZ212" s="372"/>
      <c r="BA212" s="373"/>
      <c r="BB212" s="373"/>
      <c r="BC212" s="373"/>
      <c r="BD212" s="373"/>
      <c r="BE212" s="373"/>
      <c r="BF212" s="373"/>
      <c r="BG212" s="373"/>
      <c r="BH212" s="373"/>
      <c r="BI212" s="373"/>
      <c r="BJ212" s="373"/>
      <c r="BK212" s="373"/>
      <c r="BL212" s="373"/>
      <c r="BM212" s="373"/>
      <c r="BN212" s="373"/>
      <c r="BO212" s="373"/>
      <c r="BP212" s="373"/>
      <c r="BQ212" s="373"/>
      <c r="BR212" s="373"/>
      <c r="BS212" s="373"/>
      <c r="BT212" s="373"/>
      <c r="BU212" s="373"/>
      <c r="BV212" s="373"/>
      <c r="BW212" s="373"/>
      <c r="BX212" s="373"/>
      <c r="BY212" s="373"/>
      <c r="BZ212" s="373"/>
      <c r="CA212" s="373"/>
      <c r="CB212" s="373"/>
      <c r="CC212" s="374"/>
      <c r="CD212" s="374"/>
      <c r="CE212" s="374"/>
      <c r="CF212" s="374"/>
      <c r="CG212" s="374"/>
      <c r="CH212" s="374"/>
      <c r="CI212" s="374"/>
      <c r="CJ212" s="374"/>
      <c r="CK212" s="374"/>
      <c r="CL212" s="374"/>
      <c r="CM212" s="374"/>
      <c r="CN212" s="374"/>
      <c r="CO212" s="374"/>
      <c r="CP212" s="374"/>
      <c r="CQ212" s="374"/>
      <c r="CR212" s="374"/>
      <c r="CS212" s="374"/>
      <c r="CT212" s="374"/>
      <c r="CU212" s="374"/>
      <c r="CV212" s="374"/>
      <c r="CW212" s="374"/>
      <c r="CX212" s="374"/>
      <c r="CY212" s="374"/>
      <c r="CZ212" s="374"/>
      <c r="DA212" s="374"/>
      <c r="DB212" s="374"/>
      <c r="DC212" s="375"/>
    </row>
    <row r="213" spans="1:107">
      <c r="A213" s="394"/>
      <c r="B213" s="366" t="s">
        <v>484</v>
      </c>
      <c r="C213" s="392">
        <f>ROUNDUP(501.11+145.79,0)</f>
        <v>647</v>
      </c>
      <c r="D213" s="349"/>
      <c r="E213" s="349"/>
      <c r="F213" s="349"/>
      <c r="G213" s="349"/>
      <c r="H213" s="349"/>
      <c r="I213" s="349"/>
      <c r="J213" s="349"/>
      <c r="K213" s="349"/>
      <c r="L213" s="349"/>
      <c r="M213" s="349"/>
      <c r="N213" s="349"/>
      <c r="O213" s="349"/>
      <c r="P213" s="354"/>
      <c r="Q213" s="354"/>
      <c r="R213" s="354"/>
      <c r="S213" s="354"/>
      <c r="T213" s="352"/>
      <c r="U213" s="353"/>
      <c r="V213" s="353"/>
      <c r="W213" s="353"/>
      <c r="X213" s="349"/>
      <c r="Y213" s="349"/>
      <c r="Z213" s="349"/>
      <c r="AA213" s="349"/>
      <c r="AB213" s="349"/>
      <c r="AC213" s="349"/>
      <c r="AD213" s="349"/>
      <c r="AE213" s="349"/>
      <c r="AF213" s="349"/>
      <c r="AG213" s="349"/>
      <c r="AH213" s="349"/>
      <c r="AI213" s="349"/>
      <c r="AJ213" s="349"/>
      <c r="AK213" s="349"/>
      <c r="AL213" s="349"/>
      <c r="AM213" s="349"/>
      <c r="AN213" s="349"/>
      <c r="AO213" s="349"/>
      <c r="AP213" s="354"/>
      <c r="AQ213" s="352"/>
      <c r="AR213" s="355"/>
      <c r="AS213" s="356"/>
      <c r="AT213" s="356"/>
      <c r="AU213" s="387"/>
      <c r="AV213" s="357"/>
      <c r="AW213" s="353"/>
      <c r="AX213" s="349"/>
      <c r="AY213" s="352"/>
      <c r="AZ213" s="372"/>
      <c r="BA213" s="373"/>
      <c r="BB213" s="373"/>
      <c r="BC213" s="373"/>
      <c r="BD213" s="373"/>
      <c r="BE213" s="373"/>
      <c r="BF213" s="373"/>
      <c r="BG213" s="373"/>
      <c r="BH213" s="373"/>
      <c r="BI213" s="373"/>
      <c r="BJ213" s="373"/>
      <c r="BK213" s="373"/>
      <c r="BL213" s="373"/>
      <c r="BM213" s="373"/>
      <c r="BN213" s="373"/>
      <c r="BO213" s="373"/>
      <c r="BP213" s="373"/>
      <c r="BQ213" s="373"/>
      <c r="BR213" s="373"/>
      <c r="BS213" s="373"/>
      <c r="BT213" s="373"/>
      <c r="BU213" s="373"/>
      <c r="BV213" s="373"/>
      <c r="BW213" s="373"/>
      <c r="BX213" s="373"/>
      <c r="BY213" s="373"/>
      <c r="BZ213" s="373"/>
      <c r="CA213" s="373"/>
      <c r="CB213" s="373"/>
      <c r="CC213" s="374"/>
      <c r="CD213" s="374"/>
      <c r="CE213" s="374"/>
      <c r="CF213" s="374"/>
      <c r="CG213" s="374"/>
      <c r="CH213" s="374"/>
      <c r="CI213" s="374"/>
      <c r="CJ213" s="374"/>
      <c r="CK213" s="374"/>
      <c r="CL213" s="374"/>
      <c r="CM213" s="374"/>
      <c r="CN213" s="374"/>
      <c r="CO213" s="374"/>
      <c r="CP213" s="374"/>
      <c r="CQ213" s="374"/>
      <c r="CR213" s="374"/>
      <c r="CS213" s="374"/>
      <c r="CT213" s="374"/>
      <c r="CU213" s="374"/>
      <c r="CV213" s="374"/>
      <c r="CW213" s="374"/>
      <c r="CX213" s="374"/>
      <c r="CY213" s="374"/>
      <c r="CZ213" s="374"/>
      <c r="DA213" s="374"/>
      <c r="DB213" s="374"/>
      <c r="DC213" s="375"/>
    </row>
    <row r="214" spans="1:107">
      <c r="A214" s="394"/>
      <c r="B214" s="396" t="s">
        <v>48</v>
      </c>
      <c r="C214" s="349"/>
      <c r="D214" s="349"/>
      <c r="E214" s="349"/>
      <c r="F214" s="349"/>
      <c r="G214" s="349"/>
      <c r="H214" s="349"/>
      <c r="I214" s="349"/>
      <c r="J214" s="349"/>
      <c r="K214" s="349"/>
      <c r="L214" s="349"/>
      <c r="M214" s="349"/>
      <c r="N214" s="349"/>
      <c r="O214" s="349"/>
      <c r="P214" s="354"/>
      <c r="Q214" s="354"/>
      <c r="R214" s="354"/>
      <c r="S214" s="354"/>
      <c r="T214" s="352"/>
      <c r="U214" s="353"/>
      <c r="V214" s="353"/>
      <c r="W214" s="353"/>
      <c r="X214" s="349"/>
      <c r="Y214" s="349"/>
      <c r="Z214" s="349"/>
      <c r="AA214" s="349"/>
      <c r="AB214" s="349"/>
      <c r="AC214" s="349"/>
      <c r="AD214" s="349"/>
      <c r="AE214" s="349"/>
      <c r="AF214" s="349"/>
      <c r="AG214" s="349"/>
      <c r="AH214" s="349"/>
      <c r="AI214" s="349"/>
      <c r="AJ214" s="349"/>
      <c r="AK214" s="349"/>
      <c r="AL214" s="349"/>
      <c r="AM214" s="349"/>
      <c r="AN214" s="349"/>
      <c r="AO214" s="349"/>
      <c r="AP214" s="354"/>
      <c r="AQ214" s="352"/>
      <c r="AR214" s="355"/>
      <c r="AS214" s="356"/>
      <c r="AT214" s="356"/>
      <c r="AU214" s="387"/>
      <c r="AV214" s="357"/>
      <c r="AW214" s="353"/>
      <c r="AX214" s="349"/>
      <c r="AY214" s="352"/>
      <c r="AZ214" s="372"/>
      <c r="BA214" s="373"/>
      <c r="BB214" s="373"/>
      <c r="BC214" s="373"/>
      <c r="BD214" s="373"/>
      <c r="BE214" s="373"/>
      <c r="BF214" s="373"/>
      <c r="BG214" s="373"/>
      <c r="BH214" s="373"/>
      <c r="BI214" s="373"/>
      <c r="BJ214" s="373"/>
      <c r="BK214" s="373"/>
      <c r="BL214" s="373"/>
      <c r="BM214" s="373"/>
      <c r="BN214" s="373"/>
      <c r="BO214" s="373"/>
      <c r="BP214" s="373"/>
      <c r="BQ214" s="373"/>
      <c r="BR214" s="373"/>
      <c r="BS214" s="373"/>
      <c r="BT214" s="373"/>
      <c r="BU214" s="373"/>
      <c r="BV214" s="373"/>
      <c r="BW214" s="373"/>
      <c r="BX214" s="373"/>
      <c r="BY214" s="373"/>
      <c r="BZ214" s="373"/>
      <c r="CA214" s="373"/>
      <c r="CB214" s="373"/>
      <c r="CC214" s="374"/>
      <c r="CD214" s="374"/>
      <c r="CE214" s="374"/>
      <c r="CF214" s="374"/>
      <c r="CG214" s="374"/>
      <c r="CH214" s="374"/>
      <c r="CI214" s="374"/>
      <c r="CJ214" s="374"/>
      <c r="CK214" s="374"/>
      <c r="CL214" s="374"/>
      <c r="CM214" s="374"/>
      <c r="CN214" s="374"/>
      <c r="CO214" s="374"/>
      <c r="CP214" s="374"/>
      <c r="CQ214" s="374"/>
      <c r="CR214" s="374"/>
      <c r="CS214" s="374"/>
      <c r="CT214" s="392">
        <f>ROUNDUP((5.57*2)*((12.4*3)+12.55+6.55),0)</f>
        <v>628</v>
      </c>
      <c r="CU214" s="374"/>
      <c r="CV214" s="374"/>
      <c r="CW214" s="374"/>
      <c r="CX214" s="374"/>
      <c r="CY214" s="374"/>
      <c r="CZ214" s="374">
        <f>CT214</f>
        <v>628</v>
      </c>
      <c r="DA214" s="374"/>
      <c r="DB214" s="374"/>
      <c r="DC214" s="375"/>
    </row>
    <row r="215" spans="1:107">
      <c r="A215" s="394"/>
      <c r="B215" s="396" t="s">
        <v>584</v>
      </c>
      <c r="C215" s="349"/>
      <c r="D215" s="349"/>
      <c r="E215" s="349"/>
      <c r="F215" s="349"/>
      <c r="G215" s="349"/>
      <c r="H215" s="349"/>
      <c r="I215" s="349"/>
      <c r="J215" s="349"/>
      <c r="K215" s="349"/>
      <c r="L215" s="349"/>
      <c r="M215" s="349"/>
      <c r="N215" s="349"/>
      <c r="O215" s="349"/>
      <c r="P215" s="354"/>
      <c r="Q215" s="354"/>
      <c r="R215" s="354"/>
      <c r="S215" s="354"/>
      <c r="T215" s="352"/>
      <c r="U215" s="353"/>
      <c r="V215" s="353"/>
      <c r="W215" s="353"/>
      <c r="X215" s="349"/>
      <c r="Y215" s="349"/>
      <c r="Z215" s="349"/>
      <c r="AA215" s="349"/>
      <c r="AB215" s="349"/>
      <c r="AC215" s="349"/>
      <c r="AD215" s="349"/>
      <c r="AE215" s="349"/>
      <c r="AF215" s="349"/>
      <c r="AG215" s="349"/>
      <c r="AH215" s="349"/>
      <c r="AI215" s="349"/>
      <c r="AJ215" s="349"/>
      <c r="AK215" s="349"/>
      <c r="AL215" s="349"/>
      <c r="AM215" s="349"/>
      <c r="AN215" s="349"/>
      <c r="AO215" s="349"/>
      <c r="AP215" s="354"/>
      <c r="AQ215" s="352"/>
      <c r="AR215" s="355"/>
      <c r="AS215" s="356"/>
      <c r="AT215" s="356"/>
      <c r="AU215" s="387"/>
      <c r="AV215" s="357"/>
      <c r="AW215" s="353"/>
      <c r="AX215" s="349"/>
      <c r="AY215" s="352"/>
      <c r="AZ215" s="372"/>
      <c r="BA215" s="373"/>
      <c r="BB215" s="373"/>
      <c r="BC215" s="373"/>
      <c r="BD215" s="373"/>
      <c r="BE215" s="373"/>
      <c r="BF215" s="373"/>
      <c r="BG215" s="373"/>
      <c r="BH215" s="373"/>
      <c r="BI215" s="373"/>
      <c r="BJ215" s="373"/>
      <c r="BK215" s="373"/>
      <c r="BL215" s="373"/>
      <c r="BM215" s="373"/>
      <c r="BN215" s="373"/>
      <c r="BO215" s="373"/>
      <c r="BP215" s="373"/>
      <c r="BQ215" s="373"/>
      <c r="BR215" s="373"/>
      <c r="BS215" s="373"/>
      <c r="BT215" s="373"/>
      <c r="BU215" s="373"/>
      <c r="BV215" s="373"/>
      <c r="BW215" s="373"/>
      <c r="BX215" s="373"/>
      <c r="BY215" s="373"/>
      <c r="BZ215" s="373"/>
      <c r="CA215" s="373"/>
      <c r="CB215" s="373"/>
      <c r="CC215" s="374"/>
      <c r="CD215" s="374"/>
      <c r="CE215" s="374"/>
      <c r="CF215" s="374"/>
      <c r="CG215" s="374"/>
      <c r="CH215" s="374"/>
      <c r="CI215" s="374"/>
      <c r="CJ215" s="374"/>
      <c r="CK215" s="374"/>
      <c r="CL215" s="374"/>
      <c r="CM215" s="374"/>
      <c r="CN215" s="374"/>
      <c r="CO215" s="374"/>
      <c r="CP215" s="374"/>
      <c r="CQ215" s="374"/>
      <c r="CR215" s="374"/>
      <c r="CS215" s="374"/>
      <c r="CT215" s="374"/>
      <c r="CU215" s="392">
        <v>80</v>
      </c>
      <c r="CV215" s="374"/>
      <c r="CW215" s="374"/>
      <c r="CX215" s="374"/>
      <c r="CY215" s="374"/>
      <c r="CZ215" s="374"/>
      <c r="DA215" s="374"/>
      <c r="DB215" s="374"/>
      <c r="DC215" s="375"/>
    </row>
    <row r="216" spans="1:107">
      <c r="A216" s="394"/>
      <c r="B216" s="396" t="s">
        <v>579</v>
      </c>
      <c r="C216" s="349"/>
      <c r="D216" s="349"/>
      <c r="E216" s="349"/>
      <c r="F216" s="349"/>
      <c r="G216" s="349"/>
      <c r="H216" s="349"/>
      <c r="I216" s="349"/>
      <c r="J216" s="349"/>
      <c r="K216" s="349"/>
      <c r="L216" s="349"/>
      <c r="M216" s="349"/>
      <c r="N216" s="349"/>
      <c r="O216" s="349"/>
      <c r="P216" s="354"/>
      <c r="Q216" s="354"/>
      <c r="R216" s="354"/>
      <c r="S216" s="354"/>
      <c r="T216" s="352"/>
      <c r="U216" s="353"/>
      <c r="V216" s="353"/>
      <c r="W216" s="353"/>
      <c r="X216" s="349"/>
      <c r="Y216" s="349"/>
      <c r="Z216" s="349"/>
      <c r="AA216" s="349"/>
      <c r="AB216" s="349"/>
      <c r="AC216" s="349"/>
      <c r="AD216" s="349"/>
      <c r="AE216" s="349"/>
      <c r="AF216" s="349"/>
      <c r="AG216" s="349"/>
      <c r="AH216" s="349"/>
      <c r="AI216" s="349"/>
      <c r="AJ216" s="349"/>
      <c r="AK216" s="349"/>
      <c r="AL216" s="349"/>
      <c r="AM216" s="349"/>
      <c r="AN216" s="349"/>
      <c r="AO216" s="349"/>
      <c r="AP216" s="354"/>
      <c r="AQ216" s="352"/>
      <c r="AR216" s="355"/>
      <c r="AS216" s="356"/>
      <c r="AT216" s="356"/>
      <c r="AU216" s="387"/>
      <c r="AV216" s="357"/>
      <c r="AW216" s="353"/>
      <c r="AX216" s="349"/>
      <c r="AY216" s="352"/>
      <c r="AZ216" s="372"/>
      <c r="BA216" s="373"/>
      <c r="BB216" s="373"/>
      <c r="BC216" s="373"/>
      <c r="BD216" s="373"/>
      <c r="BE216" s="373"/>
      <c r="BF216" s="373"/>
      <c r="BG216" s="373"/>
      <c r="BH216" s="373"/>
      <c r="BI216" s="373"/>
      <c r="BJ216" s="373"/>
      <c r="BK216" s="373"/>
      <c r="BL216" s="373"/>
      <c r="BM216" s="373"/>
      <c r="BN216" s="373"/>
      <c r="BO216" s="373"/>
      <c r="BP216" s="373"/>
      <c r="BQ216" s="373"/>
      <c r="BR216" s="373"/>
      <c r="BS216" s="373"/>
      <c r="BT216" s="373"/>
      <c r="BU216" s="373"/>
      <c r="BV216" s="373"/>
      <c r="BW216" s="373"/>
      <c r="BX216" s="373"/>
      <c r="BY216" s="373"/>
      <c r="BZ216" s="373"/>
      <c r="CA216" s="373"/>
      <c r="CB216" s="373"/>
      <c r="CC216" s="374"/>
      <c r="CD216" s="374"/>
      <c r="CE216" s="374"/>
      <c r="CF216" s="374"/>
      <c r="CG216" s="374"/>
      <c r="CH216" s="374"/>
      <c r="CI216" s="374"/>
      <c r="CJ216" s="374"/>
      <c r="CK216" s="374"/>
      <c r="CL216" s="374"/>
      <c r="CM216" s="374"/>
      <c r="CN216" s="374"/>
      <c r="CO216" s="374"/>
      <c r="CP216" s="374"/>
      <c r="CQ216" s="374"/>
      <c r="CR216" s="374"/>
      <c r="CS216" s="374"/>
      <c r="CT216" s="374"/>
      <c r="CU216" s="374"/>
      <c r="CV216" s="392">
        <f>ROUNDUP((10.67*2),0)</f>
        <v>22</v>
      </c>
      <c r="CW216" s="374"/>
      <c r="CX216" s="374"/>
      <c r="CY216" s="374"/>
      <c r="CZ216" s="374"/>
      <c r="DA216" s="374"/>
      <c r="DB216" s="374"/>
      <c r="DC216" s="375"/>
    </row>
    <row r="217" spans="1:107">
      <c r="A217" s="394"/>
      <c r="B217" s="396" t="s">
        <v>585</v>
      </c>
      <c r="C217" s="349"/>
      <c r="D217" s="349"/>
      <c r="E217" s="349"/>
      <c r="F217" s="349"/>
      <c r="G217" s="349"/>
      <c r="H217" s="349"/>
      <c r="I217" s="349"/>
      <c r="J217" s="349"/>
      <c r="K217" s="349"/>
      <c r="L217" s="349"/>
      <c r="M217" s="349"/>
      <c r="N217" s="349"/>
      <c r="O217" s="349"/>
      <c r="P217" s="354"/>
      <c r="Q217" s="354"/>
      <c r="R217" s="354"/>
      <c r="S217" s="354"/>
      <c r="T217" s="352"/>
      <c r="U217" s="353"/>
      <c r="V217" s="353"/>
      <c r="W217" s="353"/>
      <c r="X217" s="349"/>
      <c r="Y217" s="349"/>
      <c r="Z217" s="349"/>
      <c r="AA217" s="349"/>
      <c r="AB217" s="349"/>
      <c r="AC217" s="349"/>
      <c r="AD217" s="349"/>
      <c r="AE217" s="349"/>
      <c r="AF217" s="349"/>
      <c r="AG217" s="349"/>
      <c r="AH217" s="349"/>
      <c r="AI217" s="349"/>
      <c r="AJ217" s="349"/>
      <c r="AK217" s="349"/>
      <c r="AL217" s="349"/>
      <c r="AM217" s="349"/>
      <c r="AN217" s="349"/>
      <c r="AO217" s="349"/>
      <c r="AP217" s="354"/>
      <c r="AQ217" s="352"/>
      <c r="AR217" s="355"/>
      <c r="AS217" s="356"/>
      <c r="AT217" s="356"/>
      <c r="AU217" s="387"/>
      <c r="AV217" s="357"/>
      <c r="AW217" s="353"/>
      <c r="AX217" s="349"/>
      <c r="AY217" s="352"/>
      <c r="AZ217" s="372"/>
      <c r="BA217" s="373"/>
      <c r="BB217" s="373"/>
      <c r="BC217" s="373"/>
      <c r="BD217" s="373"/>
      <c r="BE217" s="373"/>
      <c r="BF217" s="373"/>
      <c r="BG217" s="373"/>
      <c r="BH217" s="373"/>
      <c r="BI217" s="373"/>
      <c r="BJ217" s="373"/>
      <c r="BK217" s="373"/>
      <c r="BL217" s="373"/>
      <c r="BM217" s="373"/>
      <c r="BN217" s="373"/>
      <c r="BO217" s="373"/>
      <c r="BP217" s="373"/>
      <c r="BQ217" s="373"/>
      <c r="BR217" s="373"/>
      <c r="BS217" s="373"/>
      <c r="BT217" s="373"/>
      <c r="BU217" s="373"/>
      <c r="BV217" s="373"/>
      <c r="BW217" s="373"/>
      <c r="BX217" s="373"/>
      <c r="BY217" s="373"/>
      <c r="BZ217" s="373"/>
      <c r="CA217" s="373"/>
      <c r="CB217" s="373"/>
      <c r="CC217" s="374"/>
      <c r="CD217" s="374"/>
      <c r="CE217" s="374"/>
      <c r="CF217" s="374"/>
      <c r="CG217" s="374"/>
      <c r="CH217" s="374"/>
      <c r="CI217" s="374"/>
      <c r="CJ217" s="374"/>
      <c r="CK217" s="374"/>
      <c r="CL217" s="374"/>
      <c r="CM217" s="374"/>
      <c r="CN217" s="374"/>
      <c r="CO217" s="374"/>
      <c r="CP217" s="374"/>
      <c r="CQ217" s="374"/>
      <c r="CR217" s="374"/>
      <c r="CS217" s="374"/>
      <c r="CT217" s="374"/>
      <c r="CU217" s="374"/>
      <c r="CV217" s="374"/>
      <c r="CW217" s="392">
        <f>ROUNDUP(((3.92*2)*78.7)-(CQ7*26),0)</f>
        <v>213</v>
      </c>
      <c r="CX217" s="392"/>
      <c r="CY217" s="392"/>
      <c r="CZ217" s="374"/>
      <c r="DA217" s="374"/>
      <c r="DB217" s="374"/>
      <c r="DC217" s="375"/>
    </row>
    <row r="218" spans="1:107">
      <c r="A218" s="394"/>
      <c r="B218" s="396" t="s">
        <v>587</v>
      </c>
      <c r="C218" s="349"/>
      <c r="D218" s="349"/>
      <c r="E218" s="349"/>
      <c r="F218" s="349"/>
      <c r="G218" s="349"/>
      <c r="H218" s="349"/>
      <c r="I218" s="349"/>
      <c r="J218" s="349"/>
      <c r="K218" s="349"/>
      <c r="L218" s="349"/>
      <c r="M218" s="349"/>
      <c r="N218" s="349"/>
      <c r="O218" s="349"/>
      <c r="P218" s="354"/>
      <c r="Q218" s="354"/>
      <c r="R218" s="354"/>
      <c r="S218" s="354"/>
      <c r="T218" s="352"/>
      <c r="U218" s="353"/>
      <c r="V218" s="353"/>
      <c r="W218" s="353"/>
      <c r="X218" s="349"/>
      <c r="Y218" s="349"/>
      <c r="Z218" s="349"/>
      <c r="AA218" s="349"/>
      <c r="AB218" s="349"/>
      <c r="AC218" s="349"/>
      <c r="AD218" s="349"/>
      <c r="AE218" s="349"/>
      <c r="AF218" s="349"/>
      <c r="AG218" s="349"/>
      <c r="AH218" s="349"/>
      <c r="AI218" s="349"/>
      <c r="AJ218" s="349"/>
      <c r="AK218" s="349"/>
      <c r="AL218" s="349"/>
      <c r="AM218" s="349"/>
      <c r="AN218" s="349"/>
      <c r="AO218" s="349"/>
      <c r="AP218" s="354"/>
      <c r="AQ218" s="352"/>
      <c r="AR218" s="355"/>
      <c r="AS218" s="356"/>
      <c r="AT218" s="356"/>
      <c r="AU218" s="387"/>
      <c r="AV218" s="357"/>
      <c r="AW218" s="353"/>
      <c r="AX218" s="349"/>
      <c r="AY218" s="352"/>
      <c r="AZ218" s="372"/>
      <c r="BA218" s="373"/>
      <c r="BB218" s="373"/>
      <c r="BC218" s="373"/>
      <c r="BD218" s="373"/>
      <c r="BE218" s="373"/>
      <c r="BF218" s="373"/>
      <c r="BG218" s="373"/>
      <c r="BH218" s="373"/>
      <c r="BI218" s="373"/>
      <c r="BJ218" s="373"/>
      <c r="BK218" s="373"/>
      <c r="BL218" s="373"/>
      <c r="BM218" s="373"/>
      <c r="BN218" s="373"/>
      <c r="BO218" s="373"/>
      <c r="BP218" s="373"/>
      <c r="BQ218" s="373"/>
      <c r="BR218" s="373"/>
      <c r="BS218" s="373"/>
      <c r="BT218" s="373"/>
      <c r="BU218" s="373"/>
      <c r="BV218" s="373"/>
      <c r="BW218" s="373"/>
      <c r="BX218" s="373"/>
      <c r="BY218" s="373"/>
      <c r="BZ218" s="373"/>
      <c r="CA218" s="373"/>
      <c r="CB218" s="373"/>
      <c r="CC218" s="374"/>
      <c r="CD218" s="374"/>
      <c r="CE218" s="374"/>
      <c r="CF218" s="374"/>
      <c r="CG218" s="374"/>
      <c r="CH218" s="374"/>
      <c r="CI218" s="374"/>
      <c r="CJ218" s="374"/>
      <c r="CK218" s="374"/>
      <c r="CL218" s="374"/>
      <c r="CM218" s="374"/>
      <c r="CN218" s="374"/>
      <c r="CO218" s="374"/>
      <c r="CP218" s="374"/>
      <c r="CQ218" s="374"/>
      <c r="CR218" s="374"/>
      <c r="CS218" s="374"/>
      <c r="CT218" s="374"/>
      <c r="CU218" s="374"/>
      <c r="CV218" s="374"/>
      <c r="CW218" s="374"/>
      <c r="CX218" s="392">
        <f>ROUNDUP((3.92*4),0)</f>
        <v>16</v>
      </c>
      <c r="CY218" s="392"/>
      <c r="CZ218" s="374"/>
      <c r="DA218" s="374"/>
      <c r="DB218" s="374"/>
      <c r="DC218" s="375"/>
    </row>
    <row r="219" spans="1:107">
      <c r="A219" s="394"/>
      <c r="B219" s="396" t="s">
        <v>590</v>
      </c>
      <c r="C219" s="349"/>
      <c r="D219" s="349"/>
      <c r="E219" s="349"/>
      <c r="F219" s="349"/>
      <c r="G219" s="349"/>
      <c r="H219" s="349"/>
      <c r="I219" s="349"/>
      <c r="J219" s="349"/>
      <c r="K219" s="349"/>
      <c r="L219" s="349"/>
      <c r="M219" s="349"/>
      <c r="N219" s="349"/>
      <c r="O219" s="349"/>
      <c r="P219" s="354"/>
      <c r="Q219" s="354"/>
      <c r="R219" s="354"/>
      <c r="S219" s="354"/>
      <c r="T219" s="352"/>
      <c r="U219" s="353"/>
      <c r="V219" s="353"/>
      <c r="W219" s="353"/>
      <c r="X219" s="349"/>
      <c r="Y219" s="349"/>
      <c r="Z219" s="349"/>
      <c r="AA219" s="349"/>
      <c r="AB219" s="349"/>
      <c r="AC219" s="349"/>
      <c r="AD219" s="349"/>
      <c r="AE219" s="349"/>
      <c r="AF219" s="349"/>
      <c r="AG219" s="349"/>
      <c r="AH219" s="349"/>
      <c r="AI219" s="349"/>
      <c r="AJ219" s="349"/>
      <c r="AK219" s="349"/>
      <c r="AL219" s="349"/>
      <c r="AM219" s="349"/>
      <c r="AN219" s="349"/>
      <c r="AO219" s="349"/>
      <c r="AP219" s="354"/>
      <c r="AQ219" s="352"/>
      <c r="AR219" s="355"/>
      <c r="AS219" s="356"/>
      <c r="AT219" s="356"/>
      <c r="AU219" s="387"/>
      <c r="AV219" s="357"/>
      <c r="AW219" s="353"/>
      <c r="AX219" s="349"/>
      <c r="AY219" s="352"/>
      <c r="AZ219" s="372"/>
      <c r="BA219" s="373"/>
      <c r="BB219" s="373"/>
      <c r="BC219" s="373"/>
      <c r="BD219" s="373"/>
      <c r="BE219" s="373"/>
      <c r="BF219" s="373"/>
      <c r="BG219" s="373"/>
      <c r="BH219" s="373"/>
      <c r="BI219" s="373"/>
      <c r="BJ219" s="373"/>
      <c r="BK219" s="373"/>
      <c r="BL219" s="373"/>
      <c r="BM219" s="373"/>
      <c r="BN219" s="373"/>
      <c r="BO219" s="373"/>
      <c r="BP219" s="373"/>
      <c r="BQ219" s="373"/>
      <c r="BR219" s="373"/>
      <c r="BS219" s="373"/>
      <c r="BT219" s="373"/>
      <c r="BU219" s="373"/>
      <c r="BV219" s="373"/>
      <c r="BW219" s="373"/>
      <c r="BX219" s="373"/>
      <c r="BY219" s="373"/>
      <c r="BZ219" s="373"/>
      <c r="CA219" s="373"/>
      <c r="CB219" s="373"/>
      <c r="CC219" s="374"/>
      <c r="CD219" s="374"/>
      <c r="CE219" s="374"/>
      <c r="CF219" s="374"/>
      <c r="CG219" s="374"/>
      <c r="CH219" s="374"/>
      <c r="CI219" s="374"/>
      <c r="CJ219" s="374"/>
      <c r="CK219" s="374"/>
      <c r="CL219" s="374"/>
      <c r="CM219" s="374"/>
      <c r="CN219" s="374"/>
      <c r="CO219" s="374"/>
      <c r="CP219" s="374"/>
      <c r="CQ219" s="374"/>
      <c r="CR219" s="374"/>
      <c r="CS219" s="374"/>
      <c r="CT219" s="374"/>
      <c r="CU219" s="374"/>
      <c r="CV219" s="374"/>
      <c r="CW219" s="374"/>
      <c r="CX219" s="392"/>
      <c r="CY219" s="392">
        <f>ROUNDUP((78.7*2),0)</f>
        <v>158</v>
      </c>
      <c r="CZ219" s="374"/>
      <c r="DA219" s="374"/>
      <c r="DB219" s="374"/>
      <c r="DC219" s="375"/>
    </row>
    <row r="220" spans="1:107">
      <c r="A220" s="394"/>
      <c r="B220" s="396" t="s">
        <v>591</v>
      </c>
      <c r="C220" s="349"/>
      <c r="D220" s="349"/>
      <c r="E220" s="349"/>
      <c r="F220" s="349"/>
      <c r="G220" s="349"/>
      <c r="H220" s="349"/>
      <c r="I220" s="349"/>
      <c r="J220" s="349"/>
      <c r="K220" s="349"/>
      <c r="L220" s="349"/>
      <c r="M220" s="349"/>
      <c r="N220" s="349"/>
      <c r="O220" s="349"/>
      <c r="P220" s="354"/>
      <c r="Q220" s="354"/>
      <c r="R220" s="354"/>
      <c r="S220" s="354"/>
      <c r="T220" s="352"/>
      <c r="U220" s="353"/>
      <c r="V220" s="353"/>
      <c r="W220" s="353"/>
      <c r="X220" s="349"/>
      <c r="Y220" s="349"/>
      <c r="Z220" s="349"/>
      <c r="AA220" s="349"/>
      <c r="AB220" s="349"/>
      <c r="AC220" s="349"/>
      <c r="AD220" s="349"/>
      <c r="AE220" s="349"/>
      <c r="AF220" s="349"/>
      <c r="AG220" s="349"/>
      <c r="AH220" s="349"/>
      <c r="AI220" s="349"/>
      <c r="AJ220" s="349"/>
      <c r="AK220" s="349"/>
      <c r="AL220" s="349"/>
      <c r="AM220" s="349"/>
      <c r="AN220" s="349"/>
      <c r="AO220" s="349"/>
      <c r="AP220" s="354"/>
      <c r="AQ220" s="352"/>
      <c r="AR220" s="355"/>
      <c r="AS220" s="356"/>
      <c r="AT220" s="356"/>
      <c r="AU220" s="387"/>
      <c r="AV220" s="357"/>
      <c r="AW220" s="353"/>
      <c r="AX220" s="349"/>
      <c r="AY220" s="352"/>
      <c r="AZ220" s="372"/>
      <c r="BA220" s="373"/>
      <c r="BB220" s="373"/>
      <c r="BC220" s="373"/>
      <c r="BD220" s="373"/>
      <c r="BE220" s="373"/>
      <c r="BF220" s="373"/>
      <c r="BG220" s="373"/>
      <c r="BH220" s="373"/>
      <c r="BI220" s="373"/>
      <c r="BJ220" s="373"/>
      <c r="BK220" s="373"/>
      <c r="BL220" s="373"/>
      <c r="BM220" s="373"/>
      <c r="BN220" s="373"/>
      <c r="BO220" s="373"/>
      <c r="BP220" s="373"/>
      <c r="BQ220" s="373"/>
      <c r="BR220" s="373"/>
      <c r="BS220" s="373"/>
      <c r="BT220" s="373"/>
      <c r="BU220" s="373"/>
      <c r="BV220" s="373"/>
      <c r="BW220" s="373"/>
      <c r="BX220" s="373"/>
      <c r="BY220" s="373"/>
      <c r="BZ220" s="373"/>
      <c r="CA220" s="373"/>
      <c r="CB220" s="373"/>
      <c r="CC220" s="374"/>
      <c r="CD220" s="374"/>
      <c r="CE220" s="374"/>
      <c r="CF220" s="374"/>
      <c r="CG220" s="374"/>
      <c r="CH220" s="374"/>
      <c r="CI220" s="374"/>
      <c r="CJ220" s="374"/>
      <c r="CK220" s="374"/>
      <c r="CL220" s="374"/>
      <c r="CM220" s="374"/>
      <c r="CN220" s="374"/>
      <c r="CO220" s="374"/>
      <c r="CP220" s="374"/>
      <c r="CQ220" s="374">
        <v>26</v>
      </c>
      <c r="CR220" s="374"/>
      <c r="CS220" s="374"/>
      <c r="CT220" s="374"/>
      <c r="CU220" s="374"/>
      <c r="CV220" s="374"/>
      <c r="CW220" s="374"/>
      <c r="CX220" s="374"/>
      <c r="CY220" s="374"/>
      <c r="CZ220" s="374"/>
      <c r="DA220" s="374"/>
      <c r="DB220" s="374"/>
      <c r="DC220" s="375"/>
    </row>
    <row r="221" spans="1:107">
      <c r="A221" s="376"/>
      <c r="B221" s="396"/>
      <c r="C221" s="349"/>
      <c r="D221" s="349"/>
      <c r="E221" s="349"/>
      <c r="F221" s="349"/>
      <c r="G221" s="349"/>
      <c r="H221" s="349"/>
      <c r="I221" s="349"/>
      <c r="J221" s="349"/>
      <c r="K221" s="349"/>
      <c r="L221" s="349"/>
      <c r="M221" s="349"/>
      <c r="N221" s="349"/>
      <c r="O221" s="349"/>
      <c r="P221" s="354"/>
      <c r="Q221" s="354"/>
      <c r="R221" s="354"/>
      <c r="S221" s="354"/>
      <c r="T221" s="352"/>
      <c r="U221" s="353"/>
      <c r="V221" s="353"/>
      <c r="W221" s="353"/>
      <c r="X221" s="349"/>
      <c r="Y221" s="349"/>
      <c r="Z221" s="349"/>
      <c r="AA221" s="349"/>
      <c r="AB221" s="349"/>
      <c r="AC221" s="349"/>
      <c r="AD221" s="349"/>
      <c r="AE221" s="349"/>
      <c r="AF221" s="349"/>
      <c r="AG221" s="349"/>
      <c r="AH221" s="349"/>
      <c r="AI221" s="349"/>
      <c r="AJ221" s="349"/>
      <c r="AK221" s="349"/>
      <c r="AL221" s="349"/>
      <c r="AM221" s="349"/>
      <c r="AN221" s="349"/>
      <c r="AO221" s="349"/>
      <c r="AP221" s="354"/>
      <c r="AQ221" s="352"/>
      <c r="AR221" s="355"/>
      <c r="AS221" s="356"/>
      <c r="AT221" s="356"/>
      <c r="AU221" s="387"/>
      <c r="AV221" s="357"/>
      <c r="AW221" s="353"/>
      <c r="AX221" s="349"/>
      <c r="AY221" s="352"/>
      <c r="AZ221" s="372"/>
      <c r="BA221" s="373"/>
      <c r="BB221" s="373"/>
      <c r="BC221" s="373"/>
      <c r="BD221" s="373"/>
      <c r="BE221" s="373"/>
      <c r="BF221" s="373"/>
      <c r="BG221" s="373"/>
      <c r="BH221" s="373"/>
      <c r="BI221" s="373"/>
      <c r="BJ221" s="373"/>
      <c r="BK221" s="373"/>
      <c r="BL221" s="373"/>
      <c r="BM221" s="373"/>
      <c r="BN221" s="373"/>
      <c r="BO221" s="373"/>
      <c r="BP221" s="373"/>
      <c r="BQ221" s="373"/>
      <c r="BR221" s="373"/>
      <c r="BS221" s="373"/>
      <c r="BT221" s="373"/>
      <c r="BU221" s="373"/>
      <c r="BV221" s="373"/>
      <c r="BW221" s="373"/>
      <c r="BX221" s="373"/>
      <c r="BY221" s="373"/>
      <c r="BZ221" s="373"/>
      <c r="CA221" s="373"/>
      <c r="CB221" s="373"/>
      <c r="CC221" s="374"/>
      <c r="CD221" s="374"/>
      <c r="CE221" s="374"/>
      <c r="CF221" s="374"/>
      <c r="CG221" s="374"/>
      <c r="CH221" s="374"/>
      <c r="CI221" s="374"/>
      <c r="CJ221" s="374"/>
      <c r="CK221" s="374"/>
      <c r="CL221" s="374"/>
      <c r="CM221" s="374"/>
      <c r="CN221" s="374"/>
      <c r="CO221" s="374"/>
      <c r="CP221" s="374"/>
      <c r="CQ221" s="374"/>
      <c r="CR221" s="374"/>
      <c r="CS221" s="374"/>
      <c r="CT221" s="374"/>
      <c r="CU221" s="374"/>
      <c r="CV221" s="374"/>
      <c r="CW221" s="374"/>
      <c r="CX221" s="374"/>
      <c r="CY221" s="374"/>
      <c r="CZ221" s="374"/>
      <c r="DA221" s="374"/>
      <c r="DB221" s="374"/>
      <c r="DC221" s="375"/>
    </row>
    <row r="222" spans="1:107">
      <c r="A222" s="376"/>
      <c r="B222" s="396"/>
      <c r="C222" s="349"/>
      <c r="D222" s="349"/>
      <c r="E222" s="349"/>
      <c r="F222" s="349"/>
      <c r="G222" s="349"/>
      <c r="H222" s="349"/>
      <c r="I222" s="349"/>
      <c r="J222" s="349"/>
      <c r="K222" s="349"/>
      <c r="L222" s="349"/>
      <c r="M222" s="349"/>
      <c r="N222" s="349"/>
      <c r="O222" s="349"/>
      <c r="P222" s="354"/>
      <c r="Q222" s="354"/>
      <c r="R222" s="354"/>
      <c r="S222" s="354"/>
      <c r="T222" s="352"/>
      <c r="U222" s="353"/>
      <c r="V222" s="353"/>
      <c r="W222" s="353"/>
      <c r="X222" s="349"/>
      <c r="Y222" s="349"/>
      <c r="Z222" s="349"/>
      <c r="AA222" s="349"/>
      <c r="AB222" s="349"/>
      <c r="AC222" s="349"/>
      <c r="AD222" s="349"/>
      <c r="AE222" s="349"/>
      <c r="AF222" s="349"/>
      <c r="AG222" s="349"/>
      <c r="AH222" s="349"/>
      <c r="AI222" s="349"/>
      <c r="AJ222" s="349"/>
      <c r="AK222" s="349"/>
      <c r="AL222" s="349"/>
      <c r="AM222" s="349"/>
      <c r="AN222" s="349"/>
      <c r="AO222" s="349"/>
      <c r="AP222" s="354"/>
      <c r="AQ222" s="352"/>
      <c r="AR222" s="355"/>
      <c r="AS222" s="356"/>
      <c r="AT222" s="356"/>
      <c r="AU222" s="387"/>
      <c r="AV222" s="357"/>
      <c r="AW222" s="353"/>
      <c r="AX222" s="349"/>
      <c r="AY222" s="352"/>
      <c r="AZ222" s="372"/>
      <c r="BA222" s="373"/>
      <c r="BB222" s="373"/>
      <c r="BC222" s="373"/>
      <c r="BD222" s="373"/>
      <c r="BE222" s="373"/>
      <c r="BF222" s="373"/>
      <c r="BG222" s="373"/>
      <c r="BH222" s="373"/>
      <c r="BI222" s="373"/>
      <c r="BJ222" s="373"/>
      <c r="BK222" s="373"/>
      <c r="BL222" s="373"/>
      <c r="BM222" s="373"/>
      <c r="BN222" s="373"/>
      <c r="BO222" s="373"/>
      <c r="BP222" s="373"/>
      <c r="BQ222" s="373"/>
      <c r="BR222" s="373"/>
      <c r="BS222" s="373"/>
      <c r="BT222" s="373"/>
      <c r="BU222" s="373"/>
      <c r="BV222" s="373"/>
      <c r="BW222" s="373"/>
      <c r="BX222" s="373"/>
      <c r="BY222" s="373"/>
      <c r="BZ222" s="373"/>
      <c r="CA222" s="373"/>
      <c r="CB222" s="373"/>
      <c r="CC222" s="374"/>
      <c r="CD222" s="374"/>
      <c r="CE222" s="374"/>
      <c r="CF222" s="374"/>
      <c r="CG222" s="374"/>
      <c r="CH222" s="374"/>
      <c r="CI222" s="374"/>
      <c r="CJ222" s="374"/>
      <c r="CK222" s="374"/>
      <c r="CL222" s="374"/>
      <c r="CM222" s="374"/>
      <c r="CN222" s="374"/>
      <c r="CO222" s="374"/>
      <c r="CP222" s="374"/>
      <c r="CQ222" s="374"/>
      <c r="CR222" s="374"/>
      <c r="CS222" s="374"/>
      <c r="CT222" s="374"/>
      <c r="CU222" s="374"/>
      <c r="CV222" s="374"/>
      <c r="CW222" s="374"/>
      <c r="CX222" s="374"/>
      <c r="CY222" s="374"/>
      <c r="CZ222" s="374"/>
      <c r="DA222" s="374"/>
      <c r="DB222" s="374"/>
      <c r="DC222" s="375"/>
    </row>
    <row r="223" spans="1:107">
      <c r="A223" s="376"/>
      <c r="B223" s="353"/>
      <c r="C223" s="349"/>
      <c r="D223" s="349"/>
      <c r="E223" s="349"/>
      <c r="F223" s="349"/>
      <c r="G223" s="349"/>
      <c r="H223" s="349"/>
      <c r="I223" s="349"/>
      <c r="J223" s="349"/>
      <c r="K223" s="349"/>
      <c r="L223" s="349"/>
      <c r="M223" s="349"/>
      <c r="N223" s="349"/>
      <c r="O223" s="349"/>
      <c r="P223" s="354"/>
      <c r="Q223" s="354"/>
      <c r="R223" s="354"/>
      <c r="S223" s="354"/>
      <c r="T223" s="359"/>
      <c r="U223" s="353"/>
      <c r="V223" s="353"/>
      <c r="W223" s="353"/>
      <c r="X223" s="349"/>
      <c r="Y223" s="349"/>
      <c r="Z223" s="349"/>
      <c r="AA223" s="349"/>
      <c r="AB223" s="349"/>
      <c r="AC223" s="349"/>
      <c r="AD223" s="349"/>
      <c r="AE223" s="349"/>
      <c r="AF223" s="349"/>
      <c r="AG223" s="349"/>
      <c r="AH223" s="349"/>
      <c r="AI223" s="349"/>
      <c r="AJ223" s="349"/>
      <c r="AK223" s="349"/>
      <c r="AL223" s="349"/>
      <c r="AM223" s="349"/>
      <c r="AN223" s="349"/>
      <c r="AO223" s="349"/>
      <c r="AP223" s="354"/>
      <c r="AQ223" s="352"/>
      <c r="AR223" s="353"/>
      <c r="AS223" s="349"/>
      <c r="AT223" s="349"/>
      <c r="AU223" s="354"/>
      <c r="AV223" s="352"/>
      <c r="AW223" s="353"/>
      <c r="AX223" s="349"/>
      <c r="AY223" s="352"/>
      <c r="AZ223" s="372"/>
      <c r="BA223" s="373"/>
      <c r="BB223" s="373"/>
      <c r="BC223" s="373"/>
      <c r="BD223" s="373"/>
      <c r="BE223" s="373"/>
      <c r="BF223" s="373"/>
      <c r="BG223" s="373"/>
      <c r="BH223" s="373"/>
      <c r="BI223" s="373"/>
      <c r="BJ223" s="373"/>
      <c r="BK223" s="373"/>
      <c r="BL223" s="373"/>
      <c r="BM223" s="373"/>
      <c r="BN223" s="373"/>
      <c r="BO223" s="373"/>
      <c r="BP223" s="373"/>
      <c r="BQ223" s="373"/>
      <c r="BR223" s="373"/>
      <c r="BS223" s="373"/>
      <c r="BT223" s="373"/>
      <c r="BU223" s="373"/>
      <c r="BV223" s="373"/>
      <c r="BW223" s="373"/>
      <c r="BX223" s="373"/>
      <c r="BY223" s="373"/>
      <c r="BZ223" s="373"/>
      <c r="CA223" s="373"/>
      <c r="CB223" s="373"/>
      <c r="CC223" s="374"/>
      <c r="CD223" s="374"/>
      <c r="CE223" s="374"/>
      <c r="CF223" s="374"/>
      <c r="CG223" s="374"/>
      <c r="CH223" s="374"/>
      <c r="CI223" s="374"/>
      <c r="CJ223" s="374"/>
      <c r="CK223" s="374"/>
      <c r="CL223" s="374"/>
      <c r="CM223" s="374"/>
      <c r="CN223" s="374"/>
      <c r="CO223" s="374"/>
      <c r="CP223" s="374"/>
      <c r="CQ223" s="374"/>
      <c r="CR223" s="374"/>
      <c r="CS223" s="374"/>
      <c r="CT223" s="374"/>
      <c r="CU223" s="374"/>
      <c r="CV223" s="374"/>
      <c r="CW223" s="374"/>
      <c r="CX223" s="374"/>
      <c r="CY223" s="374"/>
      <c r="CZ223" s="374"/>
      <c r="DA223" s="374"/>
      <c r="DB223" s="374"/>
      <c r="DC223" s="375"/>
    </row>
    <row r="224" spans="1:107" ht="18.75">
      <c r="A224" s="376"/>
      <c r="B224" s="377" t="s">
        <v>171</v>
      </c>
      <c r="C224" s="378">
        <f t="shared" ref="C224:AH224" si="86">SUM(C212:C223)</f>
        <v>647</v>
      </c>
      <c r="D224" s="378">
        <f t="shared" si="86"/>
        <v>0</v>
      </c>
      <c r="E224" s="378">
        <f t="shared" si="86"/>
        <v>0</v>
      </c>
      <c r="F224" s="378">
        <f t="shared" si="86"/>
        <v>0</v>
      </c>
      <c r="G224" s="378">
        <f t="shared" si="86"/>
        <v>0</v>
      </c>
      <c r="H224" s="378">
        <f t="shared" si="86"/>
        <v>0</v>
      </c>
      <c r="I224" s="378">
        <f t="shared" si="86"/>
        <v>0</v>
      </c>
      <c r="J224" s="378">
        <f t="shared" si="86"/>
        <v>0</v>
      </c>
      <c r="K224" s="378">
        <f t="shared" si="86"/>
        <v>0</v>
      </c>
      <c r="L224" s="378">
        <f t="shared" si="86"/>
        <v>0</v>
      </c>
      <c r="M224" s="378">
        <f t="shared" si="86"/>
        <v>0</v>
      </c>
      <c r="N224" s="378">
        <f t="shared" si="86"/>
        <v>0</v>
      </c>
      <c r="O224" s="378">
        <f t="shared" si="86"/>
        <v>0</v>
      </c>
      <c r="P224" s="378">
        <f t="shared" si="86"/>
        <v>0</v>
      </c>
      <c r="Q224" s="378">
        <f t="shared" si="86"/>
        <v>0</v>
      </c>
      <c r="R224" s="378">
        <f t="shared" si="86"/>
        <v>0</v>
      </c>
      <c r="S224" s="378">
        <f t="shared" si="86"/>
        <v>0</v>
      </c>
      <c r="T224" s="380">
        <f t="shared" si="86"/>
        <v>0</v>
      </c>
      <c r="U224" s="381">
        <f t="shared" si="86"/>
        <v>0</v>
      </c>
      <c r="V224" s="381">
        <f t="shared" si="86"/>
        <v>0</v>
      </c>
      <c r="W224" s="381">
        <f t="shared" si="86"/>
        <v>0</v>
      </c>
      <c r="X224" s="381">
        <f t="shared" si="86"/>
        <v>0</v>
      </c>
      <c r="Y224" s="381">
        <f t="shared" si="86"/>
        <v>0</v>
      </c>
      <c r="Z224" s="381">
        <f t="shared" si="86"/>
        <v>0</v>
      </c>
      <c r="AA224" s="381">
        <f t="shared" si="86"/>
        <v>0</v>
      </c>
      <c r="AB224" s="381">
        <f t="shared" si="86"/>
        <v>0</v>
      </c>
      <c r="AC224" s="381">
        <f t="shared" si="86"/>
        <v>0</v>
      </c>
      <c r="AD224" s="381">
        <f t="shared" si="86"/>
        <v>0</v>
      </c>
      <c r="AE224" s="381">
        <f t="shared" si="86"/>
        <v>0</v>
      </c>
      <c r="AF224" s="381">
        <f t="shared" si="86"/>
        <v>0</v>
      </c>
      <c r="AG224" s="381">
        <f t="shared" si="86"/>
        <v>0</v>
      </c>
      <c r="AH224" s="381">
        <f t="shared" si="86"/>
        <v>0</v>
      </c>
      <c r="AI224" s="381">
        <f t="shared" ref="AI224:BW224" si="87">SUM(AI212:AI223)</f>
        <v>0</v>
      </c>
      <c r="AJ224" s="381">
        <f t="shared" si="87"/>
        <v>0</v>
      </c>
      <c r="AK224" s="381">
        <f t="shared" si="87"/>
        <v>0</v>
      </c>
      <c r="AL224" s="381">
        <f t="shared" si="87"/>
        <v>0</v>
      </c>
      <c r="AM224" s="381">
        <f t="shared" si="87"/>
        <v>0</v>
      </c>
      <c r="AN224" s="381">
        <f t="shared" si="87"/>
        <v>0</v>
      </c>
      <c r="AO224" s="381">
        <f t="shared" si="87"/>
        <v>0</v>
      </c>
      <c r="AP224" s="381">
        <f t="shared" si="87"/>
        <v>0</v>
      </c>
      <c r="AQ224" s="381">
        <f t="shared" si="87"/>
        <v>0</v>
      </c>
      <c r="AR224" s="381">
        <f t="shared" si="87"/>
        <v>0</v>
      </c>
      <c r="AS224" s="378">
        <f t="shared" si="87"/>
        <v>0</v>
      </c>
      <c r="AT224" s="378">
        <f t="shared" si="87"/>
        <v>0</v>
      </c>
      <c r="AU224" s="378">
        <f t="shared" si="87"/>
        <v>0</v>
      </c>
      <c r="AV224" s="380">
        <f t="shared" si="87"/>
        <v>0</v>
      </c>
      <c r="AW224" s="381">
        <f t="shared" si="87"/>
        <v>0</v>
      </c>
      <c r="AX224" s="378">
        <f t="shared" si="87"/>
        <v>0</v>
      </c>
      <c r="AY224" s="380">
        <f t="shared" si="87"/>
        <v>0</v>
      </c>
      <c r="AZ224" s="381">
        <f t="shared" si="87"/>
        <v>0</v>
      </c>
      <c r="BA224" s="378">
        <f t="shared" si="87"/>
        <v>0</v>
      </c>
      <c r="BB224" s="378">
        <f t="shared" si="87"/>
        <v>0</v>
      </c>
      <c r="BC224" s="378">
        <f t="shared" si="87"/>
        <v>0</v>
      </c>
      <c r="BD224" s="378">
        <f t="shared" si="87"/>
        <v>0</v>
      </c>
      <c r="BE224" s="378">
        <f t="shared" si="87"/>
        <v>0</v>
      </c>
      <c r="BF224" s="378">
        <f t="shared" si="87"/>
        <v>0</v>
      </c>
      <c r="BG224" s="378">
        <f t="shared" si="87"/>
        <v>0</v>
      </c>
      <c r="BH224" s="378">
        <f t="shared" si="87"/>
        <v>0</v>
      </c>
      <c r="BI224" s="378">
        <f t="shared" si="87"/>
        <v>0</v>
      </c>
      <c r="BJ224" s="378">
        <f t="shared" si="87"/>
        <v>0</v>
      </c>
      <c r="BK224" s="378">
        <f t="shared" si="87"/>
        <v>0</v>
      </c>
      <c r="BL224" s="378">
        <f t="shared" si="87"/>
        <v>0</v>
      </c>
      <c r="BM224" s="378">
        <f t="shared" si="87"/>
        <v>0</v>
      </c>
      <c r="BN224" s="378">
        <f t="shared" si="87"/>
        <v>0</v>
      </c>
      <c r="BO224" s="378">
        <f t="shared" si="87"/>
        <v>0</v>
      </c>
      <c r="BP224" s="378">
        <f t="shared" si="87"/>
        <v>0</v>
      </c>
      <c r="BQ224" s="378">
        <f t="shared" si="87"/>
        <v>0</v>
      </c>
      <c r="BR224" s="378">
        <f t="shared" si="87"/>
        <v>0</v>
      </c>
      <c r="BS224" s="378">
        <f t="shared" si="87"/>
        <v>0</v>
      </c>
      <c r="BT224" s="378">
        <f t="shared" si="87"/>
        <v>0</v>
      </c>
      <c r="BU224" s="378">
        <f t="shared" si="87"/>
        <v>0</v>
      </c>
      <c r="BV224" s="378">
        <f t="shared" si="87"/>
        <v>0</v>
      </c>
      <c r="BW224" s="378">
        <f t="shared" si="87"/>
        <v>0</v>
      </c>
      <c r="BX224" s="378"/>
      <c r="BY224" s="378">
        <f t="shared" ref="BY224:DC224" si="88">SUM(BY212:BY223)</f>
        <v>0</v>
      </c>
      <c r="BZ224" s="378">
        <f t="shared" si="88"/>
        <v>0</v>
      </c>
      <c r="CA224" s="378">
        <f t="shared" si="88"/>
        <v>0</v>
      </c>
      <c r="CB224" s="378">
        <f t="shared" si="88"/>
        <v>0</v>
      </c>
      <c r="CC224" s="378"/>
      <c r="CD224" s="378">
        <f t="shared" si="88"/>
        <v>0</v>
      </c>
      <c r="CE224" s="378"/>
      <c r="CF224" s="378">
        <f t="shared" si="88"/>
        <v>0</v>
      </c>
      <c r="CG224" s="378"/>
      <c r="CH224" s="378">
        <f t="shared" si="88"/>
        <v>0</v>
      </c>
      <c r="CI224" s="378">
        <f t="shared" si="88"/>
        <v>0</v>
      </c>
      <c r="CJ224" s="378">
        <f t="shared" si="88"/>
        <v>0</v>
      </c>
      <c r="CK224" s="378"/>
      <c r="CL224" s="378"/>
      <c r="CM224" s="378">
        <f t="shared" si="88"/>
        <v>0</v>
      </c>
      <c r="CN224" s="378">
        <f t="shared" si="88"/>
        <v>0</v>
      </c>
      <c r="CO224" s="378">
        <f t="shared" si="88"/>
        <v>0</v>
      </c>
      <c r="CP224" s="378">
        <f t="shared" si="88"/>
        <v>0</v>
      </c>
      <c r="CQ224" s="378">
        <f t="shared" si="88"/>
        <v>26</v>
      </c>
      <c r="CR224" s="378">
        <f t="shared" si="88"/>
        <v>0</v>
      </c>
      <c r="CS224" s="378">
        <f t="shared" si="88"/>
        <v>0</v>
      </c>
      <c r="CT224" s="378">
        <f t="shared" si="88"/>
        <v>628</v>
      </c>
      <c r="CU224" s="378">
        <f t="shared" si="88"/>
        <v>80</v>
      </c>
      <c r="CV224" s="378">
        <f t="shared" si="88"/>
        <v>22</v>
      </c>
      <c r="CW224" s="378">
        <f t="shared" si="88"/>
        <v>213</v>
      </c>
      <c r="CX224" s="378">
        <f t="shared" si="88"/>
        <v>16</v>
      </c>
      <c r="CY224" s="378">
        <f t="shared" si="88"/>
        <v>158</v>
      </c>
      <c r="CZ224" s="378">
        <f t="shared" si="88"/>
        <v>628</v>
      </c>
      <c r="DA224" s="378">
        <f t="shared" si="88"/>
        <v>0</v>
      </c>
      <c r="DB224" s="378">
        <f t="shared" si="88"/>
        <v>0</v>
      </c>
      <c r="DC224" s="378">
        <f t="shared" si="88"/>
        <v>0</v>
      </c>
    </row>
    <row r="225" spans="1:107">
      <c r="A225" s="397"/>
      <c r="B225" s="396"/>
      <c r="C225" s="399"/>
      <c r="D225" s="400"/>
      <c r="E225" s="400"/>
      <c r="F225" s="400"/>
      <c r="G225" s="400"/>
      <c r="H225" s="400"/>
      <c r="I225" s="400"/>
      <c r="J225" s="400"/>
      <c r="K225" s="400"/>
      <c r="L225" s="400"/>
      <c r="M225" s="400"/>
      <c r="N225" s="400"/>
      <c r="O225" s="400"/>
      <c r="P225" s="401"/>
      <c r="Q225" s="401"/>
      <c r="R225" s="401"/>
      <c r="S225" s="401"/>
      <c r="T225" s="402"/>
      <c r="U225" s="396"/>
      <c r="V225" s="396"/>
      <c r="W225" s="396"/>
      <c r="X225" s="399"/>
      <c r="Y225" s="399"/>
      <c r="Z225" s="399"/>
      <c r="AA225" s="399"/>
      <c r="AB225" s="399"/>
      <c r="AC225" s="399"/>
      <c r="AD225" s="399"/>
      <c r="AE225" s="399"/>
      <c r="AF225" s="399"/>
      <c r="AG225" s="399"/>
      <c r="AH225" s="399"/>
      <c r="AI225" s="399"/>
      <c r="AJ225" s="399"/>
      <c r="AK225" s="399"/>
      <c r="AL225" s="399"/>
      <c r="AM225" s="399"/>
      <c r="AN225" s="399"/>
      <c r="AO225" s="399"/>
      <c r="AP225" s="403"/>
      <c r="AQ225" s="404"/>
      <c r="AR225" s="396"/>
      <c r="AS225" s="399"/>
      <c r="AT225" s="399"/>
      <c r="AU225" s="403"/>
      <c r="AV225" s="404"/>
      <c r="AW225" s="396"/>
      <c r="AX225" s="399"/>
      <c r="AY225" s="404"/>
      <c r="AZ225" s="405"/>
      <c r="BA225" s="406"/>
      <c r="BB225" s="406"/>
      <c r="BC225" s="406"/>
      <c r="BD225" s="406"/>
      <c r="BE225" s="406"/>
      <c r="BF225" s="471"/>
      <c r="BG225" s="406"/>
      <c r="BH225" s="406"/>
      <c r="BI225" s="406"/>
      <c r="BJ225" s="406"/>
      <c r="BK225" s="406"/>
      <c r="BL225" s="406"/>
      <c r="BM225" s="406"/>
      <c r="BN225" s="406"/>
      <c r="BO225" s="406"/>
      <c r="BP225" s="471"/>
      <c r="BQ225" s="406"/>
      <c r="BR225" s="406"/>
      <c r="BS225" s="406"/>
      <c r="BT225" s="471"/>
      <c r="BU225" s="471"/>
      <c r="BV225" s="471"/>
      <c r="BW225" s="406"/>
      <c r="BX225" s="471"/>
      <c r="BY225" s="406"/>
      <c r="BZ225" s="406"/>
      <c r="CA225" s="406"/>
      <c r="CB225" s="406"/>
      <c r="CC225" s="473"/>
      <c r="CD225" s="407"/>
      <c r="CE225" s="473"/>
      <c r="CF225" s="407"/>
      <c r="CG225" s="473"/>
      <c r="CH225" s="407"/>
      <c r="CI225" s="407"/>
      <c r="CJ225" s="407"/>
      <c r="CK225" s="473"/>
      <c r="CL225" s="473"/>
      <c r="CM225" s="407"/>
      <c r="CN225" s="407"/>
      <c r="CO225" s="407"/>
      <c r="CP225" s="407"/>
      <c r="CQ225" s="407"/>
      <c r="CR225" s="473"/>
      <c r="CS225" s="473"/>
      <c r="CT225" s="407"/>
      <c r="CU225" s="407"/>
      <c r="CV225" s="407"/>
      <c r="CW225" s="407"/>
      <c r="CX225" s="407"/>
      <c r="CY225" s="407"/>
      <c r="CZ225" s="407"/>
      <c r="DA225" s="407"/>
      <c r="DB225" s="407"/>
      <c r="DC225" s="408"/>
    </row>
    <row r="226" spans="1:107">
      <c r="A226" s="308"/>
      <c r="B226" s="410"/>
      <c r="C226" s="411"/>
      <c r="D226" s="412"/>
      <c r="E226" s="412"/>
      <c r="F226" s="412"/>
      <c r="G226" s="412"/>
      <c r="H226" s="412"/>
      <c r="I226" s="412"/>
      <c r="J226" s="412"/>
      <c r="K226" s="412"/>
      <c r="L226" s="412"/>
      <c r="M226" s="412"/>
      <c r="N226" s="412"/>
      <c r="O226" s="412"/>
      <c r="P226" s="413"/>
      <c r="Q226" s="413"/>
      <c r="R226" s="413"/>
      <c r="S226" s="413"/>
      <c r="T226" s="414"/>
      <c r="U226" s="410"/>
      <c r="V226" s="410"/>
      <c r="W226" s="410"/>
      <c r="X226" s="411"/>
      <c r="Y226" s="411"/>
      <c r="Z226" s="411"/>
      <c r="AA226" s="411"/>
      <c r="AB226" s="411"/>
      <c r="AC226" s="411"/>
      <c r="AD226" s="411"/>
      <c r="AE226" s="411"/>
      <c r="AF226" s="411"/>
      <c r="AG226" s="411"/>
      <c r="AH226" s="411"/>
      <c r="AI226" s="411"/>
      <c r="AJ226" s="411"/>
      <c r="AK226" s="411"/>
      <c r="AL226" s="411"/>
      <c r="AM226" s="411"/>
      <c r="AN226" s="411"/>
      <c r="AO226" s="411"/>
      <c r="AP226" s="415"/>
      <c r="AQ226" s="416"/>
      <c r="AR226" s="410"/>
      <c r="AS226" s="411"/>
      <c r="AT226" s="411"/>
      <c r="AU226" s="415"/>
      <c r="AV226" s="416"/>
      <c r="AW226" s="410"/>
      <c r="AX226" s="411"/>
      <c r="AY226" s="416"/>
      <c r="AZ226" s="417"/>
      <c r="BA226" s="418"/>
      <c r="BB226" s="418"/>
      <c r="BC226" s="418"/>
      <c r="BD226" s="418"/>
      <c r="BE226" s="418"/>
      <c r="BF226" s="418"/>
      <c r="BG226" s="418"/>
      <c r="BH226" s="418"/>
      <c r="BI226" s="418"/>
      <c r="BJ226" s="418"/>
      <c r="BK226" s="418"/>
      <c r="BL226" s="418"/>
      <c r="BM226" s="418"/>
      <c r="BN226" s="418"/>
      <c r="BO226" s="418"/>
      <c r="BP226" s="418"/>
      <c r="BQ226" s="418"/>
      <c r="BR226" s="418"/>
      <c r="BS226" s="418"/>
      <c r="BT226" s="418"/>
      <c r="BU226" s="418"/>
      <c r="BV226" s="418"/>
      <c r="BW226" s="418"/>
      <c r="BX226" s="418"/>
      <c r="BY226" s="418"/>
      <c r="BZ226" s="418"/>
      <c r="CA226" s="418"/>
      <c r="CB226" s="418"/>
      <c r="CC226" s="419"/>
      <c r="CD226" s="419"/>
      <c r="CE226" s="419"/>
      <c r="CF226" s="419"/>
      <c r="CG226" s="419"/>
      <c r="CH226" s="419"/>
      <c r="CI226" s="419"/>
      <c r="CJ226" s="419"/>
      <c r="CK226" s="419"/>
      <c r="CL226" s="419"/>
      <c r="CM226" s="419"/>
      <c r="CN226" s="419"/>
      <c r="CO226" s="419"/>
      <c r="CP226" s="419"/>
      <c r="CQ226" s="419"/>
      <c r="CR226" s="419"/>
      <c r="CS226" s="419"/>
      <c r="CT226" s="419"/>
      <c r="CU226" s="419"/>
      <c r="CV226" s="419"/>
      <c r="CW226" s="419"/>
      <c r="CX226" s="419"/>
      <c r="CY226" s="419"/>
      <c r="CZ226" s="419"/>
      <c r="DA226" s="419"/>
      <c r="DB226" s="419"/>
      <c r="DC226" s="420"/>
    </row>
    <row r="227" spans="1:107" ht="19.5" thickBot="1">
      <c r="A227" s="421"/>
      <c r="B227" s="422" t="s">
        <v>170</v>
      </c>
      <c r="C227" s="423">
        <f t="shared" ref="C227:AH227" si="89">SUM(C209+C224)</f>
        <v>1862</v>
      </c>
      <c r="D227" s="423">
        <f t="shared" si="89"/>
        <v>0</v>
      </c>
      <c r="E227" s="423">
        <f t="shared" si="89"/>
        <v>36</v>
      </c>
      <c r="F227" s="423">
        <f t="shared" si="89"/>
        <v>0</v>
      </c>
      <c r="G227" s="423">
        <f t="shared" si="89"/>
        <v>0</v>
      </c>
      <c r="H227" s="423">
        <f t="shared" si="89"/>
        <v>0</v>
      </c>
      <c r="I227" s="423">
        <f t="shared" si="89"/>
        <v>0</v>
      </c>
      <c r="J227" s="423">
        <f t="shared" si="89"/>
        <v>0</v>
      </c>
      <c r="K227" s="423">
        <f t="shared" si="89"/>
        <v>0</v>
      </c>
      <c r="L227" s="423">
        <f t="shared" si="89"/>
        <v>0</v>
      </c>
      <c r="M227" s="423">
        <f t="shared" si="89"/>
        <v>0</v>
      </c>
      <c r="N227" s="423">
        <f t="shared" si="89"/>
        <v>0</v>
      </c>
      <c r="O227" s="423">
        <f t="shared" si="89"/>
        <v>0</v>
      </c>
      <c r="P227" s="423">
        <f t="shared" si="89"/>
        <v>0</v>
      </c>
      <c r="Q227" s="423">
        <f t="shared" si="89"/>
        <v>0</v>
      </c>
      <c r="R227" s="423">
        <f t="shared" si="89"/>
        <v>0</v>
      </c>
      <c r="S227" s="423">
        <f t="shared" si="89"/>
        <v>0</v>
      </c>
      <c r="T227" s="423">
        <f t="shared" si="89"/>
        <v>36</v>
      </c>
      <c r="U227" s="423">
        <f t="shared" si="89"/>
        <v>810</v>
      </c>
      <c r="V227" s="423">
        <f t="shared" si="89"/>
        <v>0</v>
      </c>
      <c r="W227" s="423">
        <f t="shared" si="89"/>
        <v>0</v>
      </c>
      <c r="X227" s="423">
        <f t="shared" si="89"/>
        <v>0</v>
      </c>
      <c r="Y227" s="423">
        <f t="shared" si="89"/>
        <v>0</v>
      </c>
      <c r="Z227" s="423">
        <f t="shared" si="89"/>
        <v>810</v>
      </c>
      <c r="AA227" s="423">
        <f t="shared" si="89"/>
        <v>810</v>
      </c>
      <c r="AB227" s="423">
        <f t="shared" si="89"/>
        <v>0</v>
      </c>
      <c r="AC227" s="423">
        <f t="shared" si="89"/>
        <v>0</v>
      </c>
      <c r="AD227" s="423">
        <f t="shared" si="89"/>
        <v>96</v>
      </c>
      <c r="AE227" s="423">
        <f t="shared" si="89"/>
        <v>0</v>
      </c>
      <c r="AF227" s="423">
        <f t="shared" si="89"/>
        <v>0</v>
      </c>
      <c r="AG227" s="423">
        <f t="shared" si="89"/>
        <v>0</v>
      </c>
      <c r="AH227" s="423">
        <f t="shared" si="89"/>
        <v>0</v>
      </c>
      <c r="AI227" s="423">
        <f t="shared" ref="AI227:BW227" si="90">SUM(AI209+AI224)</f>
        <v>0</v>
      </c>
      <c r="AJ227" s="423">
        <f t="shared" si="90"/>
        <v>0</v>
      </c>
      <c r="AK227" s="423">
        <f t="shared" si="90"/>
        <v>0</v>
      </c>
      <c r="AL227" s="423">
        <f t="shared" si="90"/>
        <v>0</v>
      </c>
      <c r="AM227" s="423">
        <f t="shared" si="90"/>
        <v>0</v>
      </c>
      <c r="AN227" s="423">
        <f t="shared" si="90"/>
        <v>528</v>
      </c>
      <c r="AO227" s="423">
        <f t="shared" si="90"/>
        <v>24</v>
      </c>
      <c r="AP227" s="423">
        <f t="shared" si="90"/>
        <v>0</v>
      </c>
      <c r="AQ227" s="423">
        <f t="shared" si="90"/>
        <v>142</v>
      </c>
      <c r="AR227" s="423">
        <f t="shared" si="90"/>
        <v>503</v>
      </c>
      <c r="AS227" s="423">
        <f t="shared" si="90"/>
        <v>36</v>
      </c>
      <c r="AT227" s="423">
        <f t="shared" si="90"/>
        <v>0</v>
      </c>
      <c r="AU227" s="423">
        <f t="shared" si="90"/>
        <v>0</v>
      </c>
      <c r="AV227" s="423">
        <f t="shared" si="90"/>
        <v>0</v>
      </c>
      <c r="AW227" s="423">
        <f t="shared" si="90"/>
        <v>714</v>
      </c>
      <c r="AX227" s="423">
        <f t="shared" si="90"/>
        <v>714</v>
      </c>
      <c r="AY227" s="423">
        <f t="shared" si="90"/>
        <v>539</v>
      </c>
      <c r="AZ227" s="423">
        <f t="shared" si="90"/>
        <v>0</v>
      </c>
      <c r="BA227" s="423">
        <f t="shared" si="90"/>
        <v>2</v>
      </c>
      <c r="BB227" s="423">
        <f t="shared" si="90"/>
        <v>0</v>
      </c>
      <c r="BC227" s="423">
        <f t="shared" si="90"/>
        <v>0</v>
      </c>
      <c r="BD227" s="423">
        <f t="shared" si="90"/>
        <v>0</v>
      </c>
      <c r="BE227" s="423">
        <f t="shared" si="90"/>
        <v>0</v>
      </c>
      <c r="BF227" s="423">
        <f t="shared" si="90"/>
        <v>0</v>
      </c>
      <c r="BG227" s="423">
        <f t="shared" si="90"/>
        <v>0</v>
      </c>
      <c r="BH227" s="423">
        <f t="shared" si="90"/>
        <v>0</v>
      </c>
      <c r="BI227" s="423">
        <f t="shared" si="90"/>
        <v>0</v>
      </c>
      <c r="BJ227" s="423">
        <f t="shared" si="90"/>
        <v>0</v>
      </c>
      <c r="BK227" s="423">
        <f t="shared" si="90"/>
        <v>0</v>
      </c>
      <c r="BL227" s="423">
        <f t="shared" si="90"/>
        <v>0</v>
      </c>
      <c r="BM227" s="423">
        <f t="shared" si="90"/>
        <v>0</v>
      </c>
      <c r="BN227" s="423">
        <f t="shared" si="90"/>
        <v>0</v>
      </c>
      <c r="BO227" s="423">
        <f t="shared" si="90"/>
        <v>0</v>
      </c>
      <c r="BP227" s="423">
        <f t="shared" si="90"/>
        <v>0</v>
      </c>
      <c r="BQ227" s="423">
        <f t="shared" si="90"/>
        <v>0</v>
      </c>
      <c r="BR227" s="423">
        <f t="shared" si="90"/>
        <v>0</v>
      </c>
      <c r="BS227" s="423">
        <f t="shared" si="90"/>
        <v>12</v>
      </c>
      <c r="BT227" s="423">
        <f t="shared" si="90"/>
        <v>0</v>
      </c>
      <c r="BU227" s="423">
        <f t="shared" si="90"/>
        <v>0</v>
      </c>
      <c r="BV227" s="423">
        <f t="shared" si="90"/>
        <v>0</v>
      </c>
      <c r="BW227" s="423">
        <f t="shared" si="90"/>
        <v>9</v>
      </c>
      <c r="BX227" s="423"/>
      <c r="BY227" s="423">
        <f t="shared" ref="BY227:DC227" si="91">SUM(BY209+BY224)</f>
        <v>2</v>
      </c>
      <c r="BZ227" s="423">
        <f t="shared" si="91"/>
        <v>0</v>
      </c>
      <c r="CA227" s="423">
        <f t="shared" si="91"/>
        <v>0</v>
      </c>
      <c r="CB227" s="423">
        <f t="shared" si="91"/>
        <v>0</v>
      </c>
      <c r="CC227" s="423"/>
      <c r="CD227" s="423">
        <f t="shared" si="91"/>
        <v>0</v>
      </c>
      <c r="CE227" s="423"/>
      <c r="CF227" s="423">
        <f t="shared" si="91"/>
        <v>0</v>
      </c>
      <c r="CG227" s="423"/>
      <c r="CH227" s="423">
        <f t="shared" si="91"/>
        <v>0</v>
      </c>
      <c r="CI227" s="423">
        <f t="shared" si="91"/>
        <v>0</v>
      </c>
      <c r="CJ227" s="423">
        <f t="shared" si="91"/>
        <v>0</v>
      </c>
      <c r="CK227" s="423"/>
      <c r="CL227" s="423"/>
      <c r="CM227" s="423">
        <f t="shared" si="91"/>
        <v>0</v>
      </c>
      <c r="CN227" s="423">
        <f t="shared" si="91"/>
        <v>0</v>
      </c>
      <c r="CO227" s="423">
        <f t="shared" si="91"/>
        <v>0</v>
      </c>
      <c r="CP227" s="423">
        <f t="shared" si="91"/>
        <v>0</v>
      </c>
      <c r="CQ227" s="423">
        <f t="shared" si="91"/>
        <v>26</v>
      </c>
      <c r="CR227" s="423">
        <f t="shared" si="91"/>
        <v>0</v>
      </c>
      <c r="CS227" s="423">
        <f t="shared" si="91"/>
        <v>0</v>
      </c>
      <c r="CT227" s="423">
        <f t="shared" si="91"/>
        <v>628</v>
      </c>
      <c r="CU227" s="423">
        <f t="shared" si="91"/>
        <v>80</v>
      </c>
      <c r="CV227" s="423">
        <f t="shared" si="91"/>
        <v>22</v>
      </c>
      <c r="CW227" s="423">
        <f t="shared" si="91"/>
        <v>213</v>
      </c>
      <c r="CX227" s="423">
        <f t="shared" si="91"/>
        <v>16</v>
      </c>
      <c r="CY227" s="423">
        <f t="shared" si="91"/>
        <v>158</v>
      </c>
      <c r="CZ227" s="423">
        <f t="shared" si="91"/>
        <v>628</v>
      </c>
      <c r="DA227" s="423">
        <f t="shared" si="91"/>
        <v>0</v>
      </c>
      <c r="DB227" s="423">
        <f t="shared" si="91"/>
        <v>0</v>
      </c>
      <c r="DC227" s="423">
        <f t="shared" si="91"/>
        <v>0</v>
      </c>
    </row>
    <row r="228" spans="1:107" ht="19.5" thickTop="1">
      <c r="B228" s="426"/>
      <c r="C228" s="427"/>
      <c r="D228" s="427"/>
      <c r="E228" s="427"/>
      <c r="F228" s="427"/>
      <c r="G228" s="427"/>
      <c r="H228" s="427"/>
      <c r="I228" s="427"/>
      <c r="J228" s="427"/>
      <c r="K228" s="427"/>
      <c r="L228" s="427"/>
      <c r="M228" s="427"/>
      <c r="N228" s="427"/>
      <c r="O228" s="427"/>
      <c r="P228" s="427"/>
      <c r="Q228" s="427"/>
      <c r="R228" s="427"/>
      <c r="S228" s="427"/>
      <c r="T228" s="427"/>
      <c r="U228" s="427"/>
      <c r="V228" s="427"/>
      <c r="W228" s="427"/>
      <c r="X228" s="427"/>
      <c r="Y228" s="427"/>
      <c r="Z228" s="427"/>
      <c r="AA228" s="427"/>
      <c r="AB228" s="427"/>
      <c r="AC228" s="427"/>
      <c r="AD228" s="427"/>
      <c r="AE228" s="427"/>
      <c r="AF228" s="427"/>
      <c r="AG228" s="427"/>
      <c r="AH228" s="427"/>
      <c r="AI228" s="427"/>
      <c r="AJ228" s="427"/>
      <c r="AK228" s="427"/>
      <c r="AL228" s="427"/>
      <c r="AM228" s="427"/>
      <c r="AN228" s="427"/>
      <c r="AO228" s="427"/>
      <c r="AP228" s="427"/>
      <c r="AQ228" s="427"/>
      <c r="AR228" s="427"/>
      <c r="AS228" s="427"/>
      <c r="AT228" s="427"/>
      <c r="AU228" s="427"/>
      <c r="AV228" s="427"/>
      <c r="AW228" s="427"/>
      <c r="AX228" s="427"/>
      <c r="AY228" s="427"/>
      <c r="AZ228" s="428"/>
      <c r="BA228" s="428"/>
      <c r="BB228" s="428"/>
      <c r="BC228" s="428"/>
      <c r="BD228" s="428"/>
      <c r="BE228" s="428"/>
      <c r="BF228" s="428"/>
      <c r="BG228" s="428"/>
      <c r="BH228" s="428"/>
      <c r="BI228" s="428"/>
      <c r="BJ228" s="428"/>
      <c r="BK228" s="428"/>
      <c r="BL228" s="428"/>
      <c r="BM228" s="428"/>
      <c r="BN228" s="428"/>
      <c r="BO228" s="428"/>
      <c r="BP228" s="428"/>
      <c r="BQ228" s="428"/>
      <c r="BR228" s="428"/>
      <c r="BS228" s="428"/>
      <c r="BT228" s="428"/>
      <c r="BU228" s="428"/>
      <c r="BV228" s="428"/>
      <c r="BW228" s="428"/>
      <c r="BX228" s="428"/>
      <c r="BY228" s="428"/>
      <c r="BZ228" s="428"/>
      <c r="CA228" s="428"/>
      <c r="CB228" s="428"/>
      <c r="CC228" s="428"/>
      <c r="CD228" s="428"/>
      <c r="CE228" s="428"/>
      <c r="CF228" s="428"/>
      <c r="CG228" s="428"/>
      <c r="CH228" s="428"/>
      <c r="CI228" s="428"/>
      <c r="CJ228" s="428"/>
      <c r="CK228" s="428"/>
      <c r="CL228" s="428"/>
      <c r="CM228" s="428"/>
      <c r="CN228" s="428"/>
      <c r="CO228" s="428"/>
      <c r="CP228" s="428"/>
      <c r="CQ228" s="428"/>
      <c r="CR228" s="428"/>
      <c r="CS228" s="428"/>
      <c r="CT228" s="428"/>
      <c r="CU228" s="428"/>
      <c r="CV228" s="428"/>
      <c r="CW228" s="428"/>
      <c r="CX228" s="428"/>
      <c r="CY228" s="428"/>
      <c r="CZ228" s="428"/>
      <c r="DA228" s="428"/>
      <c r="DB228" s="428"/>
      <c r="DC228" s="428"/>
    </row>
    <row r="229" spans="1:107" ht="18.75">
      <c r="B229" s="426"/>
      <c r="C229" s="427"/>
      <c r="D229" s="427"/>
      <c r="E229" s="427"/>
      <c r="F229" s="427"/>
      <c r="G229" s="427"/>
      <c r="H229" s="427"/>
      <c r="I229" s="427"/>
      <c r="J229" s="427"/>
      <c r="K229" s="427"/>
      <c r="L229" s="427"/>
      <c r="M229" s="427"/>
      <c r="N229" s="427"/>
      <c r="O229" s="427"/>
      <c r="P229" s="427"/>
      <c r="Q229" s="427"/>
      <c r="R229" s="427"/>
      <c r="S229" s="427"/>
      <c r="T229" s="427"/>
      <c r="U229" s="427"/>
      <c r="V229" s="427"/>
      <c r="W229" s="427"/>
      <c r="X229" s="427"/>
      <c r="Y229" s="427"/>
      <c r="Z229" s="427"/>
      <c r="AA229" s="427"/>
      <c r="AB229" s="427"/>
      <c r="AC229" s="427"/>
      <c r="AD229" s="427"/>
      <c r="AE229" s="427"/>
      <c r="AF229" s="427"/>
      <c r="AG229" s="427"/>
      <c r="AH229" s="427"/>
      <c r="AI229" s="427"/>
      <c r="AJ229" s="427"/>
      <c r="AK229" s="427"/>
      <c r="AL229" s="427"/>
      <c r="AM229" s="427"/>
      <c r="AN229" s="427"/>
      <c r="AO229" s="427"/>
      <c r="AP229" s="427"/>
      <c r="AQ229" s="427"/>
      <c r="AR229" s="427"/>
      <c r="AS229" s="427"/>
      <c r="AT229" s="427"/>
      <c r="AU229" s="427"/>
      <c r="AV229" s="427"/>
      <c r="AW229" s="427"/>
      <c r="AX229" s="427"/>
      <c r="AY229" s="427"/>
      <c r="AZ229" s="428"/>
      <c r="BA229" s="428"/>
      <c r="BB229" s="428"/>
      <c r="BC229" s="428"/>
      <c r="BD229" s="428"/>
      <c r="BE229" s="428"/>
      <c r="BF229" s="428"/>
      <c r="BG229" s="428"/>
      <c r="BH229" s="428"/>
      <c r="BI229" s="428"/>
      <c r="BJ229" s="428"/>
      <c r="BK229" s="428"/>
      <c r="BL229" s="428"/>
      <c r="BM229" s="428"/>
      <c r="BN229" s="428"/>
      <c r="BO229" s="428"/>
      <c r="BP229" s="428"/>
      <c r="BQ229" s="428"/>
      <c r="BR229" s="428"/>
      <c r="BS229" s="428"/>
      <c r="BT229" s="428"/>
      <c r="BU229" s="428"/>
      <c r="BV229" s="428"/>
      <c r="BW229" s="428"/>
      <c r="BX229" s="428"/>
      <c r="BY229" s="428"/>
      <c r="BZ229" s="428"/>
      <c r="CA229" s="428"/>
      <c r="CB229" s="428"/>
      <c r="CC229" s="428"/>
      <c r="CD229" s="428"/>
      <c r="CE229" s="428"/>
      <c r="CF229" s="428"/>
      <c r="CG229" s="428"/>
      <c r="CH229" s="428"/>
      <c r="CI229" s="428"/>
      <c r="CJ229" s="428"/>
      <c r="CK229" s="428"/>
      <c r="CL229" s="428"/>
      <c r="CM229" s="428"/>
      <c r="CN229" s="428"/>
      <c r="CO229" s="428"/>
      <c r="CP229" s="428"/>
      <c r="CQ229" s="428"/>
      <c r="CR229" s="428"/>
      <c r="CS229" s="428"/>
      <c r="CT229" s="428"/>
      <c r="CU229" s="428"/>
      <c r="CV229" s="428"/>
      <c r="CW229" s="428"/>
      <c r="CX229" s="428"/>
      <c r="CY229" s="428"/>
      <c r="CZ229" s="428"/>
      <c r="DA229" s="428"/>
      <c r="DB229" s="428"/>
      <c r="DC229" s="428"/>
    </row>
    <row r="230" spans="1:107" ht="18.75">
      <c r="B230" s="426"/>
      <c r="C230" s="427"/>
      <c r="D230" s="427"/>
      <c r="E230" s="427"/>
      <c r="F230" s="427"/>
      <c r="G230" s="427"/>
      <c r="H230" s="427"/>
      <c r="I230" s="427"/>
      <c r="J230" s="427"/>
      <c r="K230" s="427"/>
      <c r="L230" s="427"/>
      <c r="M230" s="427"/>
      <c r="N230" s="427"/>
      <c r="O230" s="427"/>
      <c r="P230" s="427"/>
      <c r="Q230" s="427"/>
      <c r="R230" s="59"/>
      <c r="S230" s="427"/>
      <c r="T230" s="427"/>
      <c r="U230" s="427"/>
      <c r="V230" s="427"/>
      <c r="W230" s="427"/>
      <c r="X230" s="427"/>
      <c r="Y230" s="427"/>
      <c r="Z230" s="427"/>
      <c r="AA230" s="427"/>
      <c r="AB230" s="427"/>
      <c r="AC230" s="427"/>
      <c r="AD230" s="427"/>
      <c r="AE230" s="427"/>
      <c r="AF230" s="427"/>
      <c r="AG230" s="427"/>
      <c r="AH230" s="427"/>
      <c r="AI230" s="427"/>
      <c r="AJ230" s="427"/>
      <c r="AK230" s="427"/>
      <c r="AL230" s="427"/>
      <c r="AM230" s="427"/>
      <c r="AN230" s="427"/>
      <c r="AO230" s="427"/>
      <c r="AP230" s="427"/>
      <c r="AQ230" s="427"/>
      <c r="AR230" s="427"/>
      <c r="AS230" s="427"/>
      <c r="AT230" s="427"/>
      <c r="AU230" s="427"/>
      <c r="AV230" s="427"/>
      <c r="AW230" s="427"/>
      <c r="AX230" s="427"/>
      <c r="AY230" s="427"/>
      <c r="AZ230" s="428"/>
      <c r="BA230" s="428"/>
      <c r="BB230" s="428"/>
      <c r="BC230" s="428"/>
      <c r="BD230" s="428"/>
      <c r="BE230" s="428"/>
      <c r="BF230" s="428"/>
      <c r="BG230" s="428"/>
      <c r="BH230" s="428"/>
      <c r="BI230" s="428"/>
      <c r="BJ230" s="428"/>
      <c r="BK230" s="428"/>
      <c r="BL230" s="428"/>
      <c r="BM230" s="428"/>
      <c r="BN230" s="428"/>
      <c r="BO230" s="428"/>
      <c r="BP230" s="428"/>
      <c r="BQ230" s="428"/>
      <c r="BR230" s="428"/>
      <c r="BS230" s="428"/>
      <c r="BT230" s="428"/>
      <c r="BU230" s="428"/>
      <c r="BV230" s="428"/>
      <c r="BW230" s="428"/>
      <c r="BX230" s="428"/>
      <c r="BY230" s="428"/>
      <c r="BZ230" s="428"/>
      <c r="CA230" s="428"/>
      <c r="CB230" s="428"/>
      <c r="CC230" s="428"/>
      <c r="CD230" s="428"/>
      <c r="CE230" s="428"/>
      <c r="CF230" s="428"/>
      <c r="CG230" s="428"/>
      <c r="CH230" s="428"/>
      <c r="CI230" s="428"/>
      <c r="CJ230" s="428"/>
      <c r="CK230" s="428"/>
      <c r="CL230" s="428"/>
      <c r="CM230" s="428"/>
      <c r="CN230" s="428"/>
      <c r="CO230" s="428"/>
      <c r="CP230" s="428"/>
      <c r="CQ230" s="428"/>
      <c r="CR230" s="428"/>
      <c r="CS230" s="428"/>
      <c r="CT230" s="428"/>
      <c r="CU230" s="428"/>
      <c r="CV230" s="428"/>
      <c r="CW230" s="428"/>
      <c r="CX230" s="428"/>
      <c r="CY230" s="428"/>
      <c r="CZ230" s="428"/>
      <c r="DA230" s="428"/>
      <c r="DB230" s="428"/>
      <c r="DC230" s="428"/>
    </row>
    <row r="231" spans="1:107" ht="18.75">
      <c r="B231" s="426"/>
      <c r="C231" s="427"/>
      <c r="D231" s="427"/>
      <c r="E231" s="427"/>
      <c r="F231" s="427"/>
      <c r="G231" s="427"/>
      <c r="H231" s="427"/>
      <c r="I231" s="427"/>
      <c r="J231" s="427"/>
      <c r="K231" s="427"/>
      <c r="L231" s="427"/>
      <c r="M231" s="427"/>
      <c r="N231" s="427"/>
      <c r="O231" s="427"/>
      <c r="P231" s="427"/>
      <c r="Q231" s="427"/>
      <c r="R231" s="427"/>
      <c r="S231" s="427"/>
      <c r="T231" s="427"/>
      <c r="U231" s="427"/>
      <c r="V231" s="427"/>
      <c r="W231" s="427"/>
      <c r="X231" s="427"/>
      <c r="Y231" s="427"/>
      <c r="Z231" s="427"/>
      <c r="AA231" s="427"/>
      <c r="AB231" s="427"/>
      <c r="AC231" s="427"/>
      <c r="AD231" s="427"/>
      <c r="AE231" s="427"/>
      <c r="AF231" s="427"/>
      <c r="AG231" s="427"/>
      <c r="AH231" s="427"/>
      <c r="AI231" s="427"/>
      <c r="AJ231" s="427"/>
      <c r="AK231" s="427"/>
      <c r="AL231" s="427"/>
      <c r="AM231" s="427"/>
      <c r="AN231" s="427"/>
      <c r="AO231" s="427"/>
      <c r="AP231" s="427"/>
      <c r="AQ231" s="427"/>
      <c r="AR231" s="427"/>
      <c r="AS231" s="427"/>
      <c r="AT231" s="427"/>
      <c r="AU231" s="427"/>
      <c r="AV231" s="427"/>
      <c r="AW231" s="427"/>
      <c r="AX231" s="427"/>
      <c r="AY231" s="427"/>
      <c r="AZ231" s="428"/>
      <c r="BA231" s="428"/>
      <c r="BB231" s="428"/>
      <c r="BC231" s="428"/>
      <c r="BD231" s="428"/>
      <c r="BE231" s="428"/>
      <c r="BF231" s="428"/>
      <c r="BG231" s="428"/>
      <c r="BH231" s="428"/>
      <c r="BI231" s="428"/>
      <c r="BJ231" s="428"/>
      <c r="BK231" s="428"/>
      <c r="BL231" s="428"/>
      <c r="BM231" s="428"/>
      <c r="BN231" s="428"/>
      <c r="BO231" s="428"/>
      <c r="BP231" s="428"/>
      <c r="BQ231" s="428"/>
      <c r="BR231" s="428"/>
      <c r="BS231" s="428"/>
      <c r="BT231" s="428"/>
      <c r="BU231" s="428"/>
      <c r="BV231" s="428"/>
      <c r="BW231" s="428"/>
      <c r="BX231" s="428"/>
      <c r="BY231" s="428"/>
      <c r="BZ231" s="428"/>
      <c r="CA231" s="428"/>
      <c r="CB231" s="428"/>
      <c r="CC231" s="428"/>
      <c r="CD231" s="428"/>
      <c r="CE231" s="428"/>
      <c r="CF231" s="428"/>
      <c r="CG231" s="428"/>
      <c r="CH231" s="428"/>
      <c r="CI231" s="428"/>
      <c r="CJ231" s="428"/>
      <c r="CK231" s="428"/>
      <c r="CL231" s="428"/>
      <c r="CM231" s="428"/>
      <c r="CN231" s="428"/>
      <c r="CO231" s="428"/>
      <c r="CP231" s="428"/>
      <c r="CQ231" s="428"/>
      <c r="CR231" s="428"/>
      <c r="CS231" s="428"/>
      <c r="CT231" s="428"/>
      <c r="CU231" s="428"/>
      <c r="CV231" s="428"/>
      <c r="CW231" s="428"/>
      <c r="CX231" s="428"/>
      <c r="CY231" s="428"/>
      <c r="CZ231" s="428"/>
      <c r="DA231" s="428"/>
      <c r="DB231" s="428"/>
      <c r="DC231" s="428"/>
    </row>
    <row r="233" spans="1:107">
      <c r="B233" s="309" t="s">
        <v>653</v>
      </c>
    </row>
    <row r="238" spans="1:107">
      <c r="BB238" s="319" t="s">
        <v>204</v>
      </c>
      <c r="BC238" s="319" t="s">
        <v>203</v>
      </c>
      <c r="BD238" s="319" t="s">
        <v>202</v>
      </c>
      <c r="BE238" s="319" t="s">
        <v>201</v>
      </c>
      <c r="BF238" s="319"/>
      <c r="BG238" s="319" t="s">
        <v>432</v>
      </c>
      <c r="BH238" s="319" t="s">
        <v>433</v>
      </c>
      <c r="BI238" s="319" t="s">
        <v>434</v>
      </c>
      <c r="BJ238" s="319" t="s">
        <v>435</v>
      </c>
      <c r="BK238" s="319" t="s">
        <v>436</v>
      </c>
      <c r="BL238" s="319" t="s">
        <v>437</v>
      </c>
      <c r="BM238" s="319" t="s">
        <v>438</v>
      </c>
      <c r="BN238" s="319" t="s">
        <v>439</v>
      </c>
      <c r="BO238" s="319" t="s">
        <v>440</v>
      </c>
      <c r="BP238" s="319"/>
      <c r="BQ238" s="319" t="s">
        <v>441</v>
      </c>
      <c r="BR238" s="319" t="s">
        <v>459</v>
      </c>
      <c r="BS238" s="319" t="s">
        <v>460</v>
      </c>
      <c r="BT238" s="319" t="s">
        <v>461</v>
      </c>
      <c r="BU238" s="320" t="s">
        <v>462</v>
      </c>
      <c r="BV238" s="320"/>
      <c r="BW238" s="320" t="s">
        <v>708</v>
      </c>
      <c r="BX238" s="320"/>
      <c r="BY238" s="320" t="s">
        <v>709</v>
      </c>
      <c r="BZ238" s="307" t="s">
        <v>200</v>
      </c>
      <c r="CA238" s="307" t="s">
        <v>199</v>
      </c>
      <c r="CB238" s="307" t="s">
        <v>198</v>
      </c>
      <c r="CC238" s="307"/>
      <c r="CD238" s="307" t="s">
        <v>197</v>
      </c>
      <c r="CE238" s="307"/>
      <c r="CF238" s="307" t="s">
        <v>196</v>
      </c>
      <c r="CG238" s="307"/>
      <c r="CH238" s="307" t="s">
        <v>195</v>
      </c>
      <c r="CI238" s="307" t="s">
        <v>194</v>
      </c>
      <c r="CJ238" s="307" t="s">
        <v>193</v>
      </c>
      <c r="CK238" s="307"/>
      <c r="CL238" s="307"/>
      <c r="CM238" s="307" t="s">
        <v>192</v>
      </c>
      <c r="CN238" s="307" t="s">
        <v>191</v>
      </c>
      <c r="CO238" s="307" t="s">
        <v>190</v>
      </c>
      <c r="CP238" s="307" t="s">
        <v>189</v>
      </c>
      <c r="CQ238" s="307" t="s">
        <v>188</v>
      </c>
      <c r="CR238" s="307" t="s">
        <v>187</v>
      </c>
      <c r="CS238" s="313" t="s">
        <v>186</v>
      </c>
      <c r="CT238" s="313" t="s">
        <v>710</v>
      </c>
      <c r="CU238" s="313" t="s">
        <v>711</v>
      </c>
    </row>
    <row r="239" spans="1:107">
      <c r="BB239" s="315">
        <f>4.15*4.3</f>
        <v>17.845000000000002</v>
      </c>
      <c r="BC239" s="305">
        <f>2.1*2.4</f>
        <v>5.04</v>
      </c>
      <c r="BD239" s="315">
        <f>4.15*4.3</f>
        <v>17.845000000000002</v>
      </c>
      <c r="BE239" s="305">
        <f>2.1*2.4</f>
        <v>5.04</v>
      </c>
      <c r="BF239" s="305"/>
      <c r="BG239" s="305">
        <f>7*2.4</f>
        <v>16.8</v>
      </c>
      <c r="BH239" s="305">
        <f>2*2.4</f>
        <v>4.8</v>
      </c>
      <c r="BI239" s="305">
        <f>2*2.4</f>
        <v>4.8</v>
      </c>
      <c r="BJ239" s="305">
        <f>2.1*2.4</f>
        <v>5.04</v>
      </c>
      <c r="BK239" s="305">
        <f>1*2.4</f>
        <v>2.4</v>
      </c>
      <c r="BL239" s="305">
        <f>1*2.4</f>
        <v>2.4</v>
      </c>
      <c r="BM239" s="305">
        <f>1*2.4</f>
        <v>2.4</v>
      </c>
      <c r="BN239" s="305">
        <f>1.3*2.4</f>
        <v>3.12</v>
      </c>
      <c r="BO239" s="305">
        <f>1*2.05</f>
        <v>2.0499999999999998</v>
      </c>
      <c r="BP239" s="305"/>
      <c r="BQ239" s="305">
        <f>1*2.4</f>
        <v>2.4</v>
      </c>
      <c r="BR239" s="305">
        <f>(2*2.4)+(0.4*5.1)</f>
        <v>6.84</v>
      </c>
      <c r="BS239" s="305">
        <f>1*2.4</f>
        <v>2.4</v>
      </c>
      <c r="BT239" s="305">
        <f>6.7*2.7</f>
        <v>18.090000000000003</v>
      </c>
      <c r="BU239" s="305">
        <f>5.5*2.5</f>
        <v>13.75</v>
      </c>
      <c r="BV239" s="305"/>
      <c r="BW239" s="305"/>
      <c r="BX239" s="305"/>
      <c r="BY239" s="305"/>
      <c r="BZ239" s="315">
        <f>1.65*5.1</f>
        <v>8.4149999999999991</v>
      </c>
      <c r="CA239" s="315">
        <f>5.1*1.65</f>
        <v>8.4149999999999991</v>
      </c>
      <c r="CB239" s="305">
        <f>1.8*1.65</f>
        <v>2.9699999999999998</v>
      </c>
      <c r="CC239" s="305"/>
      <c r="CD239" s="315">
        <f>1.65*5.1</f>
        <v>8.4149999999999991</v>
      </c>
      <c r="CE239" s="315"/>
      <c r="CF239" s="315">
        <f>1.75*1.65</f>
        <v>2.8874999999999997</v>
      </c>
      <c r="CG239" s="315"/>
      <c r="CH239" s="305">
        <f>0.6*2.3</f>
        <v>1.38</v>
      </c>
      <c r="CI239" s="315">
        <f>1.7*1.65</f>
        <v>2.8049999999999997</v>
      </c>
      <c r="CJ239" s="315">
        <f>1.9*1.2</f>
        <v>2.2799999999999998</v>
      </c>
      <c r="CK239" s="315"/>
      <c r="CL239" s="315"/>
      <c r="CM239" s="305">
        <f>7.5*2.4</f>
        <v>18</v>
      </c>
      <c r="CN239" s="305">
        <f>1.8*1.65</f>
        <v>2.9699999999999998</v>
      </c>
      <c r="CO239" s="315">
        <f>5.1*1.65</f>
        <v>8.4149999999999991</v>
      </c>
      <c r="CP239" s="315">
        <f>1.75*1.65</f>
        <v>2.8874999999999997</v>
      </c>
      <c r="CQ239" s="315">
        <f>6.35*1.65</f>
        <v>10.477499999999999</v>
      </c>
      <c r="CR239" s="315">
        <f>11.95*1.65</f>
        <v>19.717499999999998</v>
      </c>
      <c r="CS239" s="315">
        <f>5.6*1.3</f>
        <v>7.2799999999999994</v>
      </c>
      <c r="CT239" s="315"/>
      <c r="CU239" s="315"/>
    </row>
    <row r="240" spans="1:107">
      <c r="BB240" s="317">
        <v>4.1500000000000004</v>
      </c>
      <c r="BC240" s="317">
        <v>2.1</v>
      </c>
      <c r="BD240" s="317">
        <v>4.1500000000000004</v>
      </c>
      <c r="BE240" s="317">
        <v>2.1</v>
      </c>
      <c r="BF240" s="317"/>
      <c r="BG240" s="317">
        <v>7</v>
      </c>
      <c r="BH240" s="317">
        <f>2</f>
        <v>2</v>
      </c>
      <c r="BI240" s="317">
        <f>2</f>
        <v>2</v>
      </c>
      <c r="BJ240" s="317">
        <v>2.1</v>
      </c>
      <c r="BK240" s="317">
        <v>1.1000000000000001</v>
      </c>
      <c r="BL240" s="317">
        <v>1.1000000000000001</v>
      </c>
      <c r="BM240" s="317">
        <v>1.1000000000000001</v>
      </c>
      <c r="BN240" s="317">
        <v>1.3</v>
      </c>
      <c r="BO240" s="317">
        <v>1.1000000000000001</v>
      </c>
      <c r="BP240" s="317"/>
      <c r="BQ240" s="317">
        <v>1.1000000000000001</v>
      </c>
      <c r="BR240" s="317">
        <v>5.0999999999999996</v>
      </c>
      <c r="BS240" s="317">
        <v>1.1000000000000001</v>
      </c>
      <c r="BT240" s="317">
        <v>6.7</v>
      </c>
      <c r="BU240" s="317" t="s">
        <v>571</v>
      </c>
      <c r="BV240" s="317"/>
      <c r="BW240" s="317"/>
      <c r="BX240" s="317"/>
      <c r="BY240" s="317"/>
      <c r="BZ240" s="331">
        <f>5.1*2</f>
        <v>10.199999999999999</v>
      </c>
      <c r="CA240" s="331">
        <f>5.1*2</f>
        <v>10.199999999999999</v>
      </c>
      <c r="CB240" s="317">
        <f>1.8*2</f>
        <v>3.6</v>
      </c>
      <c r="CC240" s="317"/>
      <c r="CD240" s="331">
        <f>5.1*2</f>
        <v>10.199999999999999</v>
      </c>
      <c r="CE240" s="331"/>
      <c r="CF240" s="331">
        <f>1.75*2</f>
        <v>3.5</v>
      </c>
      <c r="CG240" s="331"/>
      <c r="CH240" s="317">
        <f>2.3*2</f>
        <v>4.5999999999999996</v>
      </c>
      <c r="CI240" s="331">
        <f>1.7*2</f>
        <v>3.4</v>
      </c>
      <c r="CJ240" s="331">
        <f>1.9*2</f>
        <v>3.8</v>
      </c>
      <c r="CK240" s="331"/>
      <c r="CL240" s="331"/>
      <c r="CM240" s="317">
        <f>7.5*2</f>
        <v>15</v>
      </c>
      <c r="CN240" s="317">
        <f>1.8*2</f>
        <v>3.6</v>
      </c>
      <c r="CO240" s="331">
        <f>5.1*2</f>
        <v>10.199999999999999</v>
      </c>
      <c r="CP240" s="331">
        <f>1.75*2</f>
        <v>3.5</v>
      </c>
      <c r="CQ240" s="331">
        <f>6.35*2</f>
        <v>12.7</v>
      </c>
      <c r="CR240" s="317">
        <f>11.95*2</f>
        <v>23.9</v>
      </c>
      <c r="CS240" s="317"/>
      <c r="CT240" s="317"/>
      <c r="CU240" s="317"/>
    </row>
    <row r="241" spans="1:107">
      <c r="BB241" s="317">
        <f>4.3*2</f>
        <v>8.6</v>
      </c>
      <c r="BC241" s="317">
        <f>2.4*2</f>
        <v>4.8</v>
      </c>
      <c r="BD241" s="317">
        <f>4.3*2</f>
        <v>8.6</v>
      </c>
      <c r="BE241" s="317">
        <f t="shared" ref="BE241:BN241" si="92">2.4*2</f>
        <v>4.8</v>
      </c>
      <c r="BF241" s="317"/>
      <c r="BG241" s="317">
        <f t="shared" si="92"/>
        <v>4.8</v>
      </c>
      <c r="BH241" s="317">
        <f t="shared" si="92"/>
        <v>4.8</v>
      </c>
      <c r="BI241" s="317">
        <f t="shared" si="92"/>
        <v>4.8</v>
      </c>
      <c r="BJ241" s="317">
        <f t="shared" si="92"/>
        <v>4.8</v>
      </c>
      <c r="BK241" s="317">
        <f t="shared" si="92"/>
        <v>4.8</v>
      </c>
      <c r="BL241" s="317">
        <f t="shared" si="92"/>
        <v>4.8</v>
      </c>
      <c r="BM241" s="317">
        <f t="shared" si="92"/>
        <v>4.8</v>
      </c>
      <c r="BN241" s="317">
        <f t="shared" si="92"/>
        <v>4.8</v>
      </c>
      <c r="BO241" s="317">
        <f>2.05*2</f>
        <v>4.0999999999999996</v>
      </c>
      <c r="BP241" s="317"/>
      <c r="BQ241" s="317">
        <f>2.4*2</f>
        <v>4.8</v>
      </c>
      <c r="BR241" s="317">
        <f>2.8*2</f>
        <v>5.6</v>
      </c>
      <c r="BS241" s="317">
        <f>2.4*2</f>
        <v>4.8</v>
      </c>
      <c r="BT241" s="317">
        <f>2.7*2</f>
        <v>5.4</v>
      </c>
      <c r="BU241" s="317">
        <f>2.5*2</f>
        <v>5</v>
      </c>
      <c r="BV241" s="317"/>
      <c r="BW241" s="317"/>
      <c r="BX241" s="317"/>
      <c r="BY241" s="317"/>
      <c r="BZ241" s="331">
        <f>1.65*2</f>
        <v>3.3</v>
      </c>
      <c r="CA241" s="331">
        <f>1.65*2</f>
        <v>3.3</v>
      </c>
      <c r="CB241" s="331">
        <f>1.65*2</f>
        <v>3.3</v>
      </c>
      <c r="CC241" s="331"/>
      <c r="CD241" s="331">
        <f>1.65*2</f>
        <v>3.3</v>
      </c>
      <c r="CE241" s="331"/>
      <c r="CF241" s="331">
        <f>1.65*2</f>
        <v>3.3</v>
      </c>
      <c r="CG241" s="331"/>
      <c r="CH241" s="317">
        <f>0.6*2</f>
        <v>1.2</v>
      </c>
      <c r="CI241" s="331">
        <f>1.65*2</f>
        <v>3.3</v>
      </c>
      <c r="CJ241" s="331">
        <f>1.2*2</f>
        <v>2.4</v>
      </c>
      <c r="CK241" s="331"/>
      <c r="CL241" s="331"/>
      <c r="CM241" s="317">
        <f>2.4*2</f>
        <v>4.8</v>
      </c>
      <c r="CN241" s="331">
        <f>1.65*2</f>
        <v>3.3</v>
      </c>
      <c r="CO241" s="331">
        <f>1.65*2</f>
        <v>3.3</v>
      </c>
      <c r="CP241" s="331">
        <f>1.65*2</f>
        <v>3.3</v>
      </c>
      <c r="CQ241" s="331">
        <f>1.65*2</f>
        <v>3.3</v>
      </c>
      <c r="CR241" s="331">
        <f>1.65*2</f>
        <v>3.3</v>
      </c>
      <c r="CS241" s="317" t="s">
        <v>588</v>
      </c>
      <c r="CT241" s="317"/>
      <c r="CU241" s="317"/>
    </row>
    <row r="242" spans="1:107">
      <c r="BB242" s="321" t="s">
        <v>175</v>
      </c>
      <c r="BC242" s="321" t="s">
        <v>175</v>
      </c>
      <c r="BD242" s="321" t="s">
        <v>175</v>
      </c>
      <c r="BE242" s="321" t="s">
        <v>175</v>
      </c>
      <c r="BF242" s="321"/>
      <c r="BG242" s="321" t="s">
        <v>175</v>
      </c>
      <c r="BH242" s="321" t="s">
        <v>175</v>
      </c>
      <c r="BI242" s="321" t="s">
        <v>175</v>
      </c>
      <c r="BJ242" s="321" t="s">
        <v>175</v>
      </c>
      <c r="BK242" s="321" t="s">
        <v>175</v>
      </c>
      <c r="BL242" s="321" t="s">
        <v>175</v>
      </c>
      <c r="BM242" s="321" t="s">
        <v>175</v>
      </c>
      <c r="BN242" s="321" t="s">
        <v>175</v>
      </c>
      <c r="BO242" s="321" t="s">
        <v>175</v>
      </c>
      <c r="BP242" s="321"/>
      <c r="BQ242" s="321" t="s">
        <v>175</v>
      </c>
      <c r="BR242" s="321" t="s">
        <v>175</v>
      </c>
      <c r="BS242" s="321" t="s">
        <v>175</v>
      </c>
      <c r="BT242" s="321" t="s">
        <v>175</v>
      </c>
      <c r="BU242" s="321" t="s">
        <v>175</v>
      </c>
      <c r="BV242" s="321"/>
      <c r="BW242" s="321"/>
      <c r="BX242" s="321"/>
      <c r="BY242" s="321"/>
      <c r="BZ242" s="321" t="s">
        <v>175</v>
      </c>
      <c r="CA242" s="321" t="s">
        <v>175</v>
      </c>
      <c r="CB242" s="321" t="s">
        <v>175</v>
      </c>
      <c r="CC242" s="321"/>
      <c r="CD242" s="321" t="s">
        <v>175</v>
      </c>
      <c r="CE242" s="321"/>
      <c r="CF242" s="321" t="s">
        <v>175</v>
      </c>
      <c r="CG242" s="321"/>
      <c r="CH242" s="321" t="s">
        <v>175</v>
      </c>
      <c r="CI242" s="321" t="s">
        <v>175</v>
      </c>
      <c r="CJ242" s="321" t="s">
        <v>175</v>
      </c>
      <c r="CK242" s="321"/>
      <c r="CL242" s="321"/>
      <c r="CM242" s="321" t="s">
        <v>175</v>
      </c>
      <c r="CN242" s="321" t="s">
        <v>175</v>
      </c>
      <c r="CO242" s="321" t="s">
        <v>175</v>
      </c>
      <c r="CP242" s="321" t="s">
        <v>175</v>
      </c>
      <c r="CQ242" s="321" t="s">
        <v>175</v>
      </c>
      <c r="CR242" s="321" t="s">
        <v>175</v>
      </c>
      <c r="CS242" s="321" t="s">
        <v>175</v>
      </c>
      <c r="CT242" s="321"/>
      <c r="CU242" s="321"/>
    </row>
    <row r="244" spans="1:107" ht="20.25">
      <c r="A244" s="335"/>
      <c r="B244" s="336"/>
      <c r="C244" s="337"/>
      <c r="D244" s="338"/>
      <c r="E244" s="338"/>
      <c r="F244" s="338"/>
      <c r="G244" s="338"/>
      <c r="H244" s="338"/>
      <c r="I244" s="338"/>
      <c r="J244" s="338"/>
      <c r="K244" s="338"/>
      <c r="L244" s="338"/>
      <c r="M244" s="338"/>
      <c r="N244" s="338"/>
      <c r="O244" s="338"/>
      <c r="P244" s="339"/>
      <c r="Q244" s="339"/>
      <c r="R244" s="339"/>
      <c r="S244" s="339"/>
      <c r="T244" s="340"/>
      <c r="U244" s="341"/>
      <c r="V244" s="341"/>
      <c r="W244" s="341"/>
      <c r="X244" s="337"/>
      <c r="Y244" s="337"/>
      <c r="Z244" s="337"/>
      <c r="AA244" s="337"/>
      <c r="AB244" s="337"/>
      <c r="AC244" s="337"/>
      <c r="AD244" s="337"/>
      <c r="AE244" s="337"/>
      <c r="AF244" s="337"/>
      <c r="AG244" s="337"/>
      <c r="AH244" s="337"/>
      <c r="AI244" s="337"/>
      <c r="AJ244" s="337"/>
      <c r="AK244" s="337"/>
      <c r="AL244" s="337"/>
      <c r="AM244" s="337"/>
      <c r="AN244" s="337"/>
      <c r="AO244" s="337"/>
      <c r="AP244" s="342"/>
      <c r="AQ244" s="343"/>
      <c r="AR244" s="341"/>
      <c r="AS244" s="337"/>
      <c r="AT244" s="337"/>
      <c r="AU244" s="337"/>
      <c r="AV244" s="343"/>
      <c r="AW244" s="341"/>
      <c r="AX244" s="337"/>
      <c r="AY244" s="343"/>
      <c r="AZ244" s="344"/>
      <c r="BA244" s="345"/>
      <c r="BB244" s="345"/>
      <c r="BC244" s="345"/>
      <c r="BD244" s="345"/>
      <c r="BE244" s="345"/>
      <c r="BF244" s="345"/>
      <c r="BG244" s="345"/>
      <c r="BH244" s="345"/>
      <c r="BI244" s="345"/>
      <c r="BJ244" s="345"/>
      <c r="BK244" s="345"/>
      <c r="BL244" s="345"/>
      <c r="BM244" s="345"/>
      <c r="BN244" s="345"/>
      <c r="BO244" s="345"/>
      <c r="BP244" s="345"/>
      <c r="BQ244" s="345"/>
      <c r="BR244" s="345"/>
      <c r="BS244" s="345"/>
      <c r="BT244" s="345"/>
      <c r="BU244" s="345"/>
      <c r="BV244" s="345"/>
      <c r="BW244" s="345"/>
      <c r="BX244" s="345"/>
      <c r="BY244" s="345"/>
      <c r="BZ244" s="345"/>
      <c r="CA244" s="345"/>
      <c r="CB244" s="345"/>
      <c r="CC244" s="345"/>
      <c r="CD244" s="345"/>
      <c r="CE244" s="345"/>
      <c r="CF244" s="345"/>
      <c r="CG244" s="345"/>
      <c r="CH244" s="345"/>
      <c r="CI244" s="345"/>
      <c r="CJ244" s="345"/>
      <c r="CK244" s="345"/>
      <c r="CL244" s="345"/>
      <c r="CM244" s="345"/>
      <c r="CN244" s="345"/>
      <c r="CO244" s="345"/>
      <c r="CP244" s="345"/>
      <c r="CQ244" s="345"/>
      <c r="CR244" s="345"/>
      <c r="CS244" s="345"/>
      <c r="CT244" s="345"/>
      <c r="CU244" s="345"/>
      <c r="CV244" s="345"/>
      <c r="CW244" s="345"/>
      <c r="CX244" s="345"/>
      <c r="CY244" s="345"/>
      <c r="CZ244" s="345"/>
      <c r="DA244" s="345"/>
      <c r="DB244" s="345"/>
      <c r="DC244" s="345"/>
    </row>
    <row r="245" spans="1:107">
      <c r="A245" s="347"/>
      <c r="B245" s="348" t="s">
        <v>174</v>
      </c>
      <c r="C245" s="349"/>
      <c r="D245" s="350"/>
      <c r="E245" s="350"/>
      <c r="F245" s="350"/>
      <c r="G245" s="350"/>
      <c r="H245" s="350"/>
      <c r="I245" s="350"/>
      <c r="J245" s="350"/>
      <c r="K245" s="350"/>
      <c r="L245" s="350"/>
      <c r="M245" s="350"/>
      <c r="N245" s="350"/>
      <c r="O245" s="350"/>
      <c r="P245" s="351"/>
      <c r="Q245" s="351"/>
      <c r="R245" s="351"/>
      <c r="S245" s="351"/>
      <c r="T245" s="352"/>
      <c r="U245" s="353"/>
      <c r="V245" s="353"/>
      <c r="W245" s="353"/>
      <c r="X245" s="349"/>
      <c r="Y245" s="349"/>
      <c r="Z245" s="349"/>
      <c r="AA245" s="349"/>
      <c r="AB245" s="349"/>
      <c r="AC245" s="349"/>
      <c r="AD245" s="349"/>
      <c r="AE245" s="349"/>
      <c r="AF245" s="349"/>
      <c r="AG245" s="349"/>
      <c r="AH245" s="349"/>
      <c r="AI245" s="349"/>
      <c r="AJ245" s="349"/>
      <c r="AK245" s="349"/>
      <c r="AL245" s="349"/>
      <c r="AM245" s="349"/>
      <c r="AN245" s="349"/>
      <c r="AO245" s="349"/>
      <c r="AP245" s="354"/>
      <c r="AQ245" s="352"/>
      <c r="AR245" s="355"/>
      <c r="AS245" s="356"/>
      <c r="AT245" s="356"/>
      <c r="AU245" s="356"/>
      <c r="AV245" s="357"/>
      <c r="AW245" s="355"/>
      <c r="AX245" s="356"/>
      <c r="AY245" s="357"/>
      <c r="AZ245" s="358"/>
      <c r="BA245" s="350"/>
      <c r="BB245" s="350"/>
      <c r="BC245" s="350"/>
      <c r="BD245" s="350"/>
      <c r="BE245" s="350"/>
      <c r="BF245" s="350"/>
      <c r="BG245" s="350"/>
      <c r="BH245" s="350"/>
      <c r="BI245" s="350"/>
      <c r="BJ245" s="350"/>
      <c r="BK245" s="350"/>
      <c r="BL245" s="350"/>
      <c r="BM245" s="350"/>
      <c r="BN245" s="350"/>
      <c r="BO245" s="350"/>
      <c r="BP245" s="350"/>
      <c r="BQ245" s="350"/>
      <c r="BR245" s="350"/>
      <c r="BS245" s="350"/>
      <c r="BT245" s="350"/>
      <c r="BU245" s="350"/>
      <c r="BV245" s="350"/>
      <c r="BW245" s="350"/>
      <c r="BX245" s="350"/>
      <c r="BY245" s="350"/>
      <c r="BZ245" s="350"/>
      <c r="CA245" s="350"/>
      <c r="CB245" s="350"/>
      <c r="CC245" s="350"/>
      <c r="CD245" s="350"/>
      <c r="CE245" s="350"/>
      <c r="CF245" s="350"/>
      <c r="CG245" s="350"/>
      <c r="CH245" s="350"/>
      <c r="CI245" s="350"/>
      <c r="CJ245" s="350"/>
      <c r="CK245" s="350"/>
      <c r="CL245" s="350"/>
      <c r="CM245" s="350"/>
      <c r="CN245" s="350"/>
      <c r="CO245" s="350"/>
      <c r="CP245" s="350"/>
      <c r="CQ245" s="350"/>
      <c r="CR245" s="350"/>
      <c r="CS245" s="350"/>
      <c r="CT245" s="350"/>
      <c r="CU245" s="350"/>
      <c r="CV245" s="350"/>
      <c r="CW245" s="350"/>
      <c r="CX245" s="350"/>
      <c r="CY245" s="350"/>
      <c r="CZ245" s="350"/>
      <c r="DA245" s="350"/>
      <c r="DB245" s="350"/>
      <c r="DC245" s="350"/>
    </row>
    <row r="246" spans="1:107">
      <c r="A246" s="347"/>
      <c r="B246" s="358" t="s">
        <v>257</v>
      </c>
      <c r="C246" s="349"/>
      <c r="D246" s="350"/>
      <c r="E246" s="350"/>
      <c r="F246" s="350"/>
      <c r="G246" s="350"/>
      <c r="H246" s="350">
        <f>ROUNDUP(156.34,0)</f>
        <v>157</v>
      </c>
      <c r="I246" s="350"/>
      <c r="J246" s="350"/>
      <c r="K246" s="350"/>
      <c r="L246" s="350"/>
      <c r="M246" s="350"/>
      <c r="N246" s="350"/>
      <c r="O246" s="350"/>
      <c r="P246" s="351"/>
      <c r="Q246" s="351"/>
      <c r="R246" s="351"/>
      <c r="S246" s="351"/>
      <c r="T246" s="352">
        <f t="shared" ref="T246" si="93">SUM(C246:O246)</f>
        <v>157</v>
      </c>
      <c r="U246" s="353"/>
      <c r="V246" s="353"/>
      <c r="W246" s="353"/>
      <c r="X246" s="349"/>
      <c r="Y246" s="349"/>
      <c r="Z246" s="349"/>
      <c r="AA246" s="349"/>
      <c r="AB246" s="349"/>
      <c r="AC246" s="349"/>
      <c r="AD246" s="349"/>
      <c r="AE246" s="349"/>
      <c r="AF246" s="349"/>
      <c r="AG246" s="349"/>
      <c r="AH246" s="349"/>
      <c r="AI246" s="349"/>
      <c r="AJ246" s="349"/>
      <c r="AK246" s="349"/>
      <c r="AL246" s="349"/>
      <c r="AM246" s="349"/>
      <c r="AN246" s="349"/>
      <c r="AO246" s="349"/>
      <c r="AP246" s="354"/>
      <c r="AQ246" s="352"/>
      <c r="AR246" s="355"/>
      <c r="AS246" s="356"/>
      <c r="AT246" s="356"/>
      <c r="AU246" s="356"/>
      <c r="AV246" s="357"/>
      <c r="AW246" s="355"/>
      <c r="AX246" s="356"/>
      <c r="AY246" s="357"/>
      <c r="AZ246" s="358"/>
      <c r="BA246" s="350"/>
      <c r="BB246" s="350"/>
      <c r="BC246" s="350"/>
      <c r="BD246" s="350"/>
      <c r="BE246" s="350"/>
      <c r="BF246" s="350"/>
      <c r="BG246" s="350"/>
      <c r="BH246" s="350"/>
      <c r="BI246" s="350"/>
      <c r="BJ246" s="350"/>
      <c r="BK246" s="350"/>
      <c r="BL246" s="350"/>
      <c r="BM246" s="350"/>
      <c r="BN246" s="350"/>
      <c r="BO246" s="350"/>
      <c r="BP246" s="350"/>
      <c r="BQ246" s="350"/>
      <c r="BR246" s="350"/>
      <c r="BS246" s="350"/>
      <c r="BT246" s="350"/>
      <c r="BU246" s="350"/>
      <c r="BV246" s="350"/>
      <c r="BW246" s="350"/>
      <c r="BX246" s="350"/>
      <c r="BY246" s="350"/>
      <c r="BZ246" s="350"/>
      <c r="CA246" s="350"/>
      <c r="CB246" s="350"/>
      <c r="CC246" s="350"/>
      <c r="CD246" s="350"/>
      <c r="CE246" s="350"/>
      <c r="CF246" s="350"/>
      <c r="CG246" s="350"/>
      <c r="CH246" s="350"/>
      <c r="CI246" s="350"/>
      <c r="CJ246" s="350"/>
      <c r="CK246" s="350"/>
      <c r="CL246" s="350"/>
      <c r="CM246" s="350"/>
      <c r="CN246" s="350"/>
      <c r="CO246" s="350"/>
      <c r="CP246" s="350"/>
      <c r="CQ246" s="350"/>
      <c r="CR246" s="350"/>
      <c r="CS246" s="350"/>
      <c r="CT246" s="350"/>
      <c r="CU246" s="350"/>
      <c r="CV246" s="350"/>
      <c r="CW246" s="350"/>
      <c r="CX246" s="350"/>
      <c r="CY246" s="350"/>
      <c r="CZ246" s="350"/>
      <c r="DA246" s="350"/>
      <c r="DB246" s="350"/>
      <c r="DC246" s="350"/>
    </row>
    <row r="247" spans="1:107">
      <c r="A247" s="365"/>
      <c r="B247" s="353"/>
      <c r="C247" s="349"/>
      <c r="D247" s="349"/>
      <c r="E247" s="349"/>
      <c r="F247" s="349"/>
      <c r="G247" s="349"/>
      <c r="H247" s="349"/>
      <c r="I247" s="349"/>
      <c r="J247" s="349"/>
      <c r="K247" s="349"/>
      <c r="L247" s="349"/>
      <c r="M247" s="349"/>
      <c r="N247" s="349"/>
      <c r="O247" s="349"/>
      <c r="P247" s="354"/>
      <c r="Q247" s="354"/>
      <c r="R247" s="354"/>
      <c r="S247" s="354"/>
      <c r="T247" s="352"/>
      <c r="U247" s="353"/>
      <c r="V247" s="353"/>
      <c r="W247" s="353"/>
      <c r="X247" s="349"/>
      <c r="Y247" s="349"/>
      <c r="Z247" s="349"/>
      <c r="AA247" s="349"/>
      <c r="AB247" s="349"/>
      <c r="AC247" s="349"/>
      <c r="AD247" s="349"/>
      <c r="AE247" s="349"/>
      <c r="AF247" s="349"/>
      <c r="AG247" s="349"/>
      <c r="AH247" s="349"/>
      <c r="AI247" s="349"/>
      <c r="AJ247" s="349"/>
      <c r="AK247" s="349"/>
      <c r="AL247" s="349"/>
      <c r="AM247" s="349"/>
      <c r="AN247" s="349"/>
      <c r="AO247" s="349"/>
      <c r="AP247" s="354"/>
      <c r="AQ247" s="352"/>
      <c r="AR247" s="353"/>
      <c r="AS247" s="349"/>
      <c r="AT247" s="349"/>
      <c r="AU247" s="349"/>
      <c r="AV247" s="352"/>
      <c r="AW247" s="353"/>
      <c r="AX247" s="349"/>
      <c r="AY247" s="352"/>
      <c r="AZ247" s="372"/>
      <c r="BA247" s="373"/>
      <c r="BB247" s="373"/>
      <c r="BC247" s="373"/>
      <c r="BD247" s="373"/>
      <c r="BE247" s="373"/>
      <c r="BF247" s="373"/>
      <c r="BG247" s="373"/>
      <c r="BH247" s="373"/>
      <c r="BI247" s="373"/>
      <c r="BJ247" s="373"/>
      <c r="BK247" s="373"/>
      <c r="BL247" s="373"/>
      <c r="BM247" s="373"/>
      <c r="BN247" s="373"/>
      <c r="BO247" s="373"/>
      <c r="BP247" s="373"/>
      <c r="BQ247" s="373"/>
      <c r="BR247" s="373"/>
      <c r="BS247" s="373"/>
      <c r="BT247" s="373"/>
      <c r="BU247" s="373"/>
      <c r="BV247" s="373"/>
      <c r="BW247" s="373"/>
      <c r="BX247" s="373"/>
      <c r="BY247" s="373"/>
      <c r="BZ247" s="373"/>
      <c r="CA247" s="373"/>
      <c r="CB247" s="373"/>
      <c r="CC247" s="373"/>
      <c r="CD247" s="373"/>
      <c r="CE247" s="373"/>
      <c r="CF247" s="373"/>
      <c r="CG247" s="373"/>
      <c r="CH247" s="373"/>
      <c r="CI247" s="373"/>
      <c r="CJ247" s="373"/>
      <c r="CK247" s="373"/>
      <c r="CL247" s="373"/>
      <c r="CM247" s="373"/>
      <c r="CN247" s="373"/>
      <c r="CO247" s="373"/>
      <c r="CP247" s="373"/>
      <c r="CQ247" s="373"/>
      <c r="CR247" s="373"/>
      <c r="CS247" s="373"/>
      <c r="CT247" s="373"/>
      <c r="CU247" s="373"/>
      <c r="CV247" s="373"/>
      <c r="CW247" s="373"/>
      <c r="CX247" s="373"/>
      <c r="CY247" s="373"/>
      <c r="CZ247" s="373"/>
      <c r="DA247" s="373"/>
      <c r="DB247" s="373"/>
      <c r="DC247" s="373"/>
    </row>
    <row r="248" spans="1:107">
      <c r="A248" s="365"/>
      <c r="B248" s="353"/>
      <c r="C248" s="349"/>
      <c r="D248" s="349"/>
      <c r="E248" s="349"/>
      <c r="F248" s="349"/>
      <c r="G248" s="349"/>
      <c r="H248" s="349"/>
      <c r="I248" s="349"/>
      <c r="J248" s="349"/>
      <c r="K248" s="349"/>
      <c r="L248" s="349"/>
      <c r="M248" s="349"/>
      <c r="N248" s="349"/>
      <c r="O248" s="349"/>
      <c r="P248" s="354"/>
      <c r="Q248" s="354"/>
      <c r="R248" s="354"/>
      <c r="S248" s="354"/>
      <c r="T248" s="352"/>
      <c r="U248" s="353"/>
      <c r="V248" s="353"/>
      <c r="W248" s="353"/>
      <c r="X248" s="349"/>
      <c r="Y248" s="349"/>
      <c r="Z248" s="349"/>
      <c r="AA248" s="349"/>
      <c r="AB248" s="349"/>
      <c r="AC248" s="349"/>
      <c r="AD248" s="349"/>
      <c r="AE248" s="349"/>
      <c r="AF248" s="349"/>
      <c r="AG248" s="349"/>
      <c r="AH248" s="349"/>
      <c r="AI248" s="349"/>
      <c r="AJ248" s="349"/>
      <c r="AK248" s="349"/>
      <c r="AL248" s="349"/>
      <c r="AM248" s="349"/>
      <c r="AN248" s="349"/>
      <c r="AO248" s="349"/>
      <c r="AP248" s="354"/>
      <c r="AQ248" s="352"/>
      <c r="AR248" s="353"/>
      <c r="AS248" s="349"/>
      <c r="AT248" s="349"/>
      <c r="AU248" s="349"/>
      <c r="AV248" s="352"/>
      <c r="AW248" s="353"/>
      <c r="AX248" s="349"/>
      <c r="AY248" s="352"/>
      <c r="AZ248" s="372"/>
      <c r="BA248" s="373"/>
      <c r="BB248" s="373"/>
      <c r="BC248" s="373"/>
      <c r="BD248" s="373"/>
      <c r="BE248" s="373"/>
      <c r="BF248" s="373"/>
      <c r="BG248" s="373"/>
      <c r="BH248" s="373"/>
      <c r="BI248" s="373"/>
      <c r="BJ248" s="373"/>
      <c r="BK248" s="373"/>
      <c r="BL248" s="373"/>
      <c r="BM248" s="373"/>
      <c r="BN248" s="373"/>
      <c r="BO248" s="373"/>
      <c r="BP248" s="373"/>
      <c r="BQ248" s="373"/>
      <c r="BR248" s="373"/>
      <c r="BS248" s="373"/>
      <c r="BT248" s="373"/>
      <c r="BU248" s="373"/>
      <c r="BV248" s="373"/>
      <c r="BW248" s="373"/>
      <c r="BX248" s="373"/>
      <c r="BY248" s="373"/>
      <c r="BZ248" s="373"/>
      <c r="CA248" s="373"/>
      <c r="CB248" s="373"/>
      <c r="CC248" s="373"/>
      <c r="CD248" s="373"/>
      <c r="CE248" s="373"/>
      <c r="CF248" s="373"/>
      <c r="CG248" s="373"/>
      <c r="CH248" s="373"/>
      <c r="CI248" s="373"/>
      <c r="CJ248" s="373"/>
      <c r="CK248" s="373"/>
      <c r="CL248" s="373"/>
      <c r="CM248" s="373"/>
      <c r="CN248" s="373"/>
      <c r="CO248" s="373"/>
      <c r="CP248" s="373"/>
      <c r="CQ248" s="373"/>
      <c r="CR248" s="373"/>
      <c r="CS248" s="373"/>
      <c r="CT248" s="373"/>
      <c r="CU248" s="373"/>
      <c r="CV248" s="373"/>
      <c r="CW248" s="373"/>
      <c r="CX248" s="373"/>
      <c r="CY248" s="373"/>
      <c r="CZ248" s="373"/>
      <c r="DA248" s="373"/>
      <c r="DB248" s="373"/>
      <c r="DC248" s="373"/>
    </row>
    <row r="249" spans="1:107">
      <c r="A249" s="365"/>
      <c r="B249" s="353"/>
      <c r="C249" s="349"/>
      <c r="D249" s="349"/>
      <c r="E249" s="349"/>
      <c r="F249" s="349"/>
      <c r="G249" s="349"/>
      <c r="H249" s="349"/>
      <c r="I249" s="349"/>
      <c r="J249" s="349"/>
      <c r="K249" s="349"/>
      <c r="L249" s="349"/>
      <c r="M249" s="349"/>
      <c r="N249" s="349"/>
      <c r="O249" s="349"/>
      <c r="P249" s="354"/>
      <c r="Q249" s="354"/>
      <c r="R249" s="354"/>
      <c r="S249" s="354"/>
      <c r="T249" s="352"/>
      <c r="U249" s="353"/>
      <c r="V249" s="353"/>
      <c r="W249" s="353"/>
      <c r="X249" s="349"/>
      <c r="Y249" s="349"/>
      <c r="Z249" s="349"/>
      <c r="AA249" s="349"/>
      <c r="AB249" s="349"/>
      <c r="AC249" s="349"/>
      <c r="AD249" s="349"/>
      <c r="AE249" s="349"/>
      <c r="AF249" s="349"/>
      <c r="AG249" s="349"/>
      <c r="AH249" s="349"/>
      <c r="AI249" s="349"/>
      <c r="AJ249" s="349"/>
      <c r="AK249" s="349"/>
      <c r="AL249" s="349"/>
      <c r="AM249" s="349"/>
      <c r="AN249" s="349"/>
      <c r="AO249" s="349"/>
      <c r="AP249" s="354"/>
      <c r="AQ249" s="352"/>
      <c r="AR249" s="353"/>
      <c r="AS249" s="349"/>
      <c r="AT249" s="349"/>
      <c r="AU249" s="349"/>
      <c r="AV249" s="352"/>
      <c r="AW249" s="353"/>
      <c r="AX249" s="349"/>
      <c r="AY249" s="352"/>
      <c r="AZ249" s="372"/>
      <c r="BA249" s="373"/>
      <c r="BB249" s="373"/>
      <c r="BC249" s="373"/>
      <c r="BD249" s="373"/>
      <c r="BE249" s="373"/>
      <c r="BF249" s="373"/>
      <c r="BG249" s="373"/>
      <c r="BH249" s="373"/>
      <c r="BI249" s="373"/>
      <c r="BJ249" s="373"/>
      <c r="BK249" s="373"/>
      <c r="BL249" s="373"/>
      <c r="BM249" s="373"/>
      <c r="BN249" s="373"/>
      <c r="BO249" s="373"/>
      <c r="BP249" s="373"/>
      <c r="BQ249" s="373"/>
      <c r="BR249" s="373"/>
      <c r="BS249" s="373"/>
      <c r="BT249" s="373"/>
      <c r="BU249" s="373"/>
      <c r="BV249" s="373"/>
      <c r="BW249" s="373"/>
      <c r="BX249" s="373"/>
      <c r="BY249" s="373"/>
      <c r="BZ249" s="373"/>
      <c r="CA249" s="373"/>
      <c r="CB249" s="373"/>
      <c r="CC249" s="373"/>
      <c r="CD249" s="373"/>
      <c r="CE249" s="373"/>
      <c r="CF249" s="373"/>
      <c r="CG249" s="373"/>
      <c r="CH249" s="373"/>
      <c r="CI249" s="373"/>
      <c r="CJ249" s="373"/>
      <c r="CK249" s="373"/>
      <c r="CL249" s="373"/>
      <c r="CM249" s="373"/>
      <c r="CN249" s="373"/>
      <c r="CO249" s="373"/>
      <c r="CP249" s="373"/>
      <c r="CQ249" s="373"/>
      <c r="CR249" s="373"/>
      <c r="CS249" s="373"/>
      <c r="CT249" s="373"/>
      <c r="CU249" s="373"/>
      <c r="CV249" s="373"/>
      <c r="CW249" s="373"/>
      <c r="CX249" s="373"/>
      <c r="CY249" s="373"/>
      <c r="CZ249" s="373"/>
      <c r="DA249" s="373"/>
      <c r="DB249" s="373"/>
      <c r="DC249" s="373"/>
    </row>
    <row r="250" spans="1:107">
      <c r="A250" s="365"/>
      <c r="B250" s="353"/>
      <c r="C250" s="349"/>
      <c r="D250" s="349"/>
      <c r="E250" s="349"/>
      <c r="F250" s="349"/>
      <c r="G250" s="349"/>
      <c r="H250" s="349"/>
      <c r="I250" s="349"/>
      <c r="J250" s="349"/>
      <c r="K250" s="349"/>
      <c r="L250" s="349"/>
      <c r="M250" s="349"/>
      <c r="N250" s="349"/>
      <c r="O250" s="349"/>
      <c r="P250" s="354"/>
      <c r="Q250" s="354"/>
      <c r="R250" s="354"/>
      <c r="S250" s="354"/>
      <c r="T250" s="352"/>
      <c r="U250" s="353"/>
      <c r="V250" s="353"/>
      <c r="W250" s="353"/>
      <c r="X250" s="349"/>
      <c r="Y250" s="349"/>
      <c r="Z250" s="349"/>
      <c r="AA250" s="349"/>
      <c r="AB250" s="349"/>
      <c r="AC250" s="349"/>
      <c r="AD250" s="349"/>
      <c r="AE250" s="349"/>
      <c r="AF250" s="349"/>
      <c r="AG250" s="349"/>
      <c r="AH250" s="349"/>
      <c r="AI250" s="349"/>
      <c r="AJ250" s="349"/>
      <c r="AK250" s="349"/>
      <c r="AL250" s="349"/>
      <c r="AM250" s="349"/>
      <c r="AN250" s="349"/>
      <c r="AO250" s="349"/>
      <c r="AP250" s="354"/>
      <c r="AQ250" s="352"/>
      <c r="AR250" s="353"/>
      <c r="AS250" s="349"/>
      <c r="AT250" s="349"/>
      <c r="AU250" s="349"/>
      <c r="AV250" s="352"/>
      <c r="AW250" s="353"/>
      <c r="AX250" s="349"/>
      <c r="AY250" s="352"/>
      <c r="AZ250" s="372"/>
      <c r="BA250" s="373"/>
      <c r="BB250" s="373"/>
      <c r="BC250" s="373"/>
      <c r="BD250" s="373"/>
      <c r="BE250" s="373"/>
      <c r="BF250" s="373"/>
      <c r="BG250" s="373"/>
      <c r="BH250" s="373"/>
      <c r="BI250" s="373"/>
      <c r="BJ250" s="373"/>
      <c r="BK250" s="373"/>
      <c r="BL250" s="373"/>
      <c r="BM250" s="373"/>
      <c r="BN250" s="373"/>
      <c r="BO250" s="373"/>
      <c r="BP250" s="373"/>
      <c r="BQ250" s="373"/>
      <c r="BR250" s="373"/>
      <c r="BS250" s="373"/>
      <c r="BT250" s="373"/>
      <c r="BU250" s="373"/>
      <c r="BV250" s="373"/>
      <c r="BW250" s="373"/>
      <c r="BX250" s="373"/>
      <c r="BY250" s="373"/>
      <c r="BZ250" s="373"/>
      <c r="CA250" s="373"/>
      <c r="CB250" s="373"/>
      <c r="CC250" s="373"/>
      <c r="CD250" s="373"/>
      <c r="CE250" s="373"/>
      <c r="CF250" s="373"/>
      <c r="CG250" s="373"/>
      <c r="CH250" s="373"/>
      <c r="CI250" s="373"/>
      <c r="CJ250" s="373"/>
      <c r="CK250" s="373"/>
      <c r="CL250" s="373"/>
      <c r="CM250" s="373"/>
      <c r="CN250" s="373"/>
      <c r="CO250" s="373"/>
      <c r="CP250" s="373"/>
      <c r="CQ250" s="373"/>
      <c r="CR250" s="373"/>
      <c r="CS250" s="373"/>
      <c r="CT250" s="373"/>
      <c r="CU250" s="373"/>
      <c r="CV250" s="373"/>
      <c r="CW250" s="373"/>
      <c r="CX250" s="373"/>
      <c r="CY250" s="373"/>
      <c r="CZ250" s="373"/>
      <c r="DA250" s="373"/>
      <c r="DB250" s="373"/>
      <c r="DC250" s="373"/>
    </row>
    <row r="251" spans="1:107">
      <c r="A251" s="365"/>
      <c r="B251" s="353"/>
      <c r="C251" s="349"/>
      <c r="D251" s="349"/>
      <c r="E251" s="349"/>
      <c r="F251" s="349"/>
      <c r="G251" s="349"/>
      <c r="H251" s="349"/>
      <c r="I251" s="349"/>
      <c r="J251" s="349"/>
      <c r="K251" s="349"/>
      <c r="L251" s="349"/>
      <c r="M251" s="349"/>
      <c r="N251" s="349"/>
      <c r="O251" s="349"/>
      <c r="P251" s="354"/>
      <c r="Q251" s="354"/>
      <c r="R251" s="354"/>
      <c r="S251" s="354"/>
      <c r="T251" s="352"/>
      <c r="U251" s="353"/>
      <c r="V251" s="353"/>
      <c r="W251" s="353"/>
      <c r="X251" s="349"/>
      <c r="Y251" s="349"/>
      <c r="Z251" s="349"/>
      <c r="AA251" s="349"/>
      <c r="AB251" s="349"/>
      <c r="AC251" s="349"/>
      <c r="AD251" s="349"/>
      <c r="AE251" s="349"/>
      <c r="AF251" s="349"/>
      <c r="AG251" s="349"/>
      <c r="AH251" s="349"/>
      <c r="AI251" s="349"/>
      <c r="AJ251" s="349"/>
      <c r="AK251" s="349"/>
      <c r="AL251" s="349"/>
      <c r="AM251" s="349"/>
      <c r="AN251" s="349"/>
      <c r="AO251" s="349"/>
      <c r="AP251" s="354"/>
      <c r="AQ251" s="352"/>
      <c r="AR251" s="353"/>
      <c r="AS251" s="349"/>
      <c r="AT251" s="349"/>
      <c r="AU251" s="349"/>
      <c r="AV251" s="352"/>
      <c r="AW251" s="353"/>
      <c r="AX251" s="349"/>
      <c r="AY251" s="352"/>
      <c r="AZ251" s="372"/>
      <c r="BA251" s="373"/>
      <c r="BB251" s="373"/>
      <c r="BC251" s="373"/>
      <c r="BD251" s="373"/>
      <c r="BE251" s="373"/>
      <c r="BF251" s="373"/>
      <c r="BG251" s="373"/>
      <c r="BH251" s="373"/>
      <c r="BI251" s="373"/>
      <c r="BJ251" s="373"/>
      <c r="BK251" s="373"/>
      <c r="BL251" s="373"/>
      <c r="BM251" s="373"/>
      <c r="BN251" s="373"/>
      <c r="BO251" s="373"/>
      <c r="BP251" s="373"/>
      <c r="BQ251" s="373"/>
      <c r="BR251" s="373"/>
      <c r="BS251" s="373"/>
      <c r="BT251" s="373"/>
      <c r="BU251" s="373"/>
      <c r="BV251" s="373"/>
      <c r="BW251" s="373"/>
      <c r="BX251" s="373"/>
      <c r="BY251" s="373"/>
      <c r="BZ251" s="373"/>
      <c r="CA251" s="373"/>
      <c r="CB251" s="373"/>
      <c r="CC251" s="373"/>
      <c r="CD251" s="373"/>
      <c r="CE251" s="373"/>
      <c r="CF251" s="373"/>
      <c r="CG251" s="373"/>
      <c r="CH251" s="373"/>
      <c r="CI251" s="373"/>
      <c r="CJ251" s="373"/>
      <c r="CK251" s="373"/>
      <c r="CL251" s="373"/>
      <c r="CM251" s="373"/>
      <c r="CN251" s="373"/>
      <c r="CO251" s="373"/>
      <c r="CP251" s="373"/>
      <c r="CQ251" s="373"/>
      <c r="CR251" s="373"/>
      <c r="CS251" s="373"/>
      <c r="CT251" s="373"/>
      <c r="CU251" s="373"/>
      <c r="CV251" s="373"/>
      <c r="CW251" s="373"/>
      <c r="CX251" s="373"/>
      <c r="CY251" s="373"/>
      <c r="CZ251" s="373"/>
      <c r="DA251" s="373"/>
      <c r="DB251" s="373"/>
      <c r="DC251" s="373"/>
    </row>
    <row r="252" spans="1:107">
      <c r="A252" s="365"/>
      <c r="B252" s="353"/>
      <c r="C252" s="349"/>
      <c r="D252" s="349"/>
      <c r="E252" s="349"/>
      <c r="F252" s="349"/>
      <c r="G252" s="349"/>
      <c r="H252" s="349"/>
      <c r="I252" s="349"/>
      <c r="J252" s="349"/>
      <c r="K252" s="349"/>
      <c r="L252" s="349"/>
      <c r="M252" s="349"/>
      <c r="N252" s="349"/>
      <c r="O252" s="349"/>
      <c r="P252" s="354"/>
      <c r="Q252" s="354"/>
      <c r="R252" s="354"/>
      <c r="S252" s="354"/>
      <c r="T252" s="352"/>
      <c r="U252" s="353"/>
      <c r="V252" s="353"/>
      <c r="W252" s="353"/>
      <c r="X252" s="349"/>
      <c r="Y252" s="349"/>
      <c r="Z252" s="349"/>
      <c r="AA252" s="349"/>
      <c r="AB252" s="349"/>
      <c r="AC252" s="349"/>
      <c r="AD252" s="349"/>
      <c r="AE252" s="349"/>
      <c r="AF252" s="349"/>
      <c r="AG252" s="349"/>
      <c r="AH252" s="349"/>
      <c r="AI252" s="349"/>
      <c r="AJ252" s="349"/>
      <c r="AK252" s="349"/>
      <c r="AL252" s="349"/>
      <c r="AM252" s="349"/>
      <c r="AN252" s="349"/>
      <c r="AO252" s="349"/>
      <c r="AP252" s="354"/>
      <c r="AQ252" s="352"/>
      <c r="AR252" s="353"/>
      <c r="AS252" s="349"/>
      <c r="AT252" s="349"/>
      <c r="AU252" s="349"/>
      <c r="AV252" s="352"/>
      <c r="AW252" s="353"/>
      <c r="AX252" s="349"/>
      <c r="AY252" s="352"/>
      <c r="AZ252" s="372"/>
      <c r="BA252" s="373"/>
      <c r="BB252" s="373"/>
      <c r="BC252" s="373"/>
      <c r="BD252" s="373"/>
      <c r="BE252" s="373"/>
      <c r="BF252" s="373"/>
      <c r="BG252" s="373"/>
      <c r="BH252" s="373"/>
      <c r="BI252" s="373"/>
      <c r="BJ252" s="373"/>
      <c r="BK252" s="373"/>
      <c r="BL252" s="373"/>
      <c r="BM252" s="373"/>
      <c r="BN252" s="373"/>
      <c r="BO252" s="373"/>
      <c r="BP252" s="373"/>
      <c r="BQ252" s="373"/>
      <c r="BR252" s="373"/>
      <c r="BS252" s="373"/>
      <c r="BT252" s="373"/>
      <c r="BU252" s="373"/>
      <c r="BV252" s="373"/>
      <c r="BW252" s="373"/>
      <c r="BX252" s="373"/>
      <c r="BY252" s="373"/>
      <c r="BZ252" s="373"/>
      <c r="CA252" s="373"/>
      <c r="CB252" s="373"/>
      <c r="CC252" s="373"/>
      <c r="CD252" s="373"/>
      <c r="CE252" s="373"/>
      <c r="CF252" s="373"/>
      <c r="CG252" s="373"/>
      <c r="CH252" s="373"/>
      <c r="CI252" s="373"/>
      <c r="CJ252" s="373"/>
      <c r="CK252" s="373"/>
      <c r="CL252" s="373"/>
      <c r="CM252" s="373"/>
      <c r="CN252" s="373"/>
      <c r="CO252" s="373"/>
      <c r="CP252" s="373"/>
      <c r="CQ252" s="373"/>
      <c r="CR252" s="373"/>
      <c r="CS252" s="373"/>
      <c r="CT252" s="373"/>
      <c r="CU252" s="373"/>
      <c r="CV252" s="373"/>
      <c r="CW252" s="373"/>
      <c r="CX252" s="373"/>
      <c r="CY252" s="373"/>
      <c r="CZ252" s="373"/>
      <c r="DA252" s="373"/>
      <c r="DB252" s="373"/>
      <c r="DC252" s="373"/>
    </row>
    <row r="253" spans="1:107">
      <c r="A253" s="365"/>
      <c r="B253" s="353"/>
      <c r="C253" s="349"/>
      <c r="D253" s="349"/>
      <c r="E253" s="349"/>
      <c r="F253" s="349"/>
      <c r="G253" s="349"/>
      <c r="H253" s="349"/>
      <c r="I253" s="349"/>
      <c r="J253" s="349"/>
      <c r="K253" s="349"/>
      <c r="L253" s="349"/>
      <c r="M253" s="349"/>
      <c r="N253" s="349"/>
      <c r="O253" s="349"/>
      <c r="P253" s="354"/>
      <c r="Q253" s="354"/>
      <c r="R253" s="354"/>
      <c r="S253" s="354"/>
      <c r="T253" s="352"/>
      <c r="U253" s="353"/>
      <c r="V253" s="353"/>
      <c r="W253" s="353"/>
      <c r="X253" s="349"/>
      <c r="Y253" s="349"/>
      <c r="Z253" s="349"/>
      <c r="AA253" s="349"/>
      <c r="AB253" s="349"/>
      <c r="AC253" s="349"/>
      <c r="AD253" s="349"/>
      <c r="AE253" s="349"/>
      <c r="AF253" s="349"/>
      <c r="AG253" s="349"/>
      <c r="AH253" s="349"/>
      <c r="AI253" s="349"/>
      <c r="AJ253" s="349"/>
      <c r="AK253" s="349"/>
      <c r="AL253" s="349"/>
      <c r="AM253" s="349"/>
      <c r="AN253" s="349"/>
      <c r="AO253" s="349"/>
      <c r="AP253" s="354"/>
      <c r="AQ253" s="352"/>
      <c r="AR253" s="353"/>
      <c r="AS253" s="349"/>
      <c r="AT253" s="349"/>
      <c r="AU253" s="349"/>
      <c r="AV253" s="352"/>
      <c r="AW253" s="353"/>
      <c r="AX253" s="349"/>
      <c r="AY253" s="352"/>
      <c r="AZ253" s="372"/>
      <c r="BA253" s="373"/>
      <c r="BB253" s="373"/>
      <c r="BC253" s="373"/>
      <c r="BD253" s="373"/>
      <c r="BE253" s="373"/>
      <c r="BF253" s="373"/>
      <c r="BG253" s="373"/>
      <c r="BH253" s="373"/>
      <c r="BI253" s="373"/>
      <c r="BJ253" s="373"/>
      <c r="BK253" s="373"/>
      <c r="BL253" s="373"/>
      <c r="BM253" s="373"/>
      <c r="BN253" s="373"/>
      <c r="BO253" s="373"/>
      <c r="BP253" s="373"/>
      <c r="BQ253" s="373"/>
      <c r="BR253" s="373"/>
      <c r="BS253" s="373"/>
      <c r="BT253" s="373"/>
      <c r="BU253" s="373"/>
      <c r="BV253" s="373"/>
      <c r="BW253" s="373"/>
      <c r="BX253" s="373"/>
      <c r="BY253" s="373"/>
      <c r="BZ253" s="373"/>
      <c r="CA253" s="373"/>
      <c r="CB253" s="373"/>
      <c r="CC253" s="373"/>
      <c r="CD253" s="373"/>
      <c r="CE253" s="373"/>
      <c r="CF253" s="373"/>
      <c r="CG253" s="373"/>
      <c r="CH253" s="373"/>
      <c r="CI253" s="373"/>
      <c r="CJ253" s="373"/>
      <c r="CK253" s="373"/>
      <c r="CL253" s="373"/>
      <c r="CM253" s="373"/>
      <c r="CN253" s="373"/>
      <c r="CO253" s="373"/>
      <c r="CP253" s="373"/>
      <c r="CQ253" s="373"/>
      <c r="CR253" s="373"/>
      <c r="CS253" s="373"/>
      <c r="CT253" s="373"/>
      <c r="CU253" s="373"/>
      <c r="CV253" s="373"/>
      <c r="CW253" s="373"/>
      <c r="CX253" s="373"/>
      <c r="CY253" s="373"/>
      <c r="CZ253" s="373"/>
      <c r="DA253" s="373"/>
      <c r="DB253" s="373"/>
      <c r="DC253" s="373"/>
    </row>
    <row r="254" spans="1:107">
      <c r="A254" s="376"/>
      <c r="B254" s="353"/>
      <c r="C254" s="349"/>
      <c r="D254" s="349"/>
      <c r="E254" s="349"/>
      <c r="F254" s="349"/>
      <c r="G254" s="349"/>
      <c r="H254" s="349"/>
      <c r="I254" s="349"/>
      <c r="J254" s="349"/>
      <c r="K254" s="349"/>
      <c r="L254" s="349"/>
      <c r="M254" s="349"/>
      <c r="N254" s="349"/>
      <c r="O254" s="349"/>
      <c r="P254" s="354"/>
      <c r="Q254" s="354"/>
      <c r="R254" s="354"/>
      <c r="S254" s="354"/>
      <c r="T254" s="352">
        <f t="shared" ref="T254" si="94">SUM(C254:O254)</f>
        <v>0</v>
      </c>
      <c r="U254" s="353"/>
      <c r="V254" s="353"/>
      <c r="W254" s="353"/>
      <c r="X254" s="349"/>
      <c r="Y254" s="349"/>
      <c r="Z254" s="349"/>
      <c r="AA254" s="349"/>
      <c r="AB254" s="349"/>
      <c r="AC254" s="349"/>
      <c r="AD254" s="349"/>
      <c r="AE254" s="349"/>
      <c r="AF254" s="349"/>
      <c r="AG254" s="349"/>
      <c r="AH254" s="349"/>
      <c r="AI254" s="349"/>
      <c r="AJ254" s="349"/>
      <c r="AK254" s="349"/>
      <c r="AL254" s="349"/>
      <c r="AM254" s="349"/>
      <c r="AN254" s="349"/>
      <c r="AO254" s="349"/>
      <c r="AP254" s="354"/>
      <c r="AQ254" s="352"/>
      <c r="AR254" s="353"/>
      <c r="AS254" s="349"/>
      <c r="AT254" s="349"/>
      <c r="AU254" s="349"/>
      <c r="AV254" s="352"/>
      <c r="AW254" s="353"/>
      <c r="AX254" s="349"/>
      <c r="AY254" s="352"/>
      <c r="AZ254" s="372"/>
      <c r="BA254" s="373"/>
      <c r="BB254" s="373"/>
      <c r="BC254" s="373"/>
      <c r="BD254" s="373"/>
      <c r="BE254" s="373"/>
      <c r="BF254" s="373"/>
      <c r="BG254" s="373"/>
      <c r="BH254" s="373"/>
      <c r="BI254" s="373"/>
      <c r="BJ254" s="373"/>
      <c r="BK254" s="373"/>
      <c r="BL254" s="373"/>
      <c r="BM254" s="373"/>
      <c r="BN254" s="373"/>
      <c r="BO254" s="373"/>
      <c r="BP254" s="373"/>
      <c r="BQ254" s="373"/>
      <c r="BR254" s="373"/>
      <c r="BS254" s="373"/>
      <c r="BT254" s="373"/>
      <c r="BU254" s="373"/>
      <c r="BV254" s="373"/>
      <c r="BW254" s="373"/>
      <c r="BX254" s="373"/>
      <c r="BY254" s="373"/>
      <c r="BZ254" s="373"/>
      <c r="CA254" s="373"/>
      <c r="CB254" s="373"/>
      <c r="CC254" s="373"/>
      <c r="CD254" s="373"/>
      <c r="CE254" s="373"/>
      <c r="CF254" s="373"/>
      <c r="CG254" s="373"/>
      <c r="CH254" s="373"/>
      <c r="CI254" s="373"/>
      <c r="CJ254" s="373"/>
      <c r="CK254" s="373"/>
      <c r="CL254" s="373"/>
      <c r="CM254" s="373"/>
      <c r="CN254" s="373"/>
      <c r="CO254" s="373"/>
      <c r="CP254" s="373"/>
      <c r="CQ254" s="373"/>
      <c r="CR254" s="373"/>
      <c r="CS254" s="373"/>
      <c r="CT254" s="373"/>
      <c r="CU254" s="373"/>
      <c r="CV254" s="373"/>
      <c r="CW254" s="373"/>
      <c r="CX254" s="373"/>
      <c r="CY254" s="373"/>
      <c r="CZ254" s="373"/>
      <c r="DA254" s="373"/>
      <c r="DB254" s="373"/>
      <c r="DC254" s="373"/>
    </row>
    <row r="255" spans="1:107" ht="18.75">
      <c r="A255" s="376"/>
      <c r="B255" s="377" t="s">
        <v>171</v>
      </c>
      <c r="C255" s="378">
        <f>SUM(C246:C254)</f>
        <v>0</v>
      </c>
      <c r="D255" s="378">
        <f t="shared" ref="D255:BQ255" si="95">SUM(D246:D254)</f>
        <v>0</v>
      </c>
      <c r="E255" s="378">
        <f t="shared" si="95"/>
        <v>0</v>
      </c>
      <c r="F255" s="378">
        <f t="shared" si="95"/>
        <v>0</v>
      </c>
      <c r="G255" s="378">
        <f t="shared" si="95"/>
        <v>0</v>
      </c>
      <c r="H255" s="378">
        <f t="shared" si="95"/>
        <v>157</v>
      </c>
      <c r="I255" s="378">
        <f t="shared" si="95"/>
        <v>0</v>
      </c>
      <c r="J255" s="378">
        <f t="shared" si="95"/>
        <v>0</v>
      </c>
      <c r="K255" s="378">
        <f t="shared" si="95"/>
        <v>0</v>
      </c>
      <c r="L255" s="378">
        <f t="shared" si="95"/>
        <v>0</v>
      </c>
      <c r="M255" s="378">
        <f t="shared" si="95"/>
        <v>0</v>
      </c>
      <c r="N255" s="378">
        <f t="shared" si="95"/>
        <v>0</v>
      </c>
      <c r="O255" s="378">
        <f t="shared" si="95"/>
        <v>0</v>
      </c>
      <c r="P255" s="378">
        <f t="shared" si="95"/>
        <v>0</v>
      </c>
      <c r="Q255" s="378">
        <f t="shared" si="95"/>
        <v>0</v>
      </c>
      <c r="R255" s="378">
        <f t="shared" si="95"/>
        <v>0</v>
      </c>
      <c r="S255" s="378">
        <f t="shared" si="95"/>
        <v>0</v>
      </c>
      <c r="T255" s="378">
        <f t="shared" si="95"/>
        <v>157</v>
      </c>
      <c r="U255" s="378">
        <f t="shared" si="95"/>
        <v>0</v>
      </c>
      <c r="V255" s="378">
        <f t="shared" si="95"/>
        <v>0</v>
      </c>
      <c r="W255" s="378">
        <f t="shared" si="95"/>
        <v>0</v>
      </c>
      <c r="X255" s="378">
        <f t="shared" si="95"/>
        <v>0</v>
      </c>
      <c r="Y255" s="378">
        <f t="shared" si="95"/>
        <v>0</v>
      </c>
      <c r="Z255" s="378">
        <f t="shared" si="95"/>
        <v>0</v>
      </c>
      <c r="AA255" s="378">
        <f t="shared" si="95"/>
        <v>0</v>
      </c>
      <c r="AB255" s="378">
        <f t="shared" si="95"/>
        <v>0</v>
      </c>
      <c r="AC255" s="378">
        <f t="shared" si="95"/>
        <v>0</v>
      </c>
      <c r="AD255" s="378">
        <f t="shared" si="95"/>
        <v>0</v>
      </c>
      <c r="AE255" s="378">
        <f t="shared" si="95"/>
        <v>0</v>
      </c>
      <c r="AF255" s="378">
        <f t="shared" si="95"/>
        <v>0</v>
      </c>
      <c r="AG255" s="378">
        <f t="shared" si="95"/>
        <v>0</v>
      </c>
      <c r="AH255" s="378">
        <f t="shared" si="95"/>
        <v>0</v>
      </c>
      <c r="AI255" s="378">
        <f t="shared" si="95"/>
        <v>0</v>
      </c>
      <c r="AJ255" s="378">
        <f t="shared" si="95"/>
        <v>0</v>
      </c>
      <c r="AK255" s="378">
        <f t="shared" si="95"/>
        <v>0</v>
      </c>
      <c r="AL255" s="378">
        <f t="shared" si="95"/>
        <v>0</v>
      </c>
      <c r="AM255" s="378">
        <f t="shared" si="95"/>
        <v>0</v>
      </c>
      <c r="AN255" s="378">
        <f t="shared" si="95"/>
        <v>0</v>
      </c>
      <c r="AO255" s="378">
        <f t="shared" si="95"/>
        <v>0</v>
      </c>
      <c r="AP255" s="378">
        <f t="shared" si="95"/>
        <v>0</v>
      </c>
      <c r="AQ255" s="378">
        <f t="shared" si="95"/>
        <v>0</v>
      </c>
      <c r="AR255" s="378">
        <f t="shared" si="95"/>
        <v>0</v>
      </c>
      <c r="AS255" s="378">
        <f t="shared" si="95"/>
        <v>0</v>
      </c>
      <c r="AT255" s="378">
        <f t="shared" si="95"/>
        <v>0</v>
      </c>
      <c r="AU255" s="378">
        <f t="shared" si="95"/>
        <v>0</v>
      </c>
      <c r="AV255" s="378">
        <f t="shared" si="95"/>
        <v>0</v>
      </c>
      <c r="AW255" s="378">
        <f t="shared" si="95"/>
        <v>0</v>
      </c>
      <c r="AX255" s="378">
        <f t="shared" si="95"/>
        <v>0</v>
      </c>
      <c r="AY255" s="378">
        <f t="shared" si="95"/>
        <v>0</v>
      </c>
      <c r="AZ255" s="378">
        <f t="shared" si="95"/>
        <v>0</v>
      </c>
      <c r="BA255" s="378">
        <f t="shared" si="95"/>
        <v>0</v>
      </c>
      <c r="BB255" s="378">
        <f t="shared" si="95"/>
        <v>0</v>
      </c>
      <c r="BC255" s="378">
        <f t="shared" si="95"/>
        <v>0</v>
      </c>
      <c r="BD255" s="378">
        <f t="shared" si="95"/>
        <v>0</v>
      </c>
      <c r="BE255" s="378">
        <f t="shared" si="95"/>
        <v>0</v>
      </c>
      <c r="BF255" s="378">
        <f t="shared" si="95"/>
        <v>0</v>
      </c>
      <c r="BG255" s="378">
        <f t="shared" si="95"/>
        <v>0</v>
      </c>
      <c r="BH255" s="378">
        <f t="shared" si="95"/>
        <v>0</v>
      </c>
      <c r="BI255" s="378">
        <f t="shared" si="95"/>
        <v>0</v>
      </c>
      <c r="BJ255" s="378">
        <f t="shared" si="95"/>
        <v>0</v>
      </c>
      <c r="BK255" s="378">
        <f t="shared" si="95"/>
        <v>0</v>
      </c>
      <c r="BL255" s="378">
        <f t="shared" si="95"/>
        <v>0</v>
      </c>
      <c r="BM255" s="378">
        <f t="shared" si="95"/>
        <v>0</v>
      </c>
      <c r="BN255" s="378">
        <f t="shared" si="95"/>
        <v>0</v>
      </c>
      <c r="BO255" s="378">
        <f t="shared" si="95"/>
        <v>0</v>
      </c>
      <c r="BP255" s="378">
        <f t="shared" si="95"/>
        <v>0</v>
      </c>
      <c r="BQ255" s="378">
        <f t="shared" si="95"/>
        <v>0</v>
      </c>
      <c r="BR255" s="378">
        <f t="shared" ref="BR255:CB255" si="96">SUM(BR246:BR254)</f>
        <v>0</v>
      </c>
      <c r="BS255" s="378">
        <f t="shared" si="96"/>
        <v>0</v>
      </c>
      <c r="BT255" s="378">
        <f t="shared" si="96"/>
        <v>0</v>
      </c>
      <c r="BU255" s="378">
        <f t="shared" si="96"/>
        <v>0</v>
      </c>
      <c r="BV255" s="378">
        <f t="shared" si="96"/>
        <v>0</v>
      </c>
      <c r="BW255" s="378">
        <f t="shared" si="96"/>
        <v>0</v>
      </c>
      <c r="BX255" s="378"/>
      <c r="BY255" s="378">
        <f t="shared" si="96"/>
        <v>0</v>
      </c>
      <c r="BZ255" s="378">
        <f t="shared" si="96"/>
        <v>0</v>
      </c>
      <c r="CA255" s="378">
        <f t="shared" si="96"/>
        <v>0</v>
      </c>
      <c r="CB255" s="378">
        <f t="shared" si="96"/>
        <v>0</v>
      </c>
      <c r="CC255" s="378"/>
      <c r="CD255" s="378">
        <f t="shared" ref="CD255:DC255" si="97">SUM(CD246:CD254)</f>
        <v>0</v>
      </c>
      <c r="CE255" s="378"/>
      <c r="CF255" s="378">
        <f t="shared" si="97"/>
        <v>0</v>
      </c>
      <c r="CG255" s="378"/>
      <c r="CH255" s="378">
        <f t="shared" si="97"/>
        <v>0</v>
      </c>
      <c r="CI255" s="378">
        <f t="shared" si="97"/>
        <v>0</v>
      </c>
      <c r="CJ255" s="378">
        <f t="shared" si="97"/>
        <v>0</v>
      </c>
      <c r="CK255" s="378"/>
      <c r="CL255" s="378"/>
      <c r="CM255" s="378">
        <f t="shared" si="97"/>
        <v>0</v>
      </c>
      <c r="CN255" s="378">
        <f t="shared" si="97"/>
        <v>0</v>
      </c>
      <c r="CO255" s="378">
        <f t="shared" si="97"/>
        <v>0</v>
      </c>
      <c r="CP255" s="378">
        <f t="shared" si="97"/>
        <v>0</v>
      </c>
      <c r="CQ255" s="378">
        <f t="shared" si="97"/>
        <v>0</v>
      </c>
      <c r="CR255" s="378">
        <f t="shared" si="97"/>
        <v>0</v>
      </c>
      <c r="CS255" s="378">
        <f t="shared" si="97"/>
        <v>0</v>
      </c>
      <c r="CT255" s="378">
        <f t="shared" si="97"/>
        <v>0</v>
      </c>
      <c r="CU255" s="378">
        <f t="shared" si="97"/>
        <v>0</v>
      </c>
      <c r="CV255" s="378">
        <f t="shared" si="97"/>
        <v>0</v>
      </c>
      <c r="CW255" s="378">
        <f t="shared" si="97"/>
        <v>0</v>
      </c>
      <c r="CX255" s="378">
        <f t="shared" si="97"/>
        <v>0</v>
      </c>
      <c r="CY255" s="378">
        <f t="shared" si="97"/>
        <v>0</v>
      </c>
      <c r="CZ255" s="378">
        <f t="shared" si="97"/>
        <v>0</v>
      </c>
      <c r="DA255" s="378">
        <f t="shared" si="97"/>
        <v>0</v>
      </c>
      <c r="DB255" s="378">
        <f t="shared" si="97"/>
        <v>0</v>
      </c>
      <c r="DC255" s="378">
        <f t="shared" si="97"/>
        <v>0</v>
      </c>
    </row>
    <row r="256" spans="1:107" ht="18.75">
      <c r="A256" s="376"/>
      <c r="B256" s="377"/>
      <c r="C256" s="378"/>
      <c r="D256" s="378"/>
      <c r="E256" s="378"/>
      <c r="F256" s="378"/>
      <c r="G256" s="378"/>
      <c r="H256" s="378"/>
      <c r="I256" s="378"/>
      <c r="J256" s="378"/>
      <c r="K256" s="378"/>
      <c r="L256" s="378"/>
      <c r="M256" s="378"/>
      <c r="N256" s="378"/>
      <c r="O256" s="378"/>
      <c r="P256" s="379"/>
      <c r="Q256" s="379"/>
      <c r="R256" s="379"/>
      <c r="S256" s="379"/>
      <c r="T256" s="380"/>
      <c r="U256" s="381"/>
      <c r="V256" s="381"/>
      <c r="W256" s="381"/>
      <c r="X256" s="378"/>
      <c r="Y256" s="378"/>
      <c r="Z256" s="378"/>
      <c r="AA256" s="378"/>
      <c r="AB256" s="378"/>
      <c r="AC256" s="378"/>
      <c r="AD256" s="378"/>
      <c r="AE256" s="378"/>
      <c r="AF256" s="378"/>
      <c r="AG256" s="378"/>
      <c r="AH256" s="378"/>
      <c r="AI256" s="378"/>
      <c r="AJ256" s="378"/>
      <c r="AK256" s="378"/>
      <c r="AL256" s="378"/>
      <c r="AM256" s="378"/>
      <c r="AN256" s="378"/>
      <c r="AO256" s="378"/>
      <c r="AP256" s="379"/>
      <c r="AQ256" s="380"/>
      <c r="AR256" s="381"/>
      <c r="AS256" s="378"/>
      <c r="AT256" s="378"/>
      <c r="AU256" s="379"/>
      <c r="AV256" s="380"/>
      <c r="AW256" s="381"/>
      <c r="AX256" s="378"/>
      <c r="AY256" s="380"/>
      <c r="AZ256" s="382"/>
      <c r="BA256" s="383"/>
      <c r="BB256" s="383"/>
      <c r="BC256" s="383"/>
      <c r="BD256" s="383"/>
      <c r="BE256" s="383"/>
      <c r="BF256" s="383"/>
      <c r="BG256" s="383"/>
      <c r="BH256" s="383"/>
      <c r="BI256" s="383"/>
      <c r="BJ256" s="383"/>
      <c r="BK256" s="383"/>
      <c r="BL256" s="383"/>
      <c r="BM256" s="383"/>
      <c r="BN256" s="383"/>
      <c r="BO256" s="383"/>
      <c r="BP256" s="383"/>
      <c r="BQ256" s="383"/>
      <c r="BR256" s="383"/>
      <c r="BS256" s="383"/>
      <c r="BT256" s="383"/>
      <c r="BU256" s="383"/>
      <c r="BV256" s="383"/>
      <c r="BW256" s="383"/>
      <c r="BX256" s="383"/>
      <c r="BY256" s="383"/>
      <c r="BZ256" s="383"/>
      <c r="CA256" s="383"/>
      <c r="CB256" s="383"/>
      <c r="CC256" s="383"/>
      <c r="CD256" s="383"/>
      <c r="CE256" s="383"/>
      <c r="CF256" s="383"/>
      <c r="CG256" s="383"/>
      <c r="CH256" s="383"/>
      <c r="CI256" s="383"/>
      <c r="CJ256" s="383"/>
      <c r="CK256" s="383"/>
      <c r="CL256" s="383"/>
      <c r="CM256" s="383"/>
      <c r="CN256" s="383"/>
      <c r="CO256" s="383"/>
      <c r="CP256" s="383"/>
      <c r="CQ256" s="383"/>
      <c r="CR256" s="383"/>
      <c r="CS256" s="383"/>
      <c r="CT256" s="383"/>
      <c r="CU256" s="383"/>
      <c r="CV256" s="383"/>
      <c r="CW256" s="383"/>
      <c r="CX256" s="383"/>
      <c r="CY256" s="383"/>
      <c r="CZ256" s="383"/>
      <c r="DA256" s="383"/>
      <c r="DB256" s="383"/>
      <c r="DC256" s="383"/>
    </row>
    <row r="257" spans="1:107">
      <c r="A257" s="376"/>
      <c r="B257" s="386" t="s">
        <v>173</v>
      </c>
      <c r="C257" s="349"/>
      <c r="D257" s="349"/>
      <c r="E257" s="349"/>
      <c r="F257" s="349"/>
      <c r="G257" s="349"/>
      <c r="H257" s="349"/>
      <c r="I257" s="349"/>
      <c r="J257" s="349"/>
      <c r="K257" s="349"/>
      <c r="L257" s="349"/>
      <c r="M257" s="349"/>
      <c r="N257" s="349"/>
      <c r="O257" s="349"/>
      <c r="P257" s="354"/>
      <c r="Q257" s="354"/>
      <c r="R257" s="354"/>
      <c r="S257" s="354"/>
      <c r="T257" s="359"/>
      <c r="U257" s="353"/>
      <c r="V257" s="353"/>
      <c r="W257" s="353"/>
      <c r="X257" s="349"/>
      <c r="Y257" s="349"/>
      <c r="Z257" s="349"/>
      <c r="AA257" s="349"/>
      <c r="AB257" s="349"/>
      <c r="AC257" s="349"/>
      <c r="AD257" s="349"/>
      <c r="AE257" s="349"/>
      <c r="AF257" s="349"/>
      <c r="AG257" s="349"/>
      <c r="AH257" s="349"/>
      <c r="AI257" s="349"/>
      <c r="AJ257" s="349"/>
      <c r="AK257" s="349"/>
      <c r="AL257" s="349"/>
      <c r="AM257" s="349"/>
      <c r="AN257" s="349"/>
      <c r="AO257" s="349"/>
      <c r="AP257" s="354"/>
      <c r="AQ257" s="352"/>
      <c r="AR257" s="355"/>
      <c r="AS257" s="356"/>
      <c r="AT257" s="356"/>
      <c r="AU257" s="387"/>
      <c r="AV257" s="357"/>
      <c r="AW257" s="353"/>
      <c r="AX257" s="349"/>
      <c r="AY257" s="352"/>
      <c r="AZ257" s="372"/>
      <c r="BA257" s="373"/>
      <c r="BB257" s="373"/>
      <c r="BC257" s="373"/>
      <c r="BD257" s="373"/>
      <c r="BE257" s="373"/>
      <c r="BF257" s="373"/>
      <c r="BG257" s="373"/>
      <c r="BH257" s="373"/>
      <c r="BI257" s="373"/>
      <c r="BJ257" s="373"/>
      <c r="BK257" s="373"/>
      <c r="BL257" s="373"/>
      <c r="BM257" s="373"/>
      <c r="BN257" s="373"/>
      <c r="BO257" s="373"/>
      <c r="BP257" s="373"/>
      <c r="BQ257" s="373"/>
      <c r="BR257" s="373"/>
      <c r="BS257" s="373"/>
      <c r="BT257" s="373"/>
      <c r="BU257" s="373"/>
      <c r="BV257" s="373"/>
      <c r="BW257" s="373"/>
      <c r="BX257" s="373"/>
      <c r="BY257" s="373"/>
      <c r="BZ257" s="373"/>
      <c r="CA257" s="373"/>
      <c r="CB257" s="373"/>
      <c r="CC257" s="373"/>
      <c r="CD257" s="373"/>
      <c r="CE257" s="373"/>
      <c r="CF257" s="373"/>
      <c r="CG257" s="373"/>
      <c r="CH257" s="373"/>
      <c r="CI257" s="373"/>
      <c r="CJ257" s="373"/>
      <c r="CK257" s="373"/>
      <c r="CL257" s="373"/>
      <c r="CM257" s="373"/>
      <c r="CN257" s="373"/>
      <c r="CO257" s="373"/>
      <c r="CP257" s="373"/>
      <c r="CQ257" s="373"/>
      <c r="CR257" s="373"/>
      <c r="CS257" s="373"/>
      <c r="CT257" s="373"/>
      <c r="CU257" s="373"/>
      <c r="CV257" s="373"/>
      <c r="CW257" s="373"/>
      <c r="CX257" s="373"/>
      <c r="CY257" s="373"/>
      <c r="CZ257" s="373"/>
      <c r="DA257" s="373"/>
      <c r="DB257" s="373"/>
      <c r="DC257" s="373"/>
    </row>
    <row r="258" spans="1:107">
      <c r="A258" s="388"/>
      <c r="B258" s="358" t="s">
        <v>172</v>
      </c>
      <c r="C258" s="349"/>
      <c r="D258" s="349"/>
      <c r="E258" s="349"/>
      <c r="F258" s="349"/>
      <c r="G258" s="349"/>
      <c r="H258" s="349"/>
      <c r="I258" s="349"/>
      <c r="J258" s="349"/>
      <c r="K258" s="349"/>
      <c r="L258" s="349"/>
      <c r="M258" s="349"/>
      <c r="N258" s="349"/>
      <c r="O258" s="349"/>
      <c r="P258" s="354"/>
      <c r="Q258" s="354"/>
      <c r="R258" s="354"/>
      <c r="S258" s="354"/>
      <c r="T258" s="352">
        <f t="shared" ref="T258:T264" si="98">SUM(C258:O258)</f>
        <v>0</v>
      </c>
      <c r="U258" s="353"/>
      <c r="V258" s="353"/>
      <c r="W258" s="353"/>
      <c r="X258" s="349"/>
      <c r="Y258" s="349"/>
      <c r="Z258" s="349"/>
      <c r="AA258" s="349"/>
      <c r="AB258" s="349"/>
      <c r="AC258" s="349"/>
      <c r="AD258" s="349"/>
      <c r="AE258" s="349"/>
      <c r="AF258" s="349"/>
      <c r="AG258" s="349"/>
      <c r="AH258" s="349"/>
      <c r="AI258" s="349"/>
      <c r="AJ258" s="349"/>
      <c r="AK258" s="349"/>
      <c r="AL258" s="349"/>
      <c r="AM258" s="349"/>
      <c r="AN258" s="349"/>
      <c r="AO258" s="349"/>
      <c r="AP258" s="354"/>
      <c r="AQ258" s="352"/>
      <c r="AR258" s="389"/>
      <c r="AS258" s="362"/>
      <c r="AT258" s="362"/>
      <c r="AU258" s="390"/>
      <c r="AV258" s="391"/>
      <c r="AW258" s="353"/>
      <c r="AX258" s="349"/>
      <c r="AY258" s="352"/>
      <c r="AZ258" s="363"/>
      <c r="BA258" s="361"/>
      <c r="BB258" s="361"/>
      <c r="BC258" s="361"/>
      <c r="BD258" s="361"/>
      <c r="BE258" s="361"/>
      <c r="BF258" s="361"/>
      <c r="BG258" s="361"/>
      <c r="BH258" s="361"/>
      <c r="BI258" s="361"/>
      <c r="BJ258" s="361"/>
      <c r="BK258" s="361"/>
      <c r="BL258" s="361"/>
      <c r="BM258" s="361"/>
      <c r="BN258" s="361"/>
      <c r="BO258" s="361"/>
      <c r="BP258" s="361"/>
      <c r="BQ258" s="361"/>
      <c r="BR258" s="361"/>
      <c r="BS258" s="361"/>
      <c r="BT258" s="361"/>
      <c r="BU258" s="361"/>
      <c r="BV258" s="361"/>
      <c r="BW258" s="361"/>
      <c r="BX258" s="361"/>
      <c r="BY258" s="361"/>
      <c r="BZ258" s="361"/>
      <c r="CA258" s="361"/>
      <c r="CB258" s="361"/>
      <c r="CC258" s="361"/>
      <c r="CD258" s="361"/>
      <c r="CE258" s="361"/>
      <c r="CF258" s="361"/>
      <c r="CG258" s="361"/>
      <c r="CH258" s="361"/>
      <c r="CI258" s="361"/>
      <c r="CJ258" s="361"/>
      <c r="CK258" s="361"/>
      <c r="CL258" s="361"/>
      <c r="CM258" s="361"/>
      <c r="CN258" s="361"/>
      <c r="CO258" s="361"/>
      <c r="CP258" s="361"/>
      <c r="CQ258" s="361"/>
      <c r="CR258" s="361"/>
      <c r="CS258" s="361"/>
      <c r="CT258" s="361"/>
      <c r="CU258" s="361"/>
      <c r="CV258" s="361"/>
      <c r="CW258" s="361"/>
      <c r="CX258" s="361"/>
      <c r="CY258" s="361"/>
      <c r="CZ258" s="361"/>
      <c r="DA258" s="361"/>
      <c r="DB258" s="361"/>
      <c r="DC258" s="361"/>
    </row>
    <row r="259" spans="1:107">
      <c r="A259" s="388"/>
      <c r="B259" s="358" t="s">
        <v>258</v>
      </c>
      <c r="C259" s="349"/>
      <c r="D259" s="349">
        <v>430</v>
      </c>
      <c r="E259" s="349"/>
      <c r="F259" s="349"/>
      <c r="G259" s="349"/>
      <c r="H259" s="349"/>
      <c r="I259" s="349"/>
      <c r="J259" s="349"/>
      <c r="K259" s="349"/>
      <c r="L259" s="349"/>
      <c r="M259" s="349"/>
      <c r="N259" s="349"/>
      <c r="O259" s="349"/>
      <c r="P259" s="354"/>
      <c r="Q259" s="354"/>
      <c r="R259" s="354"/>
      <c r="S259" s="354"/>
      <c r="T259" s="352">
        <f t="shared" si="98"/>
        <v>430</v>
      </c>
      <c r="U259" s="353">
        <f>C259*3.5</f>
        <v>0</v>
      </c>
      <c r="V259" s="353"/>
      <c r="W259" s="353"/>
      <c r="X259" s="349"/>
      <c r="Y259" s="349"/>
      <c r="Z259" s="349">
        <f>U259/2</f>
        <v>0</v>
      </c>
      <c r="AA259" s="349">
        <f>U259/2</f>
        <v>0</v>
      </c>
      <c r="AB259" s="349"/>
      <c r="AC259" s="349"/>
      <c r="AD259" s="349"/>
      <c r="AE259" s="349"/>
      <c r="AF259" s="349"/>
      <c r="AG259" s="349"/>
      <c r="AH259" s="349"/>
      <c r="AI259" s="349"/>
      <c r="AJ259" s="349"/>
      <c r="AK259" s="349"/>
      <c r="AL259" s="349"/>
      <c r="AM259" s="349"/>
      <c r="AN259" s="349">
        <f>2.5*4</f>
        <v>10</v>
      </c>
      <c r="AO259" s="349"/>
      <c r="AP259" s="354"/>
      <c r="AQ259" s="352">
        <v>8</v>
      </c>
      <c r="AR259" s="389"/>
      <c r="AS259" s="356">
        <f>C259</f>
        <v>0</v>
      </c>
      <c r="AT259" s="362"/>
      <c r="AU259" s="390"/>
      <c r="AV259" s="391"/>
      <c r="AW259" s="353">
        <f t="shared" ref="AW259:AX262" si="99">Z259</f>
        <v>0</v>
      </c>
      <c r="AX259" s="349">
        <f t="shared" si="99"/>
        <v>0</v>
      </c>
      <c r="AY259" s="352">
        <f>AS259</f>
        <v>0</v>
      </c>
      <c r="AZ259" s="372">
        <v>2</v>
      </c>
      <c r="BA259" s="361"/>
      <c r="BB259" s="361"/>
      <c r="BC259" s="361"/>
      <c r="BD259" s="361"/>
      <c r="BE259" s="361"/>
      <c r="BF259" s="361"/>
      <c r="BG259" s="361"/>
      <c r="BH259" s="361"/>
      <c r="BI259" s="361"/>
      <c r="BJ259" s="361"/>
      <c r="BK259" s="361"/>
      <c r="BL259" s="361"/>
      <c r="BM259" s="361"/>
      <c r="BN259" s="361"/>
      <c r="BO259" s="361"/>
      <c r="BP259" s="361"/>
      <c r="BQ259" s="361"/>
      <c r="BR259" s="361"/>
      <c r="BS259" s="361"/>
      <c r="BT259" s="361"/>
      <c r="BU259" s="361"/>
      <c r="BV259" s="361"/>
      <c r="BW259" s="361"/>
      <c r="BX259" s="361"/>
      <c r="BY259" s="361"/>
      <c r="BZ259" s="361"/>
      <c r="CA259" s="361"/>
      <c r="CB259" s="361"/>
      <c r="CC259" s="361"/>
      <c r="CD259" s="361"/>
      <c r="CE259" s="361"/>
      <c r="CF259" s="361"/>
      <c r="CG259" s="361"/>
      <c r="CH259" s="361"/>
      <c r="CI259" s="361"/>
      <c r="CJ259" s="361"/>
      <c r="CK259" s="361"/>
      <c r="CL259" s="361"/>
      <c r="CM259" s="361"/>
      <c r="CN259" s="361"/>
      <c r="CO259" s="361"/>
      <c r="CP259" s="361"/>
      <c r="CQ259" s="361"/>
      <c r="CR259" s="361"/>
      <c r="CS259" s="361"/>
      <c r="CT259" s="361"/>
      <c r="CU259" s="361"/>
      <c r="CV259" s="361"/>
      <c r="CW259" s="361"/>
      <c r="CX259" s="361"/>
      <c r="CY259" s="361"/>
      <c r="CZ259" s="361"/>
      <c r="DA259" s="361"/>
      <c r="DB259" s="361"/>
      <c r="DC259" s="361"/>
    </row>
    <row r="260" spans="1:107">
      <c r="A260" s="376"/>
      <c r="B260" s="353" t="s">
        <v>241</v>
      </c>
      <c r="C260" s="349"/>
      <c r="D260" s="349"/>
      <c r="E260" s="349"/>
      <c r="F260" s="349">
        <v>620</v>
      </c>
      <c r="G260" s="349"/>
      <c r="H260" s="349"/>
      <c r="I260" s="349"/>
      <c r="J260" s="349"/>
      <c r="K260" s="349"/>
      <c r="L260" s="349"/>
      <c r="M260" s="349"/>
      <c r="N260" s="349"/>
      <c r="O260" s="349"/>
      <c r="P260" s="354"/>
      <c r="Q260" s="354"/>
      <c r="R260" s="354"/>
      <c r="S260" s="354"/>
      <c r="T260" s="352">
        <f t="shared" si="98"/>
        <v>620</v>
      </c>
      <c r="U260" s="353">
        <f>C260*3.5</f>
        <v>0</v>
      </c>
      <c r="V260" s="353"/>
      <c r="W260" s="353"/>
      <c r="X260" s="349"/>
      <c r="Y260" s="349"/>
      <c r="Z260" s="349">
        <f t="shared" ref="Z260:Z262" si="100">U260/2</f>
        <v>0</v>
      </c>
      <c r="AA260" s="349">
        <f t="shared" ref="AA260:AA262" si="101">U260/2</f>
        <v>0</v>
      </c>
      <c r="AB260" s="349"/>
      <c r="AC260" s="349"/>
      <c r="AD260" s="349"/>
      <c r="AE260" s="349"/>
      <c r="AF260" s="349"/>
      <c r="AG260" s="349"/>
      <c r="AH260" s="349"/>
      <c r="AI260" s="349"/>
      <c r="AJ260" s="349"/>
      <c r="AK260" s="349"/>
      <c r="AL260" s="349"/>
      <c r="AM260" s="349"/>
      <c r="AN260" s="349"/>
      <c r="AO260" s="349"/>
      <c r="AP260" s="354"/>
      <c r="AQ260" s="352"/>
      <c r="AR260" s="355">
        <f>C260</f>
        <v>0</v>
      </c>
      <c r="AS260" s="356"/>
      <c r="AT260" s="356"/>
      <c r="AU260" s="387"/>
      <c r="AV260" s="357"/>
      <c r="AW260" s="353">
        <f t="shared" si="99"/>
        <v>0</v>
      </c>
      <c r="AX260" s="349">
        <f t="shared" si="99"/>
        <v>0</v>
      </c>
      <c r="AY260" s="352">
        <f>AR260</f>
        <v>0</v>
      </c>
      <c r="AZ260" s="372"/>
      <c r="BA260" s="373"/>
      <c r="BB260" s="373"/>
      <c r="BC260" s="373"/>
      <c r="BD260" s="373"/>
      <c r="BE260" s="373"/>
      <c r="BF260" s="373"/>
      <c r="BG260" s="373"/>
      <c r="BH260" s="373"/>
      <c r="BI260" s="373"/>
      <c r="BJ260" s="373"/>
      <c r="BK260" s="373"/>
      <c r="BL260" s="373"/>
      <c r="BM260" s="373"/>
      <c r="BN260" s="373"/>
      <c r="BO260" s="373"/>
      <c r="BP260" s="373"/>
      <c r="BQ260" s="373"/>
      <c r="BR260" s="373"/>
      <c r="BS260" s="373"/>
      <c r="BT260" s="373"/>
      <c r="BU260" s="373"/>
      <c r="BV260" s="373"/>
      <c r="BW260" s="373"/>
      <c r="BX260" s="373"/>
      <c r="BY260" s="373"/>
      <c r="BZ260" s="373"/>
      <c r="CA260" s="373"/>
      <c r="CB260" s="373"/>
      <c r="CC260" s="373"/>
      <c r="CD260" s="373"/>
      <c r="CE260" s="373"/>
      <c r="CF260" s="373"/>
      <c r="CG260" s="373"/>
      <c r="CH260" s="373"/>
      <c r="CI260" s="373"/>
      <c r="CJ260" s="373"/>
      <c r="CK260" s="373"/>
      <c r="CL260" s="373"/>
      <c r="CM260" s="373"/>
      <c r="CN260" s="373"/>
      <c r="CO260" s="373"/>
      <c r="CP260" s="373"/>
      <c r="CQ260" s="373"/>
      <c r="CR260" s="373"/>
      <c r="CS260" s="373"/>
      <c r="CT260" s="373"/>
      <c r="CU260" s="373"/>
      <c r="CV260" s="373"/>
      <c r="CW260" s="373"/>
      <c r="CX260" s="373"/>
      <c r="CY260" s="373"/>
      <c r="CZ260" s="373"/>
      <c r="DA260" s="373"/>
      <c r="DB260" s="373"/>
      <c r="DC260" s="373"/>
    </row>
    <row r="261" spans="1:107">
      <c r="A261" s="376"/>
      <c r="B261" s="353" t="s">
        <v>259</v>
      </c>
      <c r="C261" s="349"/>
      <c r="D261" s="349">
        <v>80</v>
      </c>
      <c r="E261" s="349"/>
      <c r="F261" s="349"/>
      <c r="G261" s="349"/>
      <c r="H261" s="349"/>
      <c r="I261" s="349"/>
      <c r="J261" s="349"/>
      <c r="K261" s="349"/>
      <c r="L261" s="349"/>
      <c r="M261" s="349"/>
      <c r="N261" s="349"/>
      <c r="O261" s="349"/>
      <c r="P261" s="354"/>
      <c r="Q261" s="354"/>
      <c r="R261" s="354"/>
      <c r="S261" s="354"/>
      <c r="T261" s="352">
        <f t="shared" si="98"/>
        <v>80</v>
      </c>
      <c r="U261" s="353">
        <f>C261*2.5</f>
        <v>0</v>
      </c>
      <c r="V261" s="353"/>
      <c r="W261" s="353"/>
      <c r="X261" s="349"/>
      <c r="Y261" s="349"/>
      <c r="Z261" s="349">
        <f t="shared" si="100"/>
        <v>0</v>
      </c>
      <c r="AA261" s="349">
        <f t="shared" si="101"/>
        <v>0</v>
      </c>
      <c r="AB261" s="349"/>
      <c r="AC261" s="349"/>
      <c r="AD261" s="349"/>
      <c r="AE261" s="349"/>
      <c r="AF261" s="349"/>
      <c r="AG261" s="349"/>
      <c r="AH261" s="349"/>
      <c r="AI261" s="349"/>
      <c r="AJ261" s="349"/>
      <c r="AK261" s="349"/>
      <c r="AL261" s="349"/>
      <c r="AM261" s="349"/>
      <c r="AN261" s="349">
        <f>2.5*2</f>
        <v>5</v>
      </c>
      <c r="AO261" s="349"/>
      <c r="AP261" s="354"/>
      <c r="AQ261" s="352">
        <f>2.1*2</f>
        <v>4.2</v>
      </c>
      <c r="AR261" s="355">
        <f>C261</f>
        <v>0</v>
      </c>
      <c r="AS261" s="356"/>
      <c r="AT261" s="356"/>
      <c r="AU261" s="387"/>
      <c r="AV261" s="357"/>
      <c r="AW261" s="353">
        <f t="shared" si="99"/>
        <v>0</v>
      </c>
      <c r="AX261" s="349">
        <f t="shared" si="99"/>
        <v>0</v>
      </c>
      <c r="AY261" s="352">
        <f>AR261</f>
        <v>0</v>
      </c>
      <c r="AZ261" s="372"/>
      <c r="BA261" s="373">
        <v>1</v>
      </c>
      <c r="BB261" s="373">
        <v>1</v>
      </c>
      <c r="BC261" s="373"/>
      <c r="BD261" s="373"/>
      <c r="BE261" s="373"/>
      <c r="BF261" s="373"/>
      <c r="BG261" s="373"/>
      <c r="BH261" s="373"/>
      <c r="BI261" s="373"/>
      <c r="BJ261" s="373"/>
      <c r="BK261" s="373"/>
      <c r="BL261" s="373"/>
      <c r="BM261" s="373"/>
      <c r="BN261" s="373"/>
      <c r="BO261" s="373"/>
      <c r="BP261" s="373"/>
      <c r="BQ261" s="373"/>
      <c r="BR261" s="373"/>
      <c r="BS261" s="373"/>
      <c r="BT261" s="373"/>
      <c r="BU261" s="373"/>
      <c r="BV261" s="373"/>
      <c r="BW261" s="373"/>
      <c r="BX261" s="373"/>
      <c r="BY261" s="373"/>
      <c r="BZ261" s="373"/>
      <c r="CA261" s="373"/>
      <c r="CB261" s="373"/>
      <c r="CC261" s="373"/>
      <c r="CD261" s="373"/>
      <c r="CE261" s="373"/>
      <c r="CF261" s="373"/>
      <c r="CG261" s="373"/>
      <c r="CH261" s="373"/>
      <c r="CI261" s="373"/>
      <c r="CJ261" s="373"/>
      <c r="CK261" s="373"/>
      <c r="CL261" s="373"/>
      <c r="CM261" s="373"/>
      <c r="CN261" s="373"/>
      <c r="CO261" s="373"/>
      <c r="CP261" s="373"/>
      <c r="CQ261" s="373"/>
      <c r="CR261" s="373"/>
      <c r="CS261" s="373"/>
      <c r="CT261" s="373"/>
      <c r="CU261" s="373"/>
      <c r="CV261" s="373"/>
      <c r="CW261" s="373"/>
      <c r="CX261" s="373"/>
      <c r="CY261" s="373"/>
      <c r="CZ261" s="373"/>
      <c r="DA261" s="373"/>
      <c r="DB261" s="373"/>
      <c r="DC261" s="373"/>
    </row>
    <row r="262" spans="1:107">
      <c r="A262" s="376"/>
      <c r="B262" s="353" t="s">
        <v>260</v>
      </c>
      <c r="C262" s="349"/>
      <c r="D262" s="349">
        <v>320</v>
      </c>
      <c r="E262" s="349"/>
      <c r="F262" s="349"/>
      <c r="G262" s="349"/>
      <c r="H262" s="349"/>
      <c r="I262" s="349"/>
      <c r="J262" s="349"/>
      <c r="K262" s="349"/>
      <c r="L262" s="349"/>
      <c r="M262" s="349"/>
      <c r="N262" s="349"/>
      <c r="O262" s="349"/>
      <c r="P262" s="354"/>
      <c r="Q262" s="354"/>
      <c r="R262" s="354"/>
      <c r="S262" s="354"/>
      <c r="T262" s="352">
        <f t="shared" si="98"/>
        <v>320</v>
      </c>
      <c r="U262" s="353">
        <f>C262*2.5</f>
        <v>0</v>
      </c>
      <c r="V262" s="353"/>
      <c r="W262" s="353"/>
      <c r="X262" s="349"/>
      <c r="Y262" s="349"/>
      <c r="Z262" s="349">
        <f t="shared" si="100"/>
        <v>0</v>
      </c>
      <c r="AA262" s="349">
        <f t="shared" si="101"/>
        <v>0</v>
      </c>
      <c r="AB262" s="349"/>
      <c r="AC262" s="349"/>
      <c r="AD262" s="349"/>
      <c r="AE262" s="349"/>
      <c r="AF262" s="349"/>
      <c r="AG262" s="349"/>
      <c r="AH262" s="349"/>
      <c r="AI262" s="349"/>
      <c r="AJ262" s="349"/>
      <c r="AK262" s="349"/>
      <c r="AL262" s="349"/>
      <c r="AM262" s="349"/>
      <c r="AN262" s="349">
        <f>2.5*8</f>
        <v>20</v>
      </c>
      <c r="AO262" s="349"/>
      <c r="AP262" s="354"/>
      <c r="AQ262" s="352">
        <f>2.1*4</f>
        <v>8.4</v>
      </c>
      <c r="AR262" s="355">
        <f>C262</f>
        <v>0</v>
      </c>
      <c r="AS262" s="356"/>
      <c r="AT262" s="356"/>
      <c r="AU262" s="387"/>
      <c r="AV262" s="357"/>
      <c r="AW262" s="353">
        <f t="shared" si="99"/>
        <v>0</v>
      </c>
      <c r="AX262" s="349">
        <f t="shared" si="99"/>
        <v>0</v>
      </c>
      <c r="AY262" s="352">
        <f>AU262</f>
        <v>0</v>
      </c>
      <c r="AZ262" s="372"/>
      <c r="BA262" s="373">
        <v>2</v>
      </c>
      <c r="BB262" s="373"/>
      <c r="BC262" s="373"/>
      <c r="BD262" s="373"/>
      <c r="BE262" s="373"/>
      <c r="BF262" s="373"/>
      <c r="BG262" s="373"/>
      <c r="BH262" s="373"/>
      <c r="BI262" s="373"/>
      <c r="BJ262" s="373"/>
      <c r="BK262" s="373"/>
      <c r="BL262" s="373"/>
      <c r="BM262" s="373"/>
      <c r="BN262" s="373"/>
      <c r="BO262" s="373"/>
      <c r="BP262" s="373"/>
      <c r="BQ262" s="373"/>
      <c r="BR262" s="373"/>
      <c r="BS262" s="373"/>
      <c r="BT262" s="373"/>
      <c r="BU262" s="373"/>
      <c r="BV262" s="373"/>
      <c r="BW262" s="373">
        <v>1</v>
      </c>
      <c r="BX262" s="373"/>
      <c r="BY262" s="373"/>
      <c r="BZ262" s="373"/>
      <c r="CA262" s="373"/>
      <c r="CB262" s="373"/>
      <c r="CC262" s="373"/>
      <c r="CD262" s="373"/>
      <c r="CE262" s="373"/>
      <c r="CF262" s="373"/>
      <c r="CG262" s="373"/>
      <c r="CH262" s="373"/>
      <c r="CI262" s="373"/>
      <c r="CJ262" s="373"/>
      <c r="CK262" s="373"/>
      <c r="CL262" s="373"/>
      <c r="CM262" s="373"/>
      <c r="CN262" s="373"/>
      <c r="CO262" s="373"/>
      <c r="CP262" s="373"/>
      <c r="CQ262" s="373"/>
      <c r="CR262" s="373"/>
      <c r="CS262" s="373"/>
      <c r="CT262" s="373"/>
      <c r="CU262" s="373"/>
      <c r="CV262" s="373"/>
      <c r="CW262" s="373"/>
      <c r="CX262" s="373"/>
      <c r="CY262" s="373"/>
      <c r="CZ262" s="373"/>
      <c r="DA262" s="373"/>
      <c r="DB262" s="373"/>
      <c r="DC262" s="373"/>
    </row>
    <row r="263" spans="1:107">
      <c r="A263" s="376"/>
      <c r="B263" s="353" t="s">
        <v>261</v>
      </c>
      <c r="C263" s="349"/>
      <c r="D263" s="349"/>
      <c r="E263" s="349"/>
      <c r="F263" s="349">
        <f>ROUNDUP((6*33.36)+(6*44.69),0)</f>
        <v>469</v>
      </c>
      <c r="G263" s="349"/>
      <c r="H263" s="349"/>
      <c r="I263" s="349"/>
      <c r="J263" s="349"/>
      <c r="K263" s="349"/>
      <c r="L263" s="349"/>
      <c r="M263" s="349"/>
      <c r="N263" s="349"/>
      <c r="O263" s="349"/>
      <c r="P263" s="354"/>
      <c r="Q263" s="354"/>
      <c r="R263" s="354"/>
      <c r="S263" s="354"/>
      <c r="T263" s="352">
        <f t="shared" si="98"/>
        <v>469</v>
      </c>
      <c r="U263" s="353"/>
      <c r="V263" s="353"/>
      <c r="W263" s="353"/>
      <c r="X263" s="349"/>
      <c r="Y263" s="349"/>
      <c r="Z263" s="349"/>
      <c r="AA263" s="349"/>
      <c r="AB263" s="349"/>
      <c r="AC263" s="349"/>
      <c r="AD263" s="349"/>
      <c r="AE263" s="349"/>
      <c r="AF263" s="349"/>
      <c r="AG263" s="349"/>
      <c r="AH263" s="349"/>
      <c r="AI263" s="349"/>
      <c r="AJ263" s="349"/>
      <c r="AK263" s="349"/>
      <c r="AL263" s="349"/>
      <c r="AM263" s="349"/>
      <c r="AN263" s="349"/>
      <c r="AO263" s="349"/>
      <c r="AP263" s="354"/>
      <c r="AQ263" s="352"/>
      <c r="AR263" s="355"/>
      <c r="AS263" s="356"/>
      <c r="AT263" s="356"/>
      <c r="AU263" s="387"/>
      <c r="AV263" s="357"/>
      <c r="AW263" s="353"/>
      <c r="AX263" s="349"/>
      <c r="AY263" s="352"/>
      <c r="AZ263" s="372"/>
      <c r="BA263" s="373"/>
      <c r="BB263" s="373"/>
      <c r="BC263" s="373"/>
      <c r="BD263" s="373"/>
      <c r="BE263" s="373"/>
      <c r="BF263" s="373"/>
      <c r="BG263" s="373"/>
      <c r="BH263" s="373"/>
      <c r="BI263" s="373"/>
      <c r="BJ263" s="373"/>
      <c r="BK263" s="373"/>
      <c r="BL263" s="373"/>
      <c r="BM263" s="373"/>
      <c r="BN263" s="373"/>
      <c r="BO263" s="373"/>
      <c r="BP263" s="373"/>
      <c r="BQ263" s="373"/>
      <c r="BR263" s="373"/>
      <c r="BS263" s="373"/>
      <c r="BT263" s="373"/>
      <c r="BU263" s="373"/>
      <c r="BV263" s="373"/>
      <c r="BW263" s="373"/>
      <c r="BX263" s="373"/>
      <c r="BY263" s="373"/>
      <c r="BZ263" s="373"/>
      <c r="CA263" s="373"/>
      <c r="CB263" s="373"/>
      <c r="CC263" s="373"/>
      <c r="CD263" s="373"/>
      <c r="CE263" s="373"/>
      <c r="CF263" s="373"/>
      <c r="CG263" s="373"/>
      <c r="CH263" s="373"/>
      <c r="CI263" s="373"/>
      <c r="CJ263" s="373"/>
      <c r="CK263" s="373"/>
      <c r="CL263" s="373"/>
      <c r="CM263" s="373"/>
      <c r="CN263" s="373"/>
      <c r="CO263" s="373"/>
      <c r="CP263" s="373"/>
      <c r="CQ263" s="373"/>
      <c r="CR263" s="373"/>
      <c r="CS263" s="373"/>
      <c r="CT263" s="373"/>
      <c r="CU263" s="373"/>
      <c r="CV263" s="373"/>
      <c r="CW263" s="373"/>
      <c r="CX263" s="373"/>
      <c r="CY263" s="373"/>
      <c r="CZ263" s="373"/>
      <c r="DA263" s="373"/>
      <c r="DB263" s="373"/>
      <c r="DC263" s="373"/>
    </row>
    <row r="264" spans="1:107">
      <c r="A264" s="376"/>
      <c r="B264" s="396"/>
      <c r="C264" s="349"/>
      <c r="D264" s="349"/>
      <c r="E264" s="349"/>
      <c r="F264" s="349"/>
      <c r="G264" s="349"/>
      <c r="H264" s="349"/>
      <c r="I264" s="349"/>
      <c r="J264" s="349"/>
      <c r="K264" s="349"/>
      <c r="L264" s="349"/>
      <c r="M264" s="349"/>
      <c r="N264" s="349"/>
      <c r="O264" s="349"/>
      <c r="P264" s="354"/>
      <c r="Q264" s="354"/>
      <c r="R264" s="354"/>
      <c r="S264" s="354"/>
      <c r="T264" s="352">
        <f t="shared" si="98"/>
        <v>0</v>
      </c>
      <c r="U264" s="353"/>
      <c r="V264" s="353"/>
      <c r="W264" s="353"/>
      <c r="X264" s="349"/>
      <c r="Y264" s="349"/>
      <c r="Z264" s="349"/>
      <c r="AA264" s="349"/>
      <c r="AB264" s="349"/>
      <c r="AC264" s="349"/>
      <c r="AD264" s="349"/>
      <c r="AE264" s="349"/>
      <c r="AF264" s="349"/>
      <c r="AG264" s="349"/>
      <c r="AH264" s="349"/>
      <c r="AI264" s="349"/>
      <c r="AJ264" s="349"/>
      <c r="AK264" s="349"/>
      <c r="AL264" s="349"/>
      <c r="AM264" s="349"/>
      <c r="AN264" s="349"/>
      <c r="AO264" s="349"/>
      <c r="AP264" s="354"/>
      <c r="AQ264" s="352"/>
      <c r="AR264" s="355"/>
      <c r="AS264" s="356"/>
      <c r="AT264" s="356"/>
      <c r="AU264" s="387"/>
      <c r="AV264" s="357"/>
      <c r="AW264" s="353"/>
      <c r="AX264" s="349"/>
      <c r="AY264" s="352"/>
      <c r="AZ264" s="372"/>
      <c r="BA264" s="373"/>
      <c r="BB264" s="373"/>
      <c r="BC264" s="373"/>
      <c r="BD264" s="373"/>
      <c r="BE264" s="373"/>
      <c r="BF264" s="373"/>
      <c r="BG264" s="373"/>
      <c r="BH264" s="373"/>
      <c r="BI264" s="373"/>
      <c r="BJ264" s="373"/>
      <c r="BK264" s="373"/>
      <c r="BL264" s="373"/>
      <c r="BM264" s="373"/>
      <c r="BN264" s="373"/>
      <c r="BO264" s="373"/>
      <c r="BP264" s="373"/>
      <c r="BQ264" s="373"/>
      <c r="BR264" s="373"/>
      <c r="BS264" s="373"/>
      <c r="BT264" s="373"/>
      <c r="BU264" s="373"/>
      <c r="BV264" s="373"/>
      <c r="BW264" s="373"/>
      <c r="BX264" s="373"/>
      <c r="BY264" s="373"/>
      <c r="BZ264" s="373"/>
      <c r="CA264" s="373"/>
      <c r="CB264" s="373"/>
      <c r="CC264" s="374"/>
      <c r="CD264" s="374"/>
      <c r="CE264" s="374"/>
      <c r="CF264" s="374"/>
      <c r="CG264" s="374"/>
      <c r="CH264" s="374"/>
      <c r="CI264" s="374"/>
      <c r="CJ264" s="374"/>
      <c r="CK264" s="374"/>
      <c r="CL264" s="374"/>
      <c r="CM264" s="374"/>
      <c r="CN264" s="374"/>
      <c r="CO264" s="374"/>
      <c r="CP264" s="374"/>
      <c r="CQ264" s="374"/>
      <c r="CR264" s="374"/>
      <c r="CS264" s="374"/>
      <c r="CT264" s="374"/>
      <c r="CU264" s="374"/>
      <c r="CV264" s="374"/>
      <c r="CW264" s="374"/>
      <c r="CX264" s="374"/>
      <c r="CY264" s="374"/>
      <c r="CZ264" s="374"/>
      <c r="DA264" s="374"/>
      <c r="DB264" s="374"/>
      <c r="DC264" s="375"/>
    </row>
    <row r="265" spans="1:107">
      <c r="A265" s="376"/>
      <c r="B265" s="396"/>
      <c r="C265" s="349"/>
      <c r="D265" s="349"/>
      <c r="E265" s="349"/>
      <c r="F265" s="349"/>
      <c r="G265" s="349"/>
      <c r="H265" s="349"/>
      <c r="I265" s="349"/>
      <c r="J265" s="349"/>
      <c r="K265" s="349"/>
      <c r="L265" s="349"/>
      <c r="M265" s="349"/>
      <c r="N265" s="349"/>
      <c r="O265" s="349"/>
      <c r="P265" s="354"/>
      <c r="Q265" s="354"/>
      <c r="R265" s="354"/>
      <c r="S265" s="354"/>
      <c r="T265" s="352"/>
      <c r="U265" s="353"/>
      <c r="V265" s="353"/>
      <c r="W265" s="353"/>
      <c r="X265" s="349"/>
      <c r="Y265" s="349"/>
      <c r="Z265" s="349"/>
      <c r="AA265" s="349"/>
      <c r="AB265" s="349"/>
      <c r="AC265" s="349"/>
      <c r="AD265" s="349"/>
      <c r="AE265" s="349"/>
      <c r="AF265" s="349"/>
      <c r="AG265" s="349"/>
      <c r="AH265" s="349"/>
      <c r="AI265" s="349"/>
      <c r="AJ265" s="349"/>
      <c r="AK265" s="349"/>
      <c r="AL265" s="349"/>
      <c r="AM265" s="349"/>
      <c r="AN265" s="349"/>
      <c r="AO265" s="349"/>
      <c r="AP265" s="354"/>
      <c r="AQ265" s="352"/>
      <c r="AR265" s="355"/>
      <c r="AS265" s="356"/>
      <c r="AT265" s="356"/>
      <c r="AU265" s="387"/>
      <c r="AV265" s="357"/>
      <c r="AW265" s="353"/>
      <c r="AX265" s="349"/>
      <c r="AY265" s="352"/>
      <c r="AZ265" s="372"/>
      <c r="BA265" s="373"/>
      <c r="BB265" s="373"/>
      <c r="BC265" s="373"/>
      <c r="BD265" s="373"/>
      <c r="BE265" s="373"/>
      <c r="BF265" s="373"/>
      <c r="BG265" s="373"/>
      <c r="BH265" s="373"/>
      <c r="BI265" s="373"/>
      <c r="BJ265" s="373"/>
      <c r="BK265" s="373"/>
      <c r="BL265" s="373"/>
      <c r="BM265" s="373"/>
      <c r="BN265" s="373"/>
      <c r="BO265" s="373"/>
      <c r="BP265" s="373"/>
      <c r="BQ265" s="373"/>
      <c r="BR265" s="373"/>
      <c r="BS265" s="373"/>
      <c r="BT265" s="373"/>
      <c r="BU265" s="373"/>
      <c r="BV265" s="373"/>
      <c r="BW265" s="373"/>
      <c r="BX265" s="373"/>
      <c r="BY265" s="373"/>
      <c r="BZ265" s="373"/>
      <c r="CA265" s="373"/>
      <c r="CB265" s="373"/>
      <c r="CC265" s="374"/>
      <c r="CD265" s="374"/>
      <c r="CE265" s="374"/>
      <c r="CF265" s="374"/>
      <c r="CG265" s="374"/>
      <c r="CH265" s="374"/>
      <c r="CI265" s="374"/>
      <c r="CJ265" s="374"/>
      <c r="CK265" s="374"/>
      <c r="CL265" s="374"/>
      <c r="CM265" s="374"/>
      <c r="CN265" s="374"/>
      <c r="CO265" s="374"/>
      <c r="CP265" s="374"/>
      <c r="CQ265" s="374"/>
      <c r="CR265" s="374"/>
      <c r="CS265" s="374"/>
      <c r="CT265" s="374"/>
      <c r="CU265" s="374"/>
      <c r="CV265" s="374"/>
      <c r="CW265" s="374"/>
      <c r="CX265" s="374"/>
      <c r="CY265" s="374"/>
      <c r="CZ265" s="374"/>
      <c r="DA265" s="374"/>
      <c r="DB265" s="374"/>
      <c r="DC265" s="375"/>
    </row>
    <row r="266" spans="1:107">
      <c r="A266" s="376"/>
      <c r="B266" s="396"/>
      <c r="C266" s="349"/>
      <c r="D266" s="349"/>
      <c r="E266" s="349"/>
      <c r="F266" s="349"/>
      <c r="G266" s="349"/>
      <c r="H266" s="349"/>
      <c r="I266" s="349"/>
      <c r="J266" s="349"/>
      <c r="K266" s="349"/>
      <c r="L266" s="349"/>
      <c r="M266" s="349"/>
      <c r="N266" s="349"/>
      <c r="O266" s="349"/>
      <c r="P266" s="354"/>
      <c r="Q266" s="354"/>
      <c r="R266" s="354"/>
      <c r="S266" s="354"/>
      <c r="T266" s="352"/>
      <c r="U266" s="353"/>
      <c r="V266" s="353"/>
      <c r="W266" s="353"/>
      <c r="X266" s="349"/>
      <c r="Y266" s="349"/>
      <c r="Z266" s="349"/>
      <c r="AA266" s="349"/>
      <c r="AB266" s="349"/>
      <c r="AC266" s="349"/>
      <c r="AD266" s="349"/>
      <c r="AE266" s="349"/>
      <c r="AF266" s="349"/>
      <c r="AG266" s="349"/>
      <c r="AH266" s="349"/>
      <c r="AI266" s="349"/>
      <c r="AJ266" s="349"/>
      <c r="AK266" s="349"/>
      <c r="AL266" s="349"/>
      <c r="AM266" s="349"/>
      <c r="AN266" s="349"/>
      <c r="AO266" s="349"/>
      <c r="AP266" s="354"/>
      <c r="AQ266" s="352"/>
      <c r="AR266" s="355"/>
      <c r="AS266" s="356"/>
      <c r="AT266" s="356"/>
      <c r="AU266" s="387"/>
      <c r="AV266" s="357"/>
      <c r="AW266" s="353"/>
      <c r="AX266" s="349"/>
      <c r="AY266" s="352"/>
      <c r="AZ266" s="372"/>
      <c r="BA266" s="373"/>
      <c r="BB266" s="373"/>
      <c r="BC266" s="373"/>
      <c r="BD266" s="373"/>
      <c r="BE266" s="373"/>
      <c r="BF266" s="373"/>
      <c r="BG266" s="373"/>
      <c r="BH266" s="373"/>
      <c r="BI266" s="373"/>
      <c r="BJ266" s="373"/>
      <c r="BK266" s="373"/>
      <c r="BL266" s="373"/>
      <c r="BM266" s="373"/>
      <c r="BN266" s="373"/>
      <c r="BO266" s="373"/>
      <c r="BP266" s="373"/>
      <c r="BQ266" s="373"/>
      <c r="BR266" s="373"/>
      <c r="BS266" s="373"/>
      <c r="BT266" s="373"/>
      <c r="BU266" s="373"/>
      <c r="BV266" s="373"/>
      <c r="BW266" s="373"/>
      <c r="BX266" s="373"/>
      <c r="BY266" s="373"/>
      <c r="BZ266" s="373"/>
      <c r="CA266" s="373"/>
      <c r="CB266" s="373"/>
      <c r="CC266" s="374"/>
      <c r="CD266" s="374"/>
      <c r="CE266" s="374"/>
      <c r="CF266" s="374"/>
      <c r="CG266" s="374"/>
      <c r="CH266" s="374"/>
      <c r="CI266" s="374"/>
      <c r="CJ266" s="374"/>
      <c r="CK266" s="374"/>
      <c r="CL266" s="374"/>
      <c r="CM266" s="374"/>
      <c r="CN266" s="374"/>
      <c r="CO266" s="374"/>
      <c r="CP266" s="374"/>
      <c r="CQ266" s="374"/>
      <c r="CR266" s="374"/>
      <c r="CS266" s="374"/>
      <c r="CT266" s="374"/>
      <c r="CU266" s="374"/>
      <c r="CV266" s="374"/>
      <c r="CW266" s="374"/>
      <c r="CX266" s="374"/>
      <c r="CY266" s="374"/>
      <c r="CZ266" s="374"/>
      <c r="DA266" s="374"/>
      <c r="DB266" s="374"/>
      <c r="DC266" s="375"/>
    </row>
    <row r="267" spans="1:107">
      <c r="A267" s="376"/>
      <c r="B267" s="353"/>
      <c r="C267" s="349"/>
      <c r="D267" s="349"/>
      <c r="E267" s="349"/>
      <c r="F267" s="349"/>
      <c r="G267" s="349"/>
      <c r="H267" s="349"/>
      <c r="I267" s="349"/>
      <c r="J267" s="349"/>
      <c r="K267" s="349"/>
      <c r="L267" s="349"/>
      <c r="M267" s="349"/>
      <c r="N267" s="349"/>
      <c r="O267" s="349"/>
      <c r="P267" s="354"/>
      <c r="Q267" s="354"/>
      <c r="R267" s="354"/>
      <c r="S267" s="354"/>
      <c r="T267" s="359"/>
      <c r="U267" s="353"/>
      <c r="V267" s="353"/>
      <c r="W267" s="353"/>
      <c r="X267" s="349"/>
      <c r="Y267" s="349"/>
      <c r="Z267" s="349"/>
      <c r="AA267" s="349"/>
      <c r="AB267" s="349"/>
      <c r="AC267" s="349"/>
      <c r="AD267" s="349"/>
      <c r="AE267" s="349"/>
      <c r="AF267" s="349"/>
      <c r="AG267" s="349"/>
      <c r="AH267" s="349"/>
      <c r="AI267" s="349"/>
      <c r="AJ267" s="349"/>
      <c r="AK267" s="349"/>
      <c r="AL267" s="349"/>
      <c r="AM267" s="349"/>
      <c r="AN267" s="349"/>
      <c r="AO267" s="349"/>
      <c r="AP267" s="354"/>
      <c r="AQ267" s="352"/>
      <c r="AR267" s="353"/>
      <c r="AS267" s="349"/>
      <c r="AT267" s="349"/>
      <c r="AU267" s="354"/>
      <c r="AV267" s="352"/>
      <c r="AW267" s="353"/>
      <c r="AX267" s="349"/>
      <c r="AY267" s="352"/>
      <c r="AZ267" s="372"/>
      <c r="BA267" s="373"/>
      <c r="BB267" s="373"/>
      <c r="BC267" s="373"/>
      <c r="BD267" s="373"/>
      <c r="BE267" s="373"/>
      <c r="BF267" s="373"/>
      <c r="BG267" s="373"/>
      <c r="BH267" s="373"/>
      <c r="BI267" s="373"/>
      <c r="BJ267" s="373"/>
      <c r="BK267" s="373"/>
      <c r="BL267" s="373"/>
      <c r="BM267" s="373"/>
      <c r="BN267" s="373"/>
      <c r="BO267" s="373"/>
      <c r="BP267" s="373"/>
      <c r="BQ267" s="373"/>
      <c r="BR267" s="373"/>
      <c r="BS267" s="373"/>
      <c r="BT267" s="373"/>
      <c r="BU267" s="373"/>
      <c r="BV267" s="373"/>
      <c r="BW267" s="373"/>
      <c r="BX267" s="373"/>
      <c r="BY267" s="373"/>
      <c r="BZ267" s="373"/>
      <c r="CA267" s="373"/>
      <c r="CB267" s="373"/>
      <c r="CC267" s="374"/>
      <c r="CD267" s="374"/>
      <c r="CE267" s="374"/>
      <c r="CF267" s="374"/>
      <c r="CG267" s="374"/>
      <c r="CH267" s="374"/>
      <c r="CI267" s="374"/>
      <c r="CJ267" s="374"/>
      <c r="CK267" s="374"/>
      <c r="CL267" s="374"/>
      <c r="CM267" s="374"/>
      <c r="CN267" s="374"/>
      <c r="CO267" s="374"/>
      <c r="CP267" s="374"/>
      <c r="CQ267" s="374"/>
      <c r="CR267" s="374"/>
      <c r="CS267" s="374"/>
      <c r="CT267" s="374"/>
      <c r="CU267" s="374"/>
      <c r="CV267" s="374"/>
      <c r="CW267" s="374"/>
      <c r="CX267" s="374"/>
      <c r="CY267" s="374"/>
      <c r="CZ267" s="374"/>
      <c r="DA267" s="374"/>
      <c r="DB267" s="374"/>
      <c r="DC267" s="375"/>
    </row>
    <row r="268" spans="1:107" ht="18.75">
      <c r="A268" s="376"/>
      <c r="B268" s="377" t="s">
        <v>171</v>
      </c>
      <c r="C268" s="378">
        <f t="shared" ref="C268:AQ268" si="102">SUM(C258:C267)</f>
        <v>0</v>
      </c>
      <c r="D268" s="378">
        <f t="shared" si="102"/>
        <v>830</v>
      </c>
      <c r="E268" s="378">
        <f t="shared" si="102"/>
        <v>0</v>
      </c>
      <c r="F268" s="378">
        <f t="shared" si="102"/>
        <v>1089</v>
      </c>
      <c r="G268" s="378">
        <f t="shared" si="102"/>
        <v>0</v>
      </c>
      <c r="H268" s="378">
        <f t="shared" si="102"/>
        <v>0</v>
      </c>
      <c r="I268" s="378">
        <f t="shared" si="102"/>
        <v>0</v>
      </c>
      <c r="J268" s="378">
        <f t="shared" si="102"/>
        <v>0</v>
      </c>
      <c r="K268" s="378">
        <f t="shared" si="102"/>
        <v>0</v>
      </c>
      <c r="L268" s="378">
        <f t="shared" si="102"/>
        <v>0</v>
      </c>
      <c r="M268" s="378">
        <f t="shared" si="102"/>
        <v>0</v>
      </c>
      <c r="N268" s="378">
        <f t="shared" si="102"/>
        <v>0</v>
      </c>
      <c r="O268" s="378">
        <f t="shared" si="102"/>
        <v>0</v>
      </c>
      <c r="P268" s="378">
        <f t="shared" si="102"/>
        <v>0</v>
      </c>
      <c r="Q268" s="378">
        <f t="shared" si="102"/>
        <v>0</v>
      </c>
      <c r="R268" s="378">
        <f t="shared" si="102"/>
        <v>0</v>
      </c>
      <c r="S268" s="378">
        <f t="shared" si="102"/>
        <v>0</v>
      </c>
      <c r="T268" s="380">
        <f t="shared" si="102"/>
        <v>1919</v>
      </c>
      <c r="U268" s="381">
        <f t="shared" si="102"/>
        <v>0</v>
      </c>
      <c r="V268" s="381">
        <f t="shared" si="102"/>
        <v>0</v>
      </c>
      <c r="W268" s="381">
        <f t="shared" si="102"/>
        <v>0</v>
      </c>
      <c r="X268" s="381">
        <f t="shared" si="102"/>
        <v>0</v>
      </c>
      <c r="Y268" s="381">
        <f t="shared" si="102"/>
        <v>0</v>
      </c>
      <c r="Z268" s="381">
        <f t="shared" si="102"/>
        <v>0</v>
      </c>
      <c r="AA268" s="381">
        <f t="shared" si="102"/>
        <v>0</v>
      </c>
      <c r="AB268" s="381">
        <f t="shared" si="102"/>
        <v>0</v>
      </c>
      <c r="AC268" s="381">
        <f t="shared" si="102"/>
        <v>0</v>
      </c>
      <c r="AD268" s="381">
        <f t="shared" si="102"/>
        <v>0</v>
      </c>
      <c r="AE268" s="381">
        <f t="shared" si="102"/>
        <v>0</v>
      </c>
      <c r="AF268" s="381">
        <f t="shared" si="102"/>
        <v>0</v>
      </c>
      <c r="AG268" s="381">
        <f t="shared" si="102"/>
        <v>0</v>
      </c>
      <c r="AH268" s="381">
        <f t="shared" si="102"/>
        <v>0</v>
      </c>
      <c r="AI268" s="381">
        <f t="shared" si="102"/>
        <v>0</v>
      </c>
      <c r="AJ268" s="381">
        <f t="shared" si="102"/>
        <v>0</v>
      </c>
      <c r="AK268" s="381">
        <f t="shared" si="102"/>
        <v>0</v>
      </c>
      <c r="AL268" s="381">
        <f t="shared" si="102"/>
        <v>0</v>
      </c>
      <c r="AM268" s="381">
        <f t="shared" si="102"/>
        <v>0</v>
      </c>
      <c r="AN268" s="381">
        <f t="shared" si="102"/>
        <v>35</v>
      </c>
      <c r="AO268" s="381">
        <f t="shared" si="102"/>
        <v>0</v>
      </c>
      <c r="AP268" s="381">
        <f t="shared" si="102"/>
        <v>0</v>
      </c>
      <c r="AQ268" s="381">
        <f t="shared" si="102"/>
        <v>20.6</v>
      </c>
      <c r="AR268" s="381">
        <f>SUM(AR259:AR267)</f>
        <v>0</v>
      </c>
      <c r="AS268" s="381">
        <f>SUM(AS259:AS267)</f>
        <v>0</v>
      </c>
      <c r="AT268" s="378">
        <f>SUM(AT260:AT267)</f>
        <v>0</v>
      </c>
      <c r="AU268" s="378">
        <f>SUM(AU260:AU267)</f>
        <v>0</v>
      </c>
      <c r="AV268" s="380">
        <f>SUM(AV260:AV267)</f>
        <v>0</v>
      </c>
      <c r="AW268" s="381">
        <f>SUM(AW260:AW267)</f>
        <v>0</v>
      </c>
      <c r="AX268" s="378">
        <f>SUM(AX260:AX267)</f>
        <v>0</v>
      </c>
      <c r="AY268" s="380">
        <f>SUM(AY259:AY267)</f>
        <v>0</v>
      </c>
      <c r="AZ268" s="381">
        <f>SUM(AZ258:AZ267)</f>
        <v>2</v>
      </c>
      <c r="BA268" s="378">
        <f>SUM(BA260:BA267)</f>
        <v>3</v>
      </c>
      <c r="BB268" s="378">
        <f>SUM(BB259:BB267)</f>
        <v>1</v>
      </c>
      <c r="BC268" s="378">
        <f>SUM(BC259:BC267)</f>
        <v>0</v>
      </c>
      <c r="BD268" s="378">
        <f t="shared" ref="BD268:DC268" si="103">SUM(BD259:BD267)</f>
        <v>0</v>
      </c>
      <c r="BE268" s="378">
        <f t="shared" si="103"/>
        <v>0</v>
      </c>
      <c r="BF268" s="378">
        <f t="shared" si="103"/>
        <v>0</v>
      </c>
      <c r="BG268" s="378">
        <f t="shared" si="103"/>
        <v>0</v>
      </c>
      <c r="BH268" s="378">
        <f t="shared" si="103"/>
        <v>0</v>
      </c>
      <c r="BI268" s="378">
        <f t="shared" si="103"/>
        <v>0</v>
      </c>
      <c r="BJ268" s="378">
        <f t="shared" si="103"/>
        <v>0</v>
      </c>
      <c r="BK268" s="378">
        <f t="shared" si="103"/>
        <v>0</v>
      </c>
      <c r="BL268" s="378">
        <f t="shared" si="103"/>
        <v>0</v>
      </c>
      <c r="BM268" s="378">
        <f t="shared" si="103"/>
        <v>0</v>
      </c>
      <c r="BN268" s="378">
        <f t="shared" si="103"/>
        <v>0</v>
      </c>
      <c r="BO268" s="378">
        <f t="shared" si="103"/>
        <v>0</v>
      </c>
      <c r="BP268" s="378">
        <f t="shared" si="103"/>
        <v>0</v>
      </c>
      <c r="BQ268" s="378">
        <f t="shared" si="103"/>
        <v>0</v>
      </c>
      <c r="BR268" s="378">
        <f t="shared" si="103"/>
        <v>0</v>
      </c>
      <c r="BS268" s="378">
        <f t="shared" si="103"/>
        <v>0</v>
      </c>
      <c r="BT268" s="378">
        <f t="shared" si="103"/>
        <v>0</v>
      </c>
      <c r="BU268" s="378">
        <f t="shared" si="103"/>
        <v>0</v>
      </c>
      <c r="BV268" s="378">
        <f t="shared" si="103"/>
        <v>0</v>
      </c>
      <c r="BW268" s="378">
        <f t="shared" si="103"/>
        <v>1</v>
      </c>
      <c r="BX268" s="378"/>
      <c r="BY268" s="378">
        <f t="shared" si="103"/>
        <v>0</v>
      </c>
      <c r="BZ268" s="378">
        <f t="shared" si="103"/>
        <v>0</v>
      </c>
      <c r="CA268" s="378">
        <f t="shared" si="103"/>
        <v>0</v>
      </c>
      <c r="CB268" s="378">
        <f t="shared" si="103"/>
        <v>0</v>
      </c>
      <c r="CC268" s="378"/>
      <c r="CD268" s="378">
        <f t="shared" si="103"/>
        <v>0</v>
      </c>
      <c r="CE268" s="378"/>
      <c r="CF268" s="378">
        <f t="shared" si="103"/>
        <v>0</v>
      </c>
      <c r="CG268" s="378"/>
      <c r="CH268" s="378">
        <f t="shared" si="103"/>
        <v>0</v>
      </c>
      <c r="CI268" s="378">
        <f t="shared" si="103"/>
        <v>0</v>
      </c>
      <c r="CJ268" s="378">
        <f t="shared" si="103"/>
        <v>0</v>
      </c>
      <c r="CK268" s="378"/>
      <c r="CL268" s="378"/>
      <c r="CM268" s="378">
        <f t="shared" si="103"/>
        <v>0</v>
      </c>
      <c r="CN268" s="378">
        <f t="shared" si="103"/>
        <v>0</v>
      </c>
      <c r="CO268" s="378">
        <f t="shared" si="103"/>
        <v>0</v>
      </c>
      <c r="CP268" s="378">
        <f t="shared" si="103"/>
        <v>0</v>
      </c>
      <c r="CQ268" s="378">
        <f t="shared" si="103"/>
        <v>0</v>
      </c>
      <c r="CR268" s="378">
        <f t="shared" si="103"/>
        <v>0</v>
      </c>
      <c r="CS268" s="378">
        <f t="shared" si="103"/>
        <v>0</v>
      </c>
      <c r="CT268" s="378">
        <f t="shared" si="103"/>
        <v>0</v>
      </c>
      <c r="CU268" s="378">
        <f t="shared" si="103"/>
        <v>0</v>
      </c>
      <c r="CV268" s="378">
        <f t="shared" si="103"/>
        <v>0</v>
      </c>
      <c r="CW268" s="378">
        <f t="shared" si="103"/>
        <v>0</v>
      </c>
      <c r="CX268" s="378">
        <f t="shared" si="103"/>
        <v>0</v>
      </c>
      <c r="CY268" s="378">
        <f t="shared" si="103"/>
        <v>0</v>
      </c>
      <c r="CZ268" s="378">
        <f t="shared" si="103"/>
        <v>0</v>
      </c>
      <c r="DA268" s="378">
        <f t="shared" si="103"/>
        <v>0</v>
      </c>
      <c r="DB268" s="378">
        <f t="shared" si="103"/>
        <v>0</v>
      </c>
      <c r="DC268" s="378">
        <f t="shared" si="103"/>
        <v>0</v>
      </c>
    </row>
    <row r="269" spans="1:107" ht="18.75">
      <c r="A269" s="397"/>
      <c r="B269" s="398"/>
      <c r="C269" s="399"/>
      <c r="D269" s="400"/>
      <c r="E269" s="400"/>
      <c r="F269" s="400"/>
      <c r="G269" s="400"/>
      <c r="H269" s="400"/>
      <c r="I269" s="400"/>
      <c r="J269" s="400"/>
      <c r="K269" s="400"/>
      <c r="L269" s="400"/>
      <c r="M269" s="400"/>
      <c r="N269" s="400"/>
      <c r="O269" s="400"/>
      <c r="P269" s="401"/>
      <c r="Q269" s="401"/>
      <c r="R269" s="401"/>
      <c r="S269" s="401"/>
      <c r="T269" s="402"/>
      <c r="U269" s="396"/>
      <c r="V269" s="396"/>
      <c r="W269" s="396"/>
      <c r="X269" s="399"/>
      <c r="Y269" s="399"/>
      <c r="Z269" s="399"/>
      <c r="AA269" s="399"/>
      <c r="AB269" s="399"/>
      <c r="AC269" s="399"/>
      <c r="AD269" s="399"/>
      <c r="AE269" s="399"/>
      <c r="AF269" s="399"/>
      <c r="AG269" s="399"/>
      <c r="AH269" s="399"/>
      <c r="AI269" s="399"/>
      <c r="AJ269" s="399"/>
      <c r="AK269" s="399"/>
      <c r="AL269" s="399"/>
      <c r="AM269" s="399"/>
      <c r="AN269" s="399"/>
      <c r="AO269" s="399"/>
      <c r="AP269" s="403"/>
      <c r="AQ269" s="404"/>
      <c r="AR269" s="396"/>
      <c r="AS269" s="399"/>
      <c r="AT269" s="399"/>
      <c r="AU269" s="403"/>
      <c r="AV269" s="404"/>
      <c r="AW269" s="396"/>
      <c r="AX269" s="399"/>
      <c r="AY269" s="404"/>
      <c r="AZ269" s="405"/>
      <c r="BA269" s="406"/>
      <c r="BB269" s="406"/>
      <c r="BC269" s="406"/>
      <c r="BD269" s="406"/>
      <c r="BE269" s="406"/>
      <c r="BF269" s="471"/>
      <c r="BG269" s="406"/>
      <c r="BH269" s="406"/>
      <c r="BI269" s="406"/>
      <c r="BJ269" s="406"/>
      <c r="BK269" s="406"/>
      <c r="BL269" s="406"/>
      <c r="BM269" s="406"/>
      <c r="BN269" s="406"/>
      <c r="BO269" s="406"/>
      <c r="BP269" s="471"/>
      <c r="BQ269" s="406"/>
      <c r="BR269" s="406"/>
      <c r="BS269" s="406"/>
      <c r="BT269" s="471"/>
      <c r="BU269" s="471"/>
      <c r="BV269" s="471"/>
      <c r="BW269" s="406"/>
      <c r="BX269" s="471"/>
      <c r="BY269" s="406"/>
      <c r="BZ269" s="406"/>
      <c r="CA269" s="406"/>
      <c r="CB269" s="406"/>
      <c r="CC269" s="473"/>
      <c r="CD269" s="407"/>
      <c r="CE269" s="473"/>
      <c r="CF269" s="407"/>
      <c r="CG269" s="473"/>
      <c r="CH269" s="407"/>
      <c r="CI269" s="407"/>
      <c r="CJ269" s="407"/>
      <c r="CK269" s="473"/>
      <c r="CL269" s="473"/>
      <c r="CM269" s="407"/>
      <c r="CN269" s="407"/>
      <c r="CO269" s="407"/>
      <c r="CP269" s="407"/>
      <c r="CQ269" s="407"/>
      <c r="CR269" s="473"/>
      <c r="CS269" s="473"/>
      <c r="CT269" s="407"/>
      <c r="CU269" s="407"/>
      <c r="CV269" s="407"/>
      <c r="CW269" s="407"/>
      <c r="CX269" s="407"/>
      <c r="CY269" s="407"/>
      <c r="CZ269" s="407"/>
      <c r="DA269" s="407"/>
      <c r="DB269" s="407"/>
      <c r="DC269" s="408"/>
    </row>
    <row r="270" spans="1:107">
      <c r="A270" s="397"/>
      <c r="B270" s="386" t="s">
        <v>267</v>
      </c>
      <c r="C270" s="399"/>
      <c r="D270" s="400"/>
      <c r="E270" s="400"/>
      <c r="F270" s="400"/>
      <c r="G270" s="400"/>
      <c r="H270" s="400"/>
      <c r="I270" s="400"/>
      <c r="J270" s="400"/>
      <c r="K270" s="400"/>
      <c r="L270" s="400"/>
      <c r="M270" s="400"/>
      <c r="N270" s="400"/>
      <c r="O270" s="400"/>
      <c r="P270" s="401"/>
      <c r="Q270" s="401"/>
      <c r="R270" s="401"/>
      <c r="S270" s="401"/>
      <c r="T270" s="402"/>
      <c r="U270" s="396"/>
      <c r="V270" s="396"/>
      <c r="W270" s="396"/>
      <c r="X270" s="399"/>
      <c r="Y270" s="399"/>
      <c r="Z270" s="399"/>
      <c r="AA270" s="399"/>
      <c r="AB270" s="399"/>
      <c r="AC270" s="399"/>
      <c r="AD270" s="399"/>
      <c r="AE270" s="399"/>
      <c r="AF270" s="399"/>
      <c r="AG270" s="399"/>
      <c r="AH270" s="399"/>
      <c r="AI270" s="399"/>
      <c r="AJ270" s="399"/>
      <c r="AK270" s="399"/>
      <c r="AL270" s="399"/>
      <c r="AM270" s="399"/>
      <c r="AN270" s="399"/>
      <c r="AO270" s="399"/>
      <c r="AP270" s="403"/>
      <c r="AQ270" s="404"/>
      <c r="AR270" s="396"/>
      <c r="AS270" s="399"/>
      <c r="AT270" s="399"/>
      <c r="AU270" s="403"/>
      <c r="AV270" s="404"/>
      <c r="AW270" s="396"/>
      <c r="AX270" s="399"/>
      <c r="AY270" s="404"/>
      <c r="AZ270" s="405"/>
      <c r="BA270" s="406"/>
      <c r="BB270" s="406"/>
      <c r="BC270" s="406"/>
      <c r="BD270" s="406"/>
      <c r="BE270" s="406"/>
      <c r="BF270" s="471"/>
      <c r="BG270" s="406"/>
      <c r="BH270" s="406"/>
      <c r="BI270" s="406"/>
      <c r="BJ270" s="406"/>
      <c r="BK270" s="406"/>
      <c r="BL270" s="406"/>
      <c r="BM270" s="406"/>
      <c r="BN270" s="406"/>
      <c r="BO270" s="406"/>
      <c r="BP270" s="471"/>
      <c r="BQ270" s="406"/>
      <c r="BR270" s="406"/>
      <c r="BS270" s="406"/>
      <c r="BT270" s="471"/>
      <c r="BU270" s="471"/>
      <c r="BV270" s="471"/>
      <c r="BW270" s="406"/>
      <c r="BX270" s="471"/>
      <c r="BY270" s="406"/>
      <c r="BZ270" s="406"/>
      <c r="CA270" s="406"/>
      <c r="CB270" s="406"/>
      <c r="CC270" s="473"/>
      <c r="CD270" s="407"/>
      <c r="CE270" s="473"/>
      <c r="CF270" s="407"/>
      <c r="CG270" s="473"/>
      <c r="CH270" s="407"/>
      <c r="CI270" s="407"/>
      <c r="CJ270" s="407"/>
      <c r="CK270" s="473"/>
      <c r="CL270" s="473"/>
      <c r="CM270" s="407"/>
      <c r="CN270" s="407"/>
      <c r="CO270" s="407"/>
      <c r="CP270" s="407"/>
      <c r="CQ270" s="407"/>
      <c r="CR270" s="473"/>
      <c r="CS270" s="473"/>
      <c r="CT270" s="407"/>
      <c r="CU270" s="407"/>
      <c r="CV270" s="407"/>
      <c r="CW270" s="407"/>
      <c r="CX270" s="407"/>
      <c r="CY270" s="407"/>
      <c r="CZ270" s="407"/>
      <c r="DA270" s="407"/>
      <c r="DB270" s="407"/>
      <c r="DC270" s="408"/>
    </row>
    <row r="271" spans="1:107">
      <c r="A271" s="397"/>
      <c r="B271" s="396" t="s">
        <v>655</v>
      </c>
      <c r="C271" s="399"/>
      <c r="D271" s="400"/>
      <c r="E271" s="400"/>
      <c r="F271" s="400"/>
      <c r="G271" s="400"/>
      <c r="H271" s="400"/>
      <c r="I271" s="400"/>
      <c r="J271" s="400"/>
      <c r="K271" s="400"/>
      <c r="L271" s="400"/>
      <c r="M271" s="400"/>
      <c r="N271" s="400"/>
      <c r="O271" s="400"/>
      <c r="P271" s="401"/>
      <c r="Q271" s="401"/>
      <c r="R271" s="401"/>
      <c r="S271" s="401"/>
      <c r="T271" s="352"/>
      <c r="U271" s="396">
        <f>ROUNDUP(((67.6*2)+(31.3*2))*0.8,0)</f>
        <v>159</v>
      </c>
      <c r="V271" s="396"/>
      <c r="W271" s="396"/>
      <c r="X271" s="399"/>
      <c r="Y271" s="399"/>
      <c r="Z271" s="399">
        <f>U271*2</f>
        <v>318</v>
      </c>
      <c r="AA271" s="399"/>
      <c r="AB271" s="399"/>
      <c r="AC271" s="399"/>
      <c r="AD271" s="399"/>
      <c r="AE271" s="399"/>
      <c r="AF271" s="399"/>
      <c r="AG271" s="399"/>
      <c r="AH271" s="399"/>
      <c r="AI271" s="399"/>
      <c r="AJ271" s="399"/>
      <c r="AK271" s="399"/>
      <c r="AL271" s="399"/>
      <c r="AM271" s="399"/>
      <c r="AN271" s="399"/>
      <c r="AO271" s="399"/>
      <c r="AP271" s="403"/>
      <c r="AQ271" s="396">
        <f>ROUNDUP(((67.6*2)+(31.3*2)),0)</f>
        <v>198</v>
      </c>
      <c r="AR271" s="396"/>
      <c r="AS271" s="399"/>
      <c r="AT271" s="407"/>
      <c r="AU271" s="403"/>
      <c r="AV271" s="404"/>
      <c r="AW271" s="396"/>
      <c r="AX271" s="399">
        <f>Z271</f>
        <v>318</v>
      </c>
      <c r="AY271" s="404"/>
      <c r="AZ271" s="405"/>
      <c r="BA271" s="406"/>
      <c r="BB271" s="406"/>
      <c r="BC271" s="406"/>
      <c r="BD271" s="406"/>
      <c r="BE271" s="406"/>
      <c r="BF271" s="471"/>
      <c r="BG271" s="406"/>
      <c r="BH271" s="406"/>
      <c r="BI271" s="406"/>
      <c r="BJ271" s="406"/>
      <c r="BK271" s="406"/>
      <c r="BL271" s="406"/>
      <c r="BM271" s="406"/>
      <c r="BN271" s="406"/>
      <c r="BO271" s="406"/>
      <c r="BP271" s="471"/>
      <c r="BQ271" s="406"/>
      <c r="BR271" s="406"/>
      <c r="BS271" s="406"/>
      <c r="BT271" s="471"/>
      <c r="BU271" s="471"/>
      <c r="BV271" s="471"/>
      <c r="BW271" s="406"/>
      <c r="BX271" s="471"/>
      <c r="BY271" s="406"/>
      <c r="BZ271" s="406"/>
      <c r="CA271" s="406"/>
      <c r="CB271" s="406"/>
      <c r="CC271" s="473"/>
      <c r="CD271" s="407"/>
      <c r="CE271" s="473"/>
      <c r="CF271" s="407"/>
      <c r="CG271" s="473"/>
      <c r="CH271" s="407"/>
      <c r="CI271" s="407"/>
      <c r="CJ271" s="407"/>
      <c r="CK271" s="473"/>
      <c r="CL271" s="473"/>
      <c r="CM271" s="407"/>
      <c r="CN271" s="407"/>
      <c r="CO271" s="407"/>
      <c r="CP271" s="407"/>
      <c r="CQ271" s="407"/>
      <c r="CR271" s="473"/>
      <c r="CS271" s="473"/>
      <c r="CT271" s="407"/>
      <c r="CU271" s="407"/>
      <c r="CV271" s="407"/>
      <c r="CW271" s="407"/>
      <c r="CX271" s="407"/>
      <c r="CY271" s="407"/>
      <c r="CZ271" s="407"/>
      <c r="DA271" s="407"/>
      <c r="DB271" s="407"/>
      <c r="DC271" s="408"/>
    </row>
    <row r="272" spans="1:107">
      <c r="A272" s="394"/>
      <c r="B272" s="366" t="s">
        <v>484</v>
      </c>
      <c r="C272" s="392">
        <f>ROUNDUP(1995-208,0)</f>
        <v>1787</v>
      </c>
      <c r="D272" s="349"/>
      <c r="E272" s="349"/>
      <c r="F272" s="349"/>
      <c r="G272" s="349"/>
      <c r="H272" s="349"/>
      <c r="I272" s="349"/>
      <c r="J272" s="349"/>
      <c r="K272" s="349"/>
      <c r="L272" s="349"/>
      <c r="M272" s="349"/>
      <c r="N272" s="349"/>
      <c r="O272" s="349"/>
      <c r="P272" s="354"/>
      <c r="Q272" s="354"/>
      <c r="R272" s="354"/>
      <c r="S272" s="354"/>
      <c r="T272" s="352"/>
      <c r="U272" s="353"/>
      <c r="V272" s="353"/>
      <c r="W272" s="353"/>
      <c r="X272" s="349"/>
      <c r="Y272" s="349"/>
      <c r="Z272" s="349"/>
      <c r="AA272" s="349"/>
      <c r="AB272" s="349"/>
      <c r="AC272" s="349"/>
      <c r="AD272" s="349"/>
      <c r="AE272" s="349"/>
      <c r="AF272" s="349"/>
      <c r="AG272" s="349"/>
      <c r="AH272" s="349"/>
      <c r="AI272" s="349"/>
      <c r="AJ272" s="349"/>
      <c r="AK272" s="349"/>
      <c r="AL272" s="349"/>
      <c r="AM272" s="349"/>
      <c r="AN272" s="349"/>
      <c r="AO272" s="349"/>
      <c r="AP272" s="354"/>
      <c r="AQ272" s="352"/>
      <c r="AR272" s="355"/>
      <c r="AS272" s="356"/>
      <c r="AT272" s="356"/>
      <c r="AU272" s="387"/>
      <c r="AV272" s="357"/>
      <c r="AW272" s="353"/>
      <c r="AX272" s="349"/>
      <c r="AY272" s="352"/>
      <c r="AZ272" s="372"/>
      <c r="BA272" s="373"/>
      <c r="BB272" s="373"/>
      <c r="BC272" s="373"/>
      <c r="BD272" s="373"/>
      <c r="BE272" s="373"/>
      <c r="BF272" s="373"/>
      <c r="BG272" s="373"/>
      <c r="BH272" s="373"/>
      <c r="BI272" s="373"/>
      <c r="BJ272" s="373"/>
      <c r="BK272" s="373"/>
      <c r="BL272" s="373"/>
      <c r="BM272" s="373"/>
      <c r="BN272" s="373"/>
      <c r="BO272" s="373"/>
      <c r="BP272" s="373"/>
      <c r="BQ272" s="373"/>
      <c r="BR272" s="373"/>
      <c r="BS272" s="373"/>
      <c r="BT272" s="373"/>
      <c r="BU272" s="373"/>
      <c r="BV272" s="373"/>
      <c r="BW272" s="373"/>
      <c r="BX272" s="373"/>
      <c r="BY272" s="373"/>
      <c r="BZ272" s="373"/>
      <c r="CA272" s="373"/>
      <c r="CB272" s="373"/>
      <c r="CC272" s="374"/>
      <c r="CD272" s="374"/>
      <c r="CE272" s="374"/>
      <c r="CF272" s="374"/>
      <c r="CG272" s="374"/>
      <c r="CH272" s="374"/>
      <c r="CI272" s="374"/>
      <c r="CJ272" s="374"/>
      <c r="CK272" s="374"/>
      <c r="CL272" s="374"/>
      <c r="CM272" s="374"/>
      <c r="CN272" s="374"/>
      <c r="CO272" s="374"/>
      <c r="CP272" s="374"/>
      <c r="CQ272" s="374"/>
      <c r="CR272" s="374"/>
      <c r="CS272" s="374"/>
      <c r="CT272" s="374"/>
      <c r="CU272" s="374"/>
      <c r="CV272" s="374"/>
      <c r="CW272" s="374"/>
      <c r="CX272" s="374"/>
      <c r="CY272" s="374"/>
      <c r="CZ272" s="374"/>
      <c r="DA272" s="374"/>
      <c r="DB272" s="374"/>
      <c r="DC272" s="375"/>
    </row>
    <row r="273" spans="1:107">
      <c r="A273" s="394"/>
      <c r="B273" s="396" t="s">
        <v>48</v>
      </c>
      <c r="C273" s="349"/>
      <c r="D273" s="349"/>
      <c r="E273" s="349"/>
      <c r="F273" s="349"/>
      <c r="G273" s="349"/>
      <c r="H273" s="349"/>
      <c r="I273" s="349"/>
      <c r="J273" s="349"/>
      <c r="K273" s="349"/>
      <c r="L273" s="349"/>
      <c r="M273" s="349"/>
      <c r="N273" s="349"/>
      <c r="O273" s="349"/>
      <c r="P273" s="354"/>
      <c r="Q273" s="354"/>
      <c r="R273" s="354"/>
      <c r="S273" s="354"/>
      <c r="T273" s="352"/>
      <c r="U273" s="353"/>
      <c r="V273" s="353"/>
      <c r="W273" s="353"/>
      <c r="X273" s="349"/>
      <c r="Y273" s="349"/>
      <c r="Z273" s="349"/>
      <c r="AA273" s="349"/>
      <c r="AB273" s="349"/>
      <c r="AC273" s="349"/>
      <c r="AD273" s="349"/>
      <c r="AE273" s="349"/>
      <c r="AF273" s="349"/>
      <c r="AG273" s="349"/>
      <c r="AH273" s="349"/>
      <c r="AI273" s="349"/>
      <c r="AJ273" s="349"/>
      <c r="AK273" s="349"/>
      <c r="AL273" s="349"/>
      <c r="AM273" s="349"/>
      <c r="AN273" s="349"/>
      <c r="AO273" s="349"/>
      <c r="AP273" s="354"/>
      <c r="AQ273" s="352"/>
      <c r="AR273" s="355"/>
      <c r="AS273" s="356"/>
      <c r="AT273" s="356"/>
      <c r="AU273" s="387"/>
      <c r="AV273" s="357"/>
      <c r="AW273" s="353"/>
      <c r="AX273" s="349"/>
      <c r="AY273" s="352"/>
      <c r="AZ273" s="372"/>
      <c r="BA273" s="373"/>
      <c r="BB273" s="373"/>
      <c r="BC273" s="373"/>
      <c r="BD273" s="373"/>
      <c r="BE273" s="373"/>
      <c r="BF273" s="373"/>
      <c r="BG273" s="373"/>
      <c r="BH273" s="373"/>
      <c r="BI273" s="373"/>
      <c r="BJ273" s="373"/>
      <c r="BK273" s="373"/>
      <c r="BL273" s="373"/>
      <c r="BM273" s="373"/>
      <c r="BN273" s="373"/>
      <c r="BO273" s="373"/>
      <c r="BP273" s="373"/>
      <c r="BQ273" s="373"/>
      <c r="BR273" s="373"/>
      <c r="BS273" s="373"/>
      <c r="BT273" s="373"/>
      <c r="BU273" s="373"/>
      <c r="BV273" s="373"/>
      <c r="BW273" s="373"/>
      <c r="BX273" s="373"/>
      <c r="BY273" s="373"/>
      <c r="BZ273" s="373"/>
      <c r="CA273" s="373"/>
      <c r="CB273" s="373"/>
      <c r="CC273" s="374"/>
      <c r="CD273" s="374"/>
      <c r="CE273" s="374"/>
      <c r="CF273" s="374"/>
      <c r="CG273" s="374"/>
      <c r="CH273" s="374"/>
      <c r="CI273" s="374"/>
      <c r="CJ273" s="374"/>
      <c r="CK273" s="374"/>
      <c r="CL273" s="374"/>
      <c r="CM273" s="374"/>
      <c r="CN273" s="374"/>
      <c r="CO273" s="374"/>
      <c r="CP273" s="374"/>
      <c r="CQ273" s="374"/>
      <c r="CR273" s="374"/>
      <c r="CS273" s="374"/>
      <c r="CT273" s="392">
        <f>ROUNDUP((437+614),0)</f>
        <v>1051</v>
      </c>
      <c r="CU273" s="374"/>
      <c r="CV273" s="374"/>
      <c r="CW273" s="374"/>
      <c r="CX273" s="374"/>
      <c r="CY273" s="374"/>
      <c r="CZ273" s="374"/>
      <c r="DA273" s="374"/>
      <c r="DB273" s="374"/>
      <c r="DC273" s="375"/>
    </row>
    <row r="274" spans="1:107">
      <c r="A274" s="394"/>
      <c r="B274" s="396" t="s">
        <v>584</v>
      </c>
      <c r="C274" s="349"/>
      <c r="D274" s="349"/>
      <c r="E274" s="349"/>
      <c r="F274" s="349"/>
      <c r="G274" s="349"/>
      <c r="H274" s="349"/>
      <c r="I274" s="349"/>
      <c r="J274" s="349"/>
      <c r="K274" s="349"/>
      <c r="L274" s="349"/>
      <c r="M274" s="349"/>
      <c r="N274" s="349"/>
      <c r="O274" s="349"/>
      <c r="P274" s="354"/>
      <c r="Q274" s="354"/>
      <c r="R274" s="354"/>
      <c r="S274" s="354"/>
      <c r="T274" s="352"/>
      <c r="U274" s="353"/>
      <c r="V274" s="353"/>
      <c r="W274" s="353"/>
      <c r="X274" s="349"/>
      <c r="Y274" s="349"/>
      <c r="Z274" s="349"/>
      <c r="AA274" s="349"/>
      <c r="AB274" s="349"/>
      <c r="AC274" s="349"/>
      <c r="AD274" s="349"/>
      <c r="AE274" s="349"/>
      <c r="AF274" s="349"/>
      <c r="AG274" s="349"/>
      <c r="AH274" s="349"/>
      <c r="AI274" s="349"/>
      <c r="AJ274" s="349"/>
      <c r="AK274" s="349"/>
      <c r="AL274" s="349"/>
      <c r="AM274" s="349"/>
      <c r="AN274" s="349"/>
      <c r="AO274" s="349"/>
      <c r="AP274" s="354"/>
      <c r="AQ274" s="352"/>
      <c r="AR274" s="355"/>
      <c r="AS274" s="356"/>
      <c r="AT274" s="356"/>
      <c r="AU274" s="387"/>
      <c r="AV274" s="357"/>
      <c r="AW274" s="353"/>
      <c r="AX274" s="349"/>
      <c r="AY274" s="352"/>
      <c r="AZ274" s="372"/>
      <c r="BA274" s="373"/>
      <c r="BB274" s="373"/>
      <c r="BC274" s="373"/>
      <c r="BD274" s="373"/>
      <c r="BE274" s="373"/>
      <c r="BF274" s="373"/>
      <c r="BG274" s="373"/>
      <c r="BH274" s="373"/>
      <c r="BI274" s="373"/>
      <c r="BJ274" s="373"/>
      <c r="BK274" s="373"/>
      <c r="BL274" s="373"/>
      <c r="BM274" s="373"/>
      <c r="BN274" s="373"/>
      <c r="BO274" s="373"/>
      <c r="BP274" s="373"/>
      <c r="BQ274" s="373"/>
      <c r="BR274" s="373"/>
      <c r="BS274" s="373"/>
      <c r="BT274" s="373"/>
      <c r="BU274" s="373"/>
      <c r="BV274" s="373"/>
      <c r="BW274" s="373"/>
      <c r="BX274" s="373"/>
      <c r="BY274" s="373"/>
      <c r="BZ274" s="373"/>
      <c r="CA274" s="373"/>
      <c r="CB274" s="373"/>
      <c r="CC274" s="374"/>
      <c r="CD274" s="374"/>
      <c r="CE274" s="374"/>
      <c r="CF274" s="374"/>
      <c r="CG274" s="374"/>
      <c r="CH274" s="374"/>
      <c r="CI274" s="374"/>
      <c r="CJ274" s="374"/>
      <c r="CK274" s="374"/>
      <c r="CL274" s="374"/>
      <c r="CM274" s="374"/>
      <c r="CN274" s="374"/>
      <c r="CO274" s="374"/>
      <c r="CP274" s="374"/>
      <c r="CQ274" s="374"/>
      <c r="CR274" s="374"/>
      <c r="CS274" s="374"/>
      <c r="CT274" s="374"/>
      <c r="CU274" s="392"/>
      <c r="CV274" s="374"/>
      <c r="CW274" s="374"/>
      <c r="CX274" s="374"/>
      <c r="CY274" s="374"/>
      <c r="CZ274" s="374"/>
      <c r="DA274" s="374"/>
      <c r="DB274" s="374"/>
      <c r="DC274" s="375"/>
    </row>
    <row r="275" spans="1:107">
      <c r="A275" s="394"/>
      <c r="B275" s="396" t="s">
        <v>579</v>
      </c>
      <c r="C275" s="349"/>
      <c r="D275" s="349"/>
      <c r="E275" s="349"/>
      <c r="F275" s="349"/>
      <c r="G275" s="349"/>
      <c r="H275" s="349"/>
      <c r="I275" s="349"/>
      <c r="J275" s="349"/>
      <c r="K275" s="349"/>
      <c r="L275" s="349"/>
      <c r="M275" s="349"/>
      <c r="N275" s="349"/>
      <c r="O275" s="349"/>
      <c r="P275" s="354"/>
      <c r="Q275" s="354"/>
      <c r="R275" s="354"/>
      <c r="S275" s="354"/>
      <c r="T275" s="352"/>
      <c r="U275" s="353"/>
      <c r="V275" s="353"/>
      <c r="W275" s="353"/>
      <c r="X275" s="349"/>
      <c r="Y275" s="349"/>
      <c r="Z275" s="349"/>
      <c r="AA275" s="349"/>
      <c r="AB275" s="349"/>
      <c r="AC275" s="349"/>
      <c r="AD275" s="349"/>
      <c r="AE275" s="349"/>
      <c r="AF275" s="349"/>
      <c r="AG275" s="349"/>
      <c r="AH275" s="349"/>
      <c r="AI275" s="349"/>
      <c r="AJ275" s="349"/>
      <c r="AK275" s="349"/>
      <c r="AL275" s="349"/>
      <c r="AM275" s="349"/>
      <c r="AN275" s="349"/>
      <c r="AO275" s="349"/>
      <c r="AP275" s="354"/>
      <c r="AQ275" s="352"/>
      <c r="AR275" s="355"/>
      <c r="AS275" s="356"/>
      <c r="AT275" s="356"/>
      <c r="AU275" s="387"/>
      <c r="AV275" s="357"/>
      <c r="AW275" s="353"/>
      <c r="AX275" s="349"/>
      <c r="AY275" s="352"/>
      <c r="AZ275" s="372"/>
      <c r="BA275" s="373"/>
      <c r="BB275" s="373"/>
      <c r="BC275" s="373"/>
      <c r="BD275" s="373"/>
      <c r="BE275" s="373"/>
      <c r="BF275" s="373"/>
      <c r="BG275" s="373"/>
      <c r="BH275" s="373"/>
      <c r="BI275" s="373"/>
      <c r="BJ275" s="373"/>
      <c r="BK275" s="373"/>
      <c r="BL275" s="373"/>
      <c r="BM275" s="373"/>
      <c r="BN275" s="373"/>
      <c r="BO275" s="373"/>
      <c r="BP275" s="373"/>
      <c r="BQ275" s="373"/>
      <c r="BR275" s="373"/>
      <c r="BS275" s="373"/>
      <c r="BT275" s="373"/>
      <c r="BU275" s="373"/>
      <c r="BV275" s="373"/>
      <c r="BW275" s="373"/>
      <c r="BX275" s="373"/>
      <c r="BY275" s="373"/>
      <c r="BZ275" s="373"/>
      <c r="CA275" s="373"/>
      <c r="CB275" s="373"/>
      <c r="CC275" s="374"/>
      <c r="CD275" s="374"/>
      <c r="CE275" s="374"/>
      <c r="CF275" s="374"/>
      <c r="CG275" s="374"/>
      <c r="CH275" s="374"/>
      <c r="CI275" s="374"/>
      <c r="CJ275" s="374"/>
      <c r="CK275" s="374"/>
      <c r="CL275" s="374"/>
      <c r="CM275" s="374"/>
      <c r="CN275" s="374"/>
      <c r="CO275" s="374"/>
      <c r="CP275" s="374"/>
      <c r="CQ275" s="374"/>
      <c r="CR275" s="374"/>
      <c r="CS275" s="374"/>
      <c r="CT275" s="374"/>
      <c r="CU275" s="374"/>
      <c r="CV275" s="392"/>
      <c r="CW275" s="374"/>
      <c r="CX275" s="374"/>
      <c r="CY275" s="374"/>
      <c r="CZ275" s="374"/>
      <c r="DA275" s="374"/>
      <c r="DB275" s="374"/>
      <c r="DC275" s="375"/>
    </row>
    <row r="276" spans="1:107">
      <c r="A276" s="394"/>
      <c r="B276" s="395" t="s">
        <v>464</v>
      </c>
      <c r="C276" s="349"/>
      <c r="D276" s="349"/>
      <c r="E276" s="349"/>
      <c r="F276" s="349"/>
      <c r="G276" s="349"/>
      <c r="H276" s="349"/>
      <c r="I276" s="349"/>
      <c r="J276" s="349"/>
      <c r="K276" s="349"/>
      <c r="L276" s="349"/>
      <c r="M276" s="349"/>
      <c r="N276" s="349"/>
      <c r="O276" s="349"/>
      <c r="P276" s="354"/>
      <c r="Q276" s="354"/>
      <c r="R276" s="354"/>
      <c r="S276" s="354"/>
      <c r="T276" s="352"/>
      <c r="U276" s="353"/>
      <c r="V276" s="353"/>
      <c r="W276" s="353"/>
      <c r="X276" s="349"/>
      <c r="Y276" s="349"/>
      <c r="Z276" s="349"/>
      <c r="AA276" s="349"/>
      <c r="AB276" s="349"/>
      <c r="AC276" s="349"/>
      <c r="AD276" s="349"/>
      <c r="AE276" s="349"/>
      <c r="AF276" s="349"/>
      <c r="AG276" s="349"/>
      <c r="AH276" s="349"/>
      <c r="AI276" s="349"/>
      <c r="AJ276" s="349"/>
      <c r="AK276" s="349"/>
      <c r="AL276" s="349"/>
      <c r="AM276" s="349"/>
      <c r="AN276" s="349"/>
      <c r="AO276" s="349"/>
      <c r="AP276" s="354"/>
      <c r="AQ276" s="352"/>
      <c r="AR276" s="355"/>
      <c r="AS276" s="356"/>
      <c r="AT276" s="356"/>
      <c r="AU276" s="387"/>
      <c r="AV276" s="357"/>
      <c r="AW276" s="353"/>
      <c r="AX276" s="349"/>
      <c r="AY276" s="352"/>
      <c r="AZ276" s="372"/>
      <c r="BA276" s="373"/>
      <c r="BB276" s="373"/>
      <c r="BC276" s="373"/>
      <c r="BD276" s="373"/>
      <c r="BE276" s="373"/>
      <c r="BF276" s="373"/>
      <c r="BG276" s="373"/>
      <c r="BH276" s="373"/>
      <c r="BI276" s="373"/>
      <c r="BJ276" s="373"/>
      <c r="BK276" s="373"/>
      <c r="BL276" s="373"/>
      <c r="BM276" s="373"/>
      <c r="BN276" s="373"/>
      <c r="BO276" s="373"/>
      <c r="BP276" s="373"/>
      <c r="BQ276" s="373"/>
      <c r="BR276" s="373"/>
      <c r="BS276" s="373"/>
      <c r="BT276" s="373"/>
      <c r="BU276" s="373"/>
      <c r="BV276" s="373"/>
      <c r="BW276" s="373"/>
      <c r="BX276" s="373"/>
      <c r="BY276" s="373"/>
      <c r="BZ276" s="373"/>
      <c r="CA276" s="373"/>
      <c r="CB276" s="373"/>
      <c r="CC276" s="374"/>
      <c r="CD276" s="374"/>
      <c r="CE276" s="374"/>
      <c r="CF276" s="374"/>
      <c r="CG276" s="374"/>
      <c r="CH276" s="374"/>
      <c r="CI276" s="374"/>
      <c r="CJ276" s="374"/>
      <c r="CK276" s="374"/>
      <c r="CL276" s="374"/>
      <c r="CM276" s="374"/>
      <c r="CN276" s="374"/>
      <c r="CO276" s="374"/>
      <c r="CP276" s="374"/>
      <c r="CQ276" s="374"/>
      <c r="CR276" s="374"/>
      <c r="CS276" s="374"/>
      <c r="CT276" s="374"/>
      <c r="CU276" s="374"/>
      <c r="CV276" s="374"/>
      <c r="CW276" s="374"/>
      <c r="CX276" s="374"/>
      <c r="CY276" s="374"/>
      <c r="CZ276" s="374"/>
      <c r="DA276" s="374"/>
      <c r="DB276" s="392">
        <f>ROUNDUP(8*25.9,0)</f>
        <v>208</v>
      </c>
      <c r="DC276" s="375"/>
    </row>
    <row r="277" spans="1:107">
      <c r="A277" s="397"/>
      <c r="B277" s="396" t="s">
        <v>654</v>
      </c>
      <c r="C277" s="399"/>
      <c r="D277" s="400"/>
      <c r="E277" s="400"/>
      <c r="F277" s="400"/>
      <c r="G277" s="400"/>
      <c r="H277" s="400"/>
      <c r="I277" s="400"/>
      <c r="J277" s="400"/>
      <c r="K277" s="400"/>
      <c r="L277" s="400"/>
      <c r="M277" s="400"/>
      <c r="N277" s="400"/>
      <c r="O277" s="400"/>
      <c r="P277" s="401"/>
      <c r="Q277" s="401"/>
      <c r="R277" s="401"/>
      <c r="S277" s="401"/>
      <c r="T277" s="352"/>
      <c r="U277" s="396"/>
      <c r="V277" s="396"/>
      <c r="W277" s="396"/>
      <c r="X277" s="399"/>
      <c r="Y277" s="399"/>
      <c r="Z277" s="399"/>
      <c r="AA277" s="399"/>
      <c r="AB277" s="399"/>
      <c r="AC277" s="399"/>
      <c r="AD277" s="399"/>
      <c r="AE277" s="399"/>
      <c r="AF277" s="399"/>
      <c r="AG277" s="399"/>
      <c r="AH277" s="399"/>
      <c r="AI277" s="399"/>
      <c r="AJ277" s="399"/>
      <c r="AK277" s="399"/>
      <c r="AL277" s="399"/>
      <c r="AM277" s="399"/>
      <c r="AN277" s="399"/>
      <c r="AO277" s="399"/>
      <c r="AP277" s="403"/>
      <c r="AQ277" s="404"/>
      <c r="AR277" s="396"/>
      <c r="AS277" s="399"/>
      <c r="AT277" s="407"/>
      <c r="AU277" s="403"/>
      <c r="AV277" s="404"/>
      <c r="AW277" s="396"/>
      <c r="AX277" s="399"/>
      <c r="AY277" s="404"/>
      <c r="AZ277" s="405"/>
      <c r="BA277" s="406"/>
      <c r="BB277" s="406"/>
      <c r="BC277" s="406"/>
      <c r="BD277" s="406"/>
      <c r="BE277" s="406"/>
      <c r="BF277" s="471"/>
      <c r="BG277" s="406"/>
      <c r="BH277" s="406"/>
      <c r="BI277" s="406"/>
      <c r="BJ277" s="406"/>
      <c r="BK277" s="406"/>
      <c r="BL277" s="406"/>
      <c r="BM277" s="406"/>
      <c r="BN277" s="406"/>
      <c r="BO277" s="406"/>
      <c r="BP277" s="471"/>
      <c r="BQ277" s="406"/>
      <c r="BR277" s="406"/>
      <c r="BS277" s="406"/>
      <c r="BT277" s="471"/>
      <c r="BU277" s="471"/>
      <c r="BV277" s="471"/>
      <c r="BW277" s="406"/>
      <c r="BX277" s="471"/>
      <c r="BY277" s="406"/>
      <c r="BZ277" s="406"/>
      <c r="CA277" s="406"/>
      <c r="CB277" s="406"/>
      <c r="CC277" s="473"/>
      <c r="CD277" s="407"/>
      <c r="CE277" s="473"/>
      <c r="CF277" s="407"/>
      <c r="CG277" s="473"/>
      <c r="CH277" s="407"/>
      <c r="CI277" s="407"/>
      <c r="CJ277" s="407"/>
      <c r="CK277" s="473"/>
      <c r="CL277" s="473"/>
      <c r="CM277" s="407"/>
      <c r="CN277" s="407"/>
      <c r="CO277" s="407"/>
      <c r="CP277" s="407"/>
      <c r="CQ277" s="407"/>
      <c r="CR277" s="473"/>
      <c r="CS277" s="473"/>
      <c r="CT277" s="407"/>
      <c r="CU277" s="407"/>
      <c r="CV277" s="407"/>
      <c r="CW277" s="407"/>
      <c r="CX277" s="407"/>
      <c r="CY277" s="407"/>
      <c r="CZ277" s="407"/>
      <c r="DA277" s="407"/>
      <c r="DB277" s="407"/>
      <c r="DC277" s="393">
        <f>ROUNDUP(((0.5+1.53+9.3+1.53+0.5)*35.5)+((0.5+1.53+14.3+1.53+0.5)*35.5)+((0.8*12.3)*2)+((0.8*35.5)*2),0)</f>
        <v>1203</v>
      </c>
    </row>
    <row r="278" spans="1:107">
      <c r="A278" s="397"/>
      <c r="B278" s="396"/>
      <c r="C278" s="399"/>
      <c r="D278" s="400"/>
      <c r="E278" s="400"/>
      <c r="F278" s="400"/>
      <c r="G278" s="400"/>
      <c r="H278" s="400"/>
      <c r="I278" s="400"/>
      <c r="J278" s="400"/>
      <c r="K278" s="400"/>
      <c r="L278" s="400"/>
      <c r="M278" s="400"/>
      <c r="N278" s="400"/>
      <c r="O278" s="400"/>
      <c r="P278" s="401"/>
      <c r="Q278" s="401"/>
      <c r="R278" s="401"/>
      <c r="S278" s="401"/>
      <c r="T278" s="352">
        <f t="shared" ref="T278:T279" si="104">SUM(C278:O278)</f>
        <v>0</v>
      </c>
      <c r="U278" s="396"/>
      <c r="V278" s="396"/>
      <c r="W278" s="396"/>
      <c r="X278" s="399"/>
      <c r="Y278" s="399"/>
      <c r="Z278" s="399"/>
      <c r="AA278" s="399"/>
      <c r="AB278" s="399"/>
      <c r="AC278" s="399"/>
      <c r="AD278" s="399"/>
      <c r="AE278" s="399"/>
      <c r="AF278" s="399"/>
      <c r="AG278" s="399"/>
      <c r="AH278" s="399"/>
      <c r="AI278" s="399"/>
      <c r="AJ278" s="399"/>
      <c r="AK278" s="399"/>
      <c r="AL278" s="399"/>
      <c r="AM278" s="399"/>
      <c r="AN278" s="399"/>
      <c r="AO278" s="399"/>
      <c r="AP278" s="403"/>
      <c r="AQ278" s="404"/>
      <c r="AR278" s="396"/>
      <c r="AS278" s="399"/>
      <c r="AT278" s="399"/>
      <c r="AU278" s="403"/>
      <c r="AV278" s="404"/>
      <c r="AW278" s="396"/>
      <c r="AX278" s="399"/>
      <c r="AY278" s="404"/>
      <c r="AZ278" s="405"/>
      <c r="BA278" s="406"/>
      <c r="BB278" s="406"/>
      <c r="BC278" s="406"/>
      <c r="BD278" s="406"/>
      <c r="BE278" s="406"/>
      <c r="BF278" s="471"/>
      <c r="BG278" s="406"/>
      <c r="BH278" s="406"/>
      <c r="BI278" s="406"/>
      <c r="BJ278" s="406"/>
      <c r="BK278" s="406"/>
      <c r="BL278" s="406"/>
      <c r="BM278" s="406"/>
      <c r="BN278" s="406"/>
      <c r="BO278" s="406"/>
      <c r="BP278" s="471"/>
      <c r="BQ278" s="406"/>
      <c r="BR278" s="406"/>
      <c r="BS278" s="406"/>
      <c r="BT278" s="471"/>
      <c r="BU278" s="471"/>
      <c r="BV278" s="471"/>
      <c r="BW278" s="406"/>
      <c r="BX278" s="471"/>
      <c r="BY278" s="406"/>
      <c r="BZ278" s="406"/>
      <c r="CA278" s="406"/>
      <c r="CB278" s="406"/>
      <c r="CC278" s="473"/>
      <c r="CD278" s="407"/>
      <c r="CE278" s="473"/>
      <c r="CF278" s="407"/>
      <c r="CG278" s="473"/>
      <c r="CH278" s="407"/>
      <c r="CI278" s="407"/>
      <c r="CJ278" s="407"/>
      <c r="CK278" s="473"/>
      <c r="CL278" s="473"/>
      <c r="CM278" s="407"/>
      <c r="CN278" s="407"/>
      <c r="CO278" s="407"/>
      <c r="CP278" s="407"/>
      <c r="CQ278" s="407"/>
      <c r="CR278" s="473"/>
      <c r="CS278" s="473"/>
      <c r="CT278" s="407"/>
      <c r="CU278" s="407"/>
      <c r="CV278" s="407"/>
      <c r="CW278" s="407"/>
      <c r="CX278" s="407"/>
      <c r="CY278" s="407"/>
      <c r="CZ278" s="407"/>
      <c r="DA278" s="407"/>
      <c r="DB278" s="407"/>
      <c r="DC278" s="408"/>
    </row>
    <row r="279" spans="1:107">
      <c r="A279" s="397"/>
      <c r="B279" s="396"/>
      <c r="C279" s="399"/>
      <c r="D279" s="400"/>
      <c r="E279" s="400"/>
      <c r="F279" s="400"/>
      <c r="G279" s="400"/>
      <c r="H279" s="400"/>
      <c r="I279" s="400"/>
      <c r="J279" s="400"/>
      <c r="K279" s="400"/>
      <c r="L279" s="400"/>
      <c r="M279" s="400"/>
      <c r="N279" s="400"/>
      <c r="O279" s="400"/>
      <c r="P279" s="401"/>
      <c r="Q279" s="401"/>
      <c r="R279" s="401"/>
      <c r="S279" s="401"/>
      <c r="T279" s="352">
        <f t="shared" si="104"/>
        <v>0</v>
      </c>
      <c r="U279" s="396"/>
      <c r="V279" s="396"/>
      <c r="W279" s="396"/>
      <c r="X279" s="399"/>
      <c r="Y279" s="399"/>
      <c r="Z279" s="399"/>
      <c r="AA279" s="399"/>
      <c r="AB279" s="399"/>
      <c r="AC279" s="399"/>
      <c r="AD279" s="399"/>
      <c r="AE279" s="399"/>
      <c r="AF279" s="399"/>
      <c r="AG279" s="399"/>
      <c r="AH279" s="399"/>
      <c r="AI279" s="399"/>
      <c r="AJ279" s="399"/>
      <c r="AK279" s="399"/>
      <c r="AL279" s="399"/>
      <c r="AM279" s="399"/>
      <c r="AN279" s="399"/>
      <c r="AO279" s="399"/>
      <c r="AP279" s="403"/>
      <c r="AQ279" s="404"/>
      <c r="AR279" s="396"/>
      <c r="AS279" s="399"/>
      <c r="AT279" s="399"/>
      <c r="AU279" s="403"/>
      <c r="AV279" s="404"/>
      <c r="AW279" s="396"/>
      <c r="AX279" s="399"/>
      <c r="AY279" s="404"/>
      <c r="AZ279" s="405"/>
      <c r="BA279" s="406"/>
      <c r="BB279" s="406"/>
      <c r="BC279" s="406"/>
      <c r="BD279" s="406"/>
      <c r="BE279" s="406"/>
      <c r="BF279" s="471"/>
      <c r="BG279" s="406"/>
      <c r="BH279" s="406"/>
      <c r="BI279" s="406"/>
      <c r="BJ279" s="406"/>
      <c r="BK279" s="406"/>
      <c r="BL279" s="406"/>
      <c r="BM279" s="406"/>
      <c r="BN279" s="406"/>
      <c r="BO279" s="406"/>
      <c r="BP279" s="471"/>
      <c r="BQ279" s="406"/>
      <c r="BR279" s="406"/>
      <c r="BS279" s="406"/>
      <c r="BT279" s="471"/>
      <c r="BU279" s="471"/>
      <c r="BV279" s="471"/>
      <c r="BW279" s="406"/>
      <c r="BX279" s="471"/>
      <c r="BY279" s="406"/>
      <c r="BZ279" s="406"/>
      <c r="CA279" s="406"/>
      <c r="CB279" s="406"/>
      <c r="CC279" s="473"/>
      <c r="CD279" s="407"/>
      <c r="CE279" s="473"/>
      <c r="CF279" s="407"/>
      <c r="CG279" s="473"/>
      <c r="CH279" s="407"/>
      <c r="CI279" s="407"/>
      <c r="CJ279" s="407"/>
      <c r="CK279" s="473"/>
      <c r="CL279" s="473"/>
      <c r="CM279" s="407"/>
      <c r="CN279" s="407"/>
      <c r="CO279" s="407"/>
      <c r="CP279" s="407"/>
      <c r="CQ279" s="407"/>
      <c r="CR279" s="473"/>
      <c r="CS279" s="473"/>
      <c r="CT279" s="407"/>
      <c r="CU279" s="407"/>
      <c r="CV279" s="407"/>
      <c r="CW279" s="407"/>
      <c r="CX279" s="407"/>
      <c r="CY279" s="407"/>
      <c r="CZ279" s="407"/>
      <c r="DA279" s="407"/>
      <c r="DB279" s="407"/>
      <c r="DC279" s="408"/>
    </row>
    <row r="280" spans="1:107">
      <c r="A280" s="397"/>
      <c r="B280" s="396"/>
      <c r="C280" s="399"/>
      <c r="D280" s="400"/>
      <c r="E280" s="400"/>
      <c r="F280" s="400"/>
      <c r="G280" s="400"/>
      <c r="H280" s="400"/>
      <c r="I280" s="400"/>
      <c r="J280" s="400"/>
      <c r="K280" s="400"/>
      <c r="L280" s="400"/>
      <c r="M280" s="400"/>
      <c r="N280" s="400"/>
      <c r="O280" s="400"/>
      <c r="P280" s="401"/>
      <c r="Q280" s="401"/>
      <c r="R280" s="401"/>
      <c r="S280" s="401"/>
      <c r="T280" s="402"/>
      <c r="U280" s="396"/>
      <c r="V280" s="396"/>
      <c r="W280" s="396"/>
      <c r="X280" s="399"/>
      <c r="Y280" s="399"/>
      <c r="Z280" s="399"/>
      <c r="AA280" s="399"/>
      <c r="AB280" s="399"/>
      <c r="AC280" s="399"/>
      <c r="AD280" s="399"/>
      <c r="AE280" s="399"/>
      <c r="AF280" s="399"/>
      <c r="AG280" s="399"/>
      <c r="AH280" s="399"/>
      <c r="AI280" s="399"/>
      <c r="AJ280" s="399"/>
      <c r="AK280" s="399"/>
      <c r="AL280" s="399"/>
      <c r="AM280" s="399"/>
      <c r="AN280" s="399"/>
      <c r="AO280" s="399"/>
      <c r="AP280" s="403"/>
      <c r="AQ280" s="404"/>
      <c r="AR280" s="396"/>
      <c r="AS280" s="399"/>
      <c r="AT280" s="399"/>
      <c r="AU280" s="403"/>
      <c r="AV280" s="404"/>
      <c r="AW280" s="396"/>
      <c r="AX280" s="399"/>
      <c r="AY280" s="404"/>
      <c r="AZ280" s="405"/>
      <c r="BA280" s="406"/>
      <c r="BB280" s="406"/>
      <c r="BC280" s="406"/>
      <c r="BD280" s="406"/>
      <c r="BE280" s="406"/>
      <c r="BF280" s="471"/>
      <c r="BG280" s="406"/>
      <c r="BH280" s="406"/>
      <c r="BI280" s="406"/>
      <c r="BJ280" s="406"/>
      <c r="BK280" s="406"/>
      <c r="BL280" s="406"/>
      <c r="BM280" s="406"/>
      <c r="BN280" s="406"/>
      <c r="BO280" s="406"/>
      <c r="BP280" s="471"/>
      <c r="BQ280" s="406"/>
      <c r="BR280" s="406"/>
      <c r="BS280" s="406"/>
      <c r="BT280" s="471"/>
      <c r="BU280" s="471"/>
      <c r="BV280" s="471"/>
      <c r="BW280" s="406"/>
      <c r="BX280" s="471"/>
      <c r="BY280" s="406"/>
      <c r="BZ280" s="406"/>
      <c r="CA280" s="406"/>
      <c r="CB280" s="406"/>
      <c r="CC280" s="473"/>
      <c r="CD280" s="407"/>
      <c r="CE280" s="473"/>
      <c r="CF280" s="407"/>
      <c r="CG280" s="473"/>
      <c r="CH280" s="407"/>
      <c r="CI280" s="407"/>
      <c r="CJ280" s="407"/>
      <c r="CK280" s="473"/>
      <c r="CL280" s="473"/>
      <c r="CM280" s="407"/>
      <c r="CN280" s="407"/>
      <c r="CO280" s="407"/>
      <c r="CP280" s="407"/>
      <c r="CQ280" s="407"/>
      <c r="CR280" s="473"/>
      <c r="CS280" s="473"/>
      <c r="CT280" s="407"/>
      <c r="CU280" s="407"/>
      <c r="CV280" s="407"/>
      <c r="CW280" s="407"/>
      <c r="CX280" s="407"/>
      <c r="CY280" s="407"/>
      <c r="CZ280" s="407"/>
      <c r="DA280" s="407"/>
      <c r="DB280" s="407"/>
      <c r="DC280" s="408"/>
    </row>
    <row r="281" spans="1:107">
      <c r="A281" s="397"/>
      <c r="B281" s="396"/>
      <c r="C281" s="399"/>
      <c r="D281" s="400"/>
      <c r="E281" s="400"/>
      <c r="F281" s="400"/>
      <c r="G281" s="400"/>
      <c r="H281" s="400"/>
      <c r="I281" s="400"/>
      <c r="J281" s="400"/>
      <c r="K281" s="400"/>
      <c r="L281" s="400"/>
      <c r="M281" s="400"/>
      <c r="N281" s="400"/>
      <c r="O281" s="400"/>
      <c r="P281" s="401"/>
      <c r="Q281" s="401"/>
      <c r="R281" s="401"/>
      <c r="S281" s="401"/>
      <c r="T281" s="402"/>
      <c r="U281" s="396"/>
      <c r="V281" s="396"/>
      <c r="W281" s="396"/>
      <c r="X281" s="399"/>
      <c r="Y281" s="399"/>
      <c r="Z281" s="399"/>
      <c r="AA281" s="399"/>
      <c r="AB281" s="399"/>
      <c r="AC281" s="399"/>
      <c r="AD281" s="399"/>
      <c r="AE281" s="399"/>
      <c r="AF281" s="399"/>
      <c r="AG281" s="399"/>
      <c r="AH281" s="399"/>
      <c r="AI281" s="399"/>
      <c r="AJ281" s="399"/>
      <c r="AK281" s="399"/>
      <c r="AL281" s="399"/>
      <c r="AM281" s="399"/>
      <c r="AN281" s="399"/>
      <c r="AO281" s="399"/>
      <c r="AP281" s="403"/>
      <c r="AQ281" s="404"/>
      <c r="AR281" s="396"/>
      <c r="AS281" s="399"/>
      <c r="AT281" s="399"/>
      <c r="AU281" s="403"/>
      <c r="AV281" s="404"/>
      <c r="AW281" s="396"/>
      <c r="AX281" s="399"/>
      <c r="AY281" s="404"/>
      <c r="AZ281" s="405"/>
      <c r="BA281" s="406"/>
      <c r="BB281" s="406"/>
      <c r="BC281" s="406"/>
      <c r="BD281" s="406"/>
      <c r="BE281" s="406"/>
      <c r="BF281" s="471"/>
      <c r="BG281" s="406"/>
      <c r="BH281" s="406"/>
      <c r="BI281" s="406"/>
      <c r="BJ281" s="406"/>
      <c r="BK281" s="406"/>
      <c r="BL281" s="406"/>
      <c r="BM281" s="406"/>
      <c r="BN281" s="406"/>
      <c r="BO281" s="406"/>
      <c r="BP281" s="471"/>
      <c r="BQ281" s="406"/>
      <c r="BR281" s="406"/>
      <c r="BS281" s="406"/>
      <c r="BT281" s="471"/>
      <c r="BU281" s="471"/>
      <c r="BV281" s="471"/>
      <c r="BW281" s="406"/>
      <c r="BX281" s="471"/>
      <c r="BY281" s="406"/>
      <c r="BZ281" s="406"/>
      <c r="CA281" s="406"/>
      <c r="CB281" s="406"/>
      <c r="CC281" s="473"/>
      <c r="CD281" s="407"/>
      <c r="CE281" s="473"/>
      <c r="CF281" s="407"/>
      <c r="CG281" s="473"/>
      <c r="CH281" s="407"/>
      <c r="CI281" s="407"/>
      <c r="CJ281" s="407"/>
      <c r="CK281" s="473"/>
      <c r="CL281" s="473"/>
      <c r="CM281" s="407"/>
      <c r="CN281" s="407"/>
      <c r="CO281" s="407"/>
      <c r="CP281" s="407"/>
      <c r="CQ281" s="407"/>
      <c r="CR281" s="473"/>
      <c r="CS281" s="473"/>
      <c r="CT281" s="407"/>
      <c r="CU281" s="407"/>
      <c r="CV281" s="407"/>
      <c r="CW281" s="407"/>
      <c r="CX281" s="407"/>
      <c r="CY281" s="407"/>
      <c r="CZ281" s="407"/>
      <c r="DA281" s="407"/>
      <c r="DB281" s="407"/>
      <c r="DC281" s="408"/>
    </row>
    <row r="282" spans="1:107" ht="18.75">
      <c r="A282" s="397"/>
      <c r="B282" s="377" t="s">
        <v>171</v>
      </c>
      <c r="C282" s="378">
        <f t="shared" ref="C282:AH282" si="105">SUM(C270:C281)</f>
        <v>1787</v>
      </c>
      <c r="D282" s="378">
        <f t="shared" si="105"/>
        <v>0</v>
      </c>
      <c r="E282" s="378">
        <f t="shared" si="105"/>
        <v>0</v>
      </c>
      <c r="F282" s="378">
        <f>SUM(F270:F281)</f>
        <v>0</v>
      </c>
      <c r="G282" s="378">
        <f t="shared" si="105"/>
        <v>0</v>
      </c>
      <c r="H282" s="378">
        <f t="shared" si="105"/>
        <v>0</v>
      </c>
      <c r="I282" s="378">
        <f t="shared" si="105"/>
        <v>0</v>
      </c>
      <c r="J282" s="378">
        <f t="shared" si="105"/>
        <v>0</v>
      </c>
      <c r="K282" s="378">
        <f t="shared" si="105"/>
        <v>0</v>
      </c>
      <c r="L282" s="378">
        <f t="shared" si="105"/>
        <v>0</v>
      </c>
      <c r="M282" s="378">
        <f t="shared" si="105"/>
        <v>0</v>
      </c>
      <c r="N282" s="378">
        <f t="shared" si="105"/>
        <v>0</v>
      </c>
      <c r="O282" s="378">
        <f t="shared" si="105"/>
        <v>0</v>
      </c>
      <c r="P282" s="378">
        <f t="shared" si="105"/>
        <v>0</v>
      </c>
      <c r="Q282" s="378">
        <f t="shared" si="105"/>
        <v>0</v>
      </c>
      <c r="R282" s="378">
        <f t="shared" si="105"/>
        <v>0</v>
      </c>
      <c r="S282" s="378">
        <f t="shared" si="105"/>
        <v>0</v>
      </c>
      <c r="T282" s="378">
        <f t="shared" si="105"/>
        <v>0</v>
      </c>
      <c r="U282" s="378">
        <f t="shared" si="105"/>
        <v>159</v>
      </c>
      <c r="V282" s="378">
        <f t="shared" si="105"/>
        <v>0</v>
      </c>
      <c r="W282" s="378">
        <f t="shared" si="105"/>
        <v>0</v>
      </c>
      <c r="X282" s="378">
        <f t="shared" si="105"/>
        <v>0</v>
      </c>
      <c r="Y282" s="378">
        <f t="shared" si="105"/>
        <v>0</v>
      </c>
      <c r="Z282" s="378">
        <f t="shared" si="105"/>
        <v>318</v>
      </c>
      <c r="AA282" s="378">
        <f t="shared" si="105"/>
        <v>0</v>
      </c>
      <c r="AB282" s="378">
        <f t="shared" si="105"/>
        <v>0</v>
      </c>
      <c r="AC282" s="378">
        <f t="shared" si="105"/>
        <v>0</v>
      </c>
      <c r="AD282" s="378">
        <f t="shared" si="105"/>
        <v>0</v>
      </c>
      <c r="AE282" s="378">
        <f t="shared" si="105"/>
        <v>0</v>
      </c>
      <c r="AF282" s="378">
        <f t="shared" si="105"/>
        <v>0</v>
      </c>
      <c r="AG282" s="378">
        <f t="shared" si="105"/>
        <v>0</v>
      </c>
      <c r="AH282" s="378">
        <f t="shared" si="105"/>
        <v>0</v>
      </c>
      <c r="AI282" s="378">
        <f t="shared" ref="AI282:BZ282" si="106">SUM(AI270:AI281)</f>
        <v>0</v>
      </c>
      <c r="AJ282" s="378">
        <f t="shared" si="106"/>
        <v>0</v>
      </c>
      <c r="AK282" s="378">
        <f t="shared" si="106"/>
        <v>0</v>
      </c>
      <c r="AL282" s="378">
        <f t="shared" si="106"/>
        <v>0</v>
      </c>
      <c r="AM282" s="378">
        <f t="shared" si="106"/>
        <v>0</v>
      </c>
      <c r="AN282" s="378">
        <f t="shared" si="106"/>
        <v>0</v>
      </c>
      <c r="AO282" s="378">
        <f t="shared" si="106"/>
        <v>0</v>
      </c>
      <c r="AP282" s="378">
        <f t="shared" si="106"/>
        <v>0</v>
      </c>
      <c r="AQ282" s="378">
        <f t="shared" si="106"/>
        <v>198</v>
      </c>
      <c r="AR282" s="378">
        <f t="shared" si="106"/>
        <v>0</v>
      </c>
      <c r="AS282" s="378">
        <f t="shared" si="106"/>
        <v>0</v>
      </c>
      <c r="AT282" s="378">
        <f t="shared" si="106"/>
        <v>0</v>
      </c>
      <c r="AU282" s="378">
        <f t="shared" si="106"/>
        <v>0</v>
      </c>
      <c r="AV282" s="378">
        <f t="shared" si="106"/>
        <v>0</v>
      </c>
      <c r="AW282" s="378">
        <f t="shared" si="106"/>
        <v>0</v>
      </c>
      <c r="AX282" s="378">
        <f t="shared" si="106"/>
        <v>318</v>
      </c>
      <c r="AY282" s="378">
        <f t="shared" si="106"/>
        <v>0</v>
      </c>
      <c r="AZ282" s="378">
        <f t="shared" si="106"/>
        <v>0</v>
      </c>
      <c r="BA282" s="378">
        <f t="shared" si="106"/>
        <v>0</v>
      </c>
      <c r="BB282" s="378">
        <f t="shared" si="106"/>
        <v>0</v>
      </c>
      <c r="BC282" s="378">
        <f t="shared" si="106"/>
        <v>0</v>
      </c>
      <c r="BD282" s="378">
        <f t="shared" si="106"/>
        <v>0</v>
      </c>
      <c r="BE282" s="378">
        <f t="shared" si="106"/>
        <v>0</v>
      </c>
      <c r="BF282" s="378">
        <f t="shared" si="106"/>
        <v>0</v>
      </c>
      <c r="BG282" s="378">
        <f t="shared" si="106"/>
        <v>0</v>
      </c>
      <c r="BH282" s="378">
        <f t="shared" si="106"/>
        <v>0</v>
      </c>
      <c r="BI282" s="378">
        <f t="shared" si="106"/>
        <v>0</v>
      </c>
      <c r="BJ282" s="378">
        <f t="shared" si="106"/>
        <v>0</v>
      </c>
      <c r="BK282" s="378">
        <f t="shared" si="106"/>
        <v>0</v>
      </c>
      <c r="BL282" s="378">
        <f t="shared" si="106"/>
        <v>0</v>
      </c>
      <c r="BM282" s="378">
        <f t="shared" si="106"/>
        <v>0</v>
      </c>
      <c r="BN282" s="378">
        <f t="shared" si="106"/>
        <v>0</v>
      </c>
      <c r="BO282" s="378">
        <f t="shared" si="106"/>
        <v>0</v>
      </c>
      <c r="BP282" s="378">
        <f t="shared" si="106"/>
        <v>0</v>
      </c>
      <c r="BQ282" s="378">
        <f t="shared" si="106"/>
        <v>0</v>
      </c>
      <c r="BR282" s="378">
        <f t="shared" si="106"/>
        <v>0</v>
      </c>
      <c r="BS282" s="378">
        <f t="shared" si="106"/>
        <v>0</v>
      </c>
      <c r="BT282" s="378">
        <f t="shared" si="106"/>
        <v>0</v>
      </c>
      <c r="BU282" s="378">
        <f t="shared" si="106"/>
        <v>0</v>
      </c>
      <c r="BV282" s="378">
        <f t="shared" si="106"/>
        <v>0</v>
      </c>
      <c r="BW282" s="378">
        <f t="shared" si="106"/>
        <v>0</v>
      </c>
      <c r="BX282" s="378"/>
      <c r="BY282" s="378">
        <f t="shared" si="106"/>
        <v>0</v>
      </c>
      <c r="BZ282" s="378">
        <f t="shared" si="106"/>
        <v>0</v>
      </c>
      <c r="CA282" s="378">
        <f t="shared" ref="CA282:DC282" si="107">SUM(CA270:CA281)</f>
        <v>0</v>
      </c>
      <c r="CB282" s="378">
        <f t="shared" si="107"/>
        <v>0</v>
      </c>
      <c r="CC282" s="378"/>
      <c r="CD282" s="378">
        <f t="shared" si="107"/>
        <v>0</v>
      </c>
      <c r="CE282" s="378"/>
      <c r="CF282" s="378">
        <f t="shared" si="107"/>
        <v>0</v>
      </c>
      <c r="CG282" s="378"/>
      <c r="CH282" s="378">
        <f t="shared" si="107"/>
        <v>0</v>
      </c>
      <c r="CI282" s="378">
        <f t="shared" si="107"/>
        <v>0</v>
      </c>
      <c r="CJ282" s="378">
        <f t="shared" si="107"/>
        <v>0</v>
      </c>
      <c r="CK282" s="378"/>
      <c r="CL282" s="378"/>
      <c r="CM282" s="378">
        <f t="shared" si="107"/>
        <v>0</v>
      </c>
      <c r="CN282" s="378">
        <f t="shared" si="107"/>
        <v>0</v>
      </c>
      <c r="CO282" s="378">
        <f t="shared" si="107"/>
        <v>0</v>
      </c>
      <c r="CP282" s="378">
        <f t="shared" si="107"/>
        <v>0</v>
      </c>
      <c r="CQ282" s="378">
        <f t="shared" si="107"/>
        <v>0</v>
      </c>
      <c r="CR282" s="378">
        <f t="shared" si="107"/>
        <v>0</v>
      </c>
      <c r="CS282" s="378">
        <f t="shared" si="107"/>
        <v>0</v>
      </c>
      <c r="CT282" s="378">
        <f t="shared" si="107"/>
        <v>1051</v>
      </c>
      <c r="CU282" s="378">
        <f t="shared" si="107"/>
        <v>0</v>
      </c>
      <c r="CV282" s="378">
        <f t="shared" si="107"/>
        <v>0</v>
      </c>
      <c r="CW282" s="378">
        <f t="shared" si="107"/>
        <v>0</v>
      </c>
      <c r="CX282" s="378">
        <f t="shared" si="107"/>
        <v>0</v>
      </c>
      <c r="CY282" s="378">
        <f t="shared" si="107"/>
        <v>0</v>
      </c>
      <c r="CZ282" s="378">
        <f t="shared" si="107"/>
        <v>0</v>
      </c>
      <c r="DA282" s="378">
        <f t="shared" si="107"/>
        <v>0</v>
      </c>
      <c r="DB282" s="378">
        <f t="shared" si="107"/>
        <v>208</v>
      </c>
      <c r="DC282" s="378">
        <f t="shared" si="107"/>
        <v>1203</v>
      </c>
    </row>
    <row r="283" spans="1:107">
      <c r="A283" s="397"/>
      <c r="B283" s="396"/>
      <c r="C283" s="399"/>
      <c r="D283" s="400"/>
      <c r="E283" s="400"/>
      <c r="F283" s="400"/>
      <c r="G283" s="400"/>
      <c r="H283" s="400"/>
      <c r="I283" s="400"/>
      <c r="J283" s="400"/>
      <c r="K283" s="400"/>
      <c r="L283" s="400"/>
      <c r="M283" s="400"/>
      <c r="N283" s="400"/>
      <c r="O283" s="400"/>
      <c r="P283" s="401"/>
      <c r="Q283" s="401"/>
      <c r="R283" s="401"/>
      <c r="S283" s="401"/>
      <c r="T283" s="402"/>
      <c r="U283" s="396"/>
      <c r="V283" s="396"/>
      <c r="W283" s="396"/>
      <c r="X283" s="399"/>
      <c r="Y283" s="399"/>
      <c r="Z283" s="399"/>
      <c r="AA283" s="399"/>
      <c r="AB283" s="399"/>
      <c r="AC283" s="399"/>
      <c r="AD283" s="399"/>
      <c r="AE283" s="399"/>
      <c r="AF283" s="399"/>
      <c r="AG283" s="399"/>
      <c r="AH283" s="399"/>
      <c r="AI283" s="399"/>
      <c r="AJ283" s="399"/>
      <c r="AK283" s="399"/>
      <c r="AL283" s="399"/>
      <c r="AM283" s="399"/>
      <c r="AN283" s="399"/>
      <c r="AO283" s="399"/>
      <c r="AP283" s="403"/>
      <c r="AQ283" s="404"/>
      <c r="AR283" s="396"/>
      <c r="AS283" s="399"/>
      <c r="AT283" s="399"/>
      <c r="AU283" s="403"/>
      <c r="AV283" s="404"/>
      <c r="AW283" s="396"/>
      <c r="AX283" s="399"/>
      <c r="AY283" s="404"/>
      <c r="AZ283" s="405"/>
      <c r="BA283" s="406"/>
      <c r="BB283" s="406"/>
      <c r="BC283" s="406"/>
      <c r="BD283" s="406"/>
      <c r="BE283" s="406"/>
      <c r="BF283" s="471"/>
      <c r="BG283" s="406"/>
      <c r="BH283" s="406"/>
      <c r="BI283" s="406"/>
      <c r="BJ283" s="406"/>
      <c r="BK283" s="406"/>
      <c r="BL283" s="406"/>
      <c r="BM283" s="406"/>
      <c r="BN283" s="406"/>
      <c r="BO283" s="406"/>
      <c r="BP283" s="471"/>
      <c r="BQ283" s="406"/>
      <c r="BR283" s="406"/>
      <c r="BS283" s="406"/>
      <c r="BT283" s="471"/>
      <c r="BU283" s="471"/>
      <c r="BV283" s="471"/>
      <c r="BW283" s="406"/>
      <c r="BX283" s="471"/>
      <c r="BY283" s="406"/>
      <c r="BZ283" s="406"/>
      <c r="CA283" s="406"/>
      <c r="CB283" s="406"/>
      <c r="CC283" s="473"/>
      <c r="CD283" s="407"/>
      <c r="CE283" s="473"/>
      <c r="CF283" s="407"/>
      <c r="CG283" s="473"/>
      <c r="CH283" s="407"/>
      <c r="CI283" s="407"/>
      <c r="CJ283" s="407"/>
      <c r="CK283" s="473"/>
      <c r="CL283" s="473"/>
      <c r="CM283" s="407"/>
      <c r="CN283" s="407"/>
      <c r="CO283" s="407"/>
      <c r="CP283" s="407"/>
      <c r="CQ283" s="407"/>
      <c r="CR283" s="473"/>
      <c r="CS283" s="473"/>
      <c r="CT283" s="407"/>
      <c r="CU283" s="407"/>
      <c r="CV283" s="407"/>
      <c r="CW283" s="407"/>
      <c r="CX283" s="407"/>
      <c r="CY283" s="407"/>
      <c r="CZ283" s="407"/>
      <c r="DA283" s="407"/>
      <c r="DB283" s="407"/>
      <c r="DC283" s="408"/>
    </row>
    <row r="284" spans="1:107">
      <c r="A284" s="308"/>
      <c r="B284" s="410"/>
      <c r="C284" s="411"/>
      <c r="D284" s="412"/>
      <c r="E284" s="412"/>
      <c r="F284" s="412"/>
      <c r="G284" s="412"/>
      <c r="H284" s="412"/>
      <c r="I284" s="412"/>
      <c r="J284" s="412"/>
      <c r="K284" s="412"/>
      <c r="L284" s="412"/>
      <c r="M284" s="412"/>
      <c r="N284" s="412"/>
      <c r="O284" s="412"/>
      <c r="P284" s="413"/>
      <c r="Q284" s="413"/>
      <c r="R284" s="413"/>
      <c r="S284" s="413"/>
      <c r="T284" s="414"/>
      <c r="U284" s="410"/>
      <c r="V284" s="410"/>
      <c r="W284" s="410"/>
      <c r="X284" s="411"/>
      <c r="Y284" s="411"/>
      <c r="Z284" s="411"/>
      <c r="AA284" s="411"/>
      <c r="AB284" s="411"/>
      <c r="AC284" s="411"/>
      <c r="AD284" s="411"/>
      <c r="AE284" s="411"/>
      <c r="AF284" s="411"/>
      <c r="AG284" s="411"/>
      <c r="AH284" s="411"/>
      <c r="AI284" s="411"/>
      <c r="AJ284" s="411"/>
      <c r="AK284" s="411"/>
      <c r="AL284" s="411"/>
      <c r="AM284" s="411"/>
      <c r="AN284" s="411"/>
      <c r="AO284" s="411"/>
      <c r="AP284" s="415"/>
      <c r="AQ284" s="416"/>
      <c r="AR284" s="410"/>
      <c r="AS284" s="411"/>
      <c r="AT284" s="411"/>
      <c r="AU284" s="415"/>
      <c r="AV284" s="416"/>
      <c r="AW284" s="410"/>
      <c r="AX284" s="411"/>
      <c r="AY284" s="416"/>
      <c r="AZ284" s="417"/>
      <c r="BA284" s="418"/>
      <c r="BB284" s="418"/>
      <c r="BC284" s="418"/>
      <c r="BD284" s="418"/>
      <c r="BE284" s="418"/>
      <c r="BF284" s="418"/>
      <c r="BG284" s="418"/>
      <c r="BH284" s="418"/>
      <c r="BI284" s="418"/>
      <c r="BJ284" s="418"/>
      <c r="BK284" s="418"/>
      <c r="BL284" s="418"/>
      <c r="BM284" s="418"/>
      <c r="BN284" s="418"/>
      <c r="BO284" s="418"/>
      <c r="BP284" s="418"/>
      <c r="BQ284" s="418"/>
      <c r="BR284" s="418"/>
      <c r="BS284" s="418"/>
      <c r="BT284" s="418"/>
      <c r="BU284" s="418"/>
      <c r="BV284" s="418"/>
      <c r="BW284" s="418"/>
      <c r="BX284" s="418"/>
      <c r="BY284" s="418"/>
      <c r="BZ284" s="418"/>
      <c r="CA284" s="418"/>
      <c r="CB284" s="418"/>
      <c r="CC284" s="419"/>
      <c r="CD284" s="419"/>
      <c r="CE284" s="419"/>
      <c r="CF284" s="419"/>
      <c r="CG284" s="419"/>
      <c r="CH284" s="419"/>
      <c r="CI284" s="419"/>
      <c r="CJ284" s="419"/>
      <c r="CK284" s="419"/>
      <c r="CL284" s="419"/>
      <c r="CM284" s="419"/>
      <c r="CN284" s="419"/>
      <c r="CO284" s="419"/>
      <c r="CP284" s="419"/>
      <c r="CQ284" s="419"/>
      <c r="CR284" s="419"/>
      <c r="CS284" s="419"/>
      <c r="CT284" s="419"/>
      <c r="CU284" s="419"/>
      <c r="CV284" s="419"/>
      <c r="CW284" s="419"/>
      <c r="CX284" s="419"/>
      <c r="CY284" s="419"/>
      <c r="CZ284" s="419"/>
      <c r="DA284" s="419"/>
      <c r="DB284" s="419"/>
      <c r="DC284" s="420"/>
    </row>
    <row r="285" spans="1:107" ht="19.5" thickBot="1">
      <c r="A285" s="421"/>
      <c r="B285" s="422" t="s">
        <v>170</v>
      </c>
      <c r="C285" s="423">
        <f t="shared" ref="C285:AH285" si="108">SUM(C255+C268+C282)</f>
        <v>1787</v>
      </c>
      <c r="D285" s="423">
        <f t="shared" si="108"/>
        <v>830</v>
      </c>
      <c r="E285" s="423">
        <f t="shared" si="108"/>
        <v>0</v>
      </c>
      <c r="F285" s="423">
        <f>SUM(F255+F268+F282)</f>
        <v>1089</v>
      </c>
      <c r="G285" s="423">
        <f t="shared" si="108"/>
        <v>0</v>
      </c>
      <c r="H285" s="423">
        <f>SUM(H255+H268+H282)</f>
        <v>157</v>
      </c>
      <c r="I285" s="423">
        <f t="shared" si="108"/>
        <v>0</v>
      </c>
      <c r="J285" s="423">
        <f t="shared" si="108"/>
        <v>0</v>
      </c>
      <c r="K285" s="423">
        <f t="shared" si="108"/>
        <v>0</v>
      </c>
      <c r="L285" s="423">
        <f t="shared" si="108"/>
        <v>0</v>
      </c>
      <c r="M285" s="423">
        <f t="shared" si="108"/>
        <v>0</v>
      </c>
      <c r="N285" s="423">
        <f t="shared" si="108"/>
        <v>0</v>
      </c>
      <c r="O285" s="423">
        <f t="shared" si="108"/>
        <v>0</v>
      </c>
      <c r="P285" s="423">
        <f t="shared" si="108"/>
        <v>0</v>
      </c>
      <c r="Q285" s="423">
        <f t="shared" si="108"/>
        <v>0</v>
      </c>
      <c r="R285" s="423">
        <f t="shared" si="108"/>
        <v>0</v>
      </c>
      <c r="S285" s="423">
        <f t="shared" si="108"/>
        <v>0</v>
      </c>
      <c r="T285" s="423">
        <f t="shared" si="108"/>
        <v>2076</v>
      </c>
      <c r="U285" s="423">
        <f t="shared" si="108"/>
        <v>159</v>
      </c>
      <c r="V285" s="423">
        <f t="shared" si="108"/>
        <v>0</v>
      </c>
      <c r="W285" s="423">
        <f t="shared" si="108"/>
        <v>0</v>
      </c>
      <c r="X285" s="423">
        <f t="shared" si="108"/>
        <v>0</v>
      </c>
      <c r="Y285" s="423">
        <f t="shared" si="108"/>
        <v>0</v>
      </c>
      <c r="Z285" s="423">
        <f t="shared" si="108"/>
        <v>318</v>
      </c>
      <c r="AA285" s="423">
        <f t="shared" si="108"/>
        <v>0</v>
      </c>
      <c r="AB285" s="423">
        <f t="shared" si="108"/>
        <v>0</v>
      </c>
      <c r="AC285" s="423">
        <f t="shared" si="108"/>
        <v>0</v>
      </c>
      <c r="AD285" s="423">
        <f t="shared" si="108"/>
        <v>0</v>
      </c>
      <c r="AE285" s="423">
        <f t="shared" si="108"/>
        <v>0</v>
      </c>
      <c r="AF285" s="423">
        <f t="shared" si="108"/>
        <v>0</v>
      </c>
      <c r="AG285" s="423">
        <f t="shared" si="108"/>
        <v>0</v>
      </c>
      <c r="AH285" s="423">
        <f t="shared" si="108"/>
        <v>0</v>
      </c>
      <c r="AI285" s="423">
        <f t="shared" ref="AI285:CB285" si="109">SUM(AI255+AI268+AI282)</f>
        <v>0</v>
      </c>
      <c r="AJ285" s="423">
        <f t="shared" si="109"/>
        <v>0</v>
      </c>
      <c r="AK285" s="423">
        <f t="shared" si="109"/>
        <v>0</v>
      </c>
      <c r="AL285" s="423">
        <f t="shared" si="109"/>
        <v>0</v>
      </c>
      <c r="AM285" s="423">
        <f t="shared" si="109"/>
        <v>0</v>
      </c>
      <c r="AN285" s="423">
        <f t="shared" si="109"/>
        <v>35</v>
      </c>
      <c r="AO285" s="423">
        <f t="shared" si="109"/>
        <v>0</v>
      </c>
      <c r="AP285" s="423">
        <f t="shared" si="109"/>
        <v>0</v>
      </c>
      <c r="AQ285" s="423">
        <f t="shared" si="109"/>
        <v>218.6</v>
      </c>
      <c r="AR285" s="423">
        <f t="shared" si="109"/>
        <v>0</v>
      </c>
      <c r="AS285" s="423">
        <f t="shared" si="109"/>
        <v>0</v>
      </c>
      <c r="AT285" s="423">
        <f t="shared" si="109"/>
        <v>0</v>
      </c>
      <c r="AU285" s="423">
        <f t="shared" si="109"/>
        <v>0</v>
      </c>
      <c r="AV285" s="423">
        <f t="shared" si="109"/>
        <v>0</v>
      </c>
      <c r="AW285" s="423">
        <f t="shared" si="109"/>
        <v>0</v>
      </c>
      <c r="AX285" s="423">
        <f t="shared" si="109"/>
        <v>318</v>
      </c>
      <c r="AY285" s="423">
        <f t="shared" si="109"/>
        <v>0</v>
      </c>
      <c r="AZ285" s="423">
        <f t="shared" si="109"/>
        <v>2</v>
      </c>
      <c r="BA285" s="423">
        <f t="shared" si="109"/>
        <v>3</v>
      </c>
      <c r="BB285" s="423">
        <f t="shared" si="109"/>
        <v>1</v>
      </c>
      <c r="BC285" s="423">
        <f t="shared" si="109"/>
        <v>0</v>
      </c>
      <c r="BD285" s="423">
        <f t="shared" si="109"/>
        <v>0</v>
      </c>
      <c r="BE285" s="423">
        <f t="shared" si="109"/>
        <v>0</v>
      </c>
      <c r="BF285" s="423">
        <f t="shared" si="109"/>
        <v>0</v>
      </c>
      <c r="BG285" s="423">
        <f t="shared" si="109"/>
        <v>0</v>
      </c>
      <c r="BH285" s="423">
        <f t="shared" si="109"/>
        <v>0</v>
      </c>
      <c r="BI285" s="423">
        <f t="shared" si="109"/>
        <v>0</v>
      </c>
      <c r="BJ285" s="423">
        <f t="shared" si="109"/>
        <v>0</v>
      </c>
      <c r="BK285" s="423">
        <f t="shared" si="109"/>
        <v>0</v>
      </c>
      <c r="BL285" s="423">
        <f t="shared" si="109"/>
        <v>0</v>
      </c>
      <c r="BM285" s="423">
        <f t="shared" si="109"/>
        <v>0</v>
      </c>
      <c r="BN285" s="423">
        <f t="shared" si="109"/>
        <v>0</v>
      </c>
      <c r="BO285" s="423">
        <f t="shared" si="109"/>
        <v>0</v>
      </c>
      <c r="BP285" s="423">
        <f t="shared" si="109"/>
        <v>0</v>
      </c>
      <c r="BQ285" s="423">
        <f t="shared" si="109"/>
        <v>0</v>
      </c>
      <c r="BR285" s="423">
        <f t="shared" si="109"/>
        <v>0</v>
      </c>
      <c r="BS285" s="423">
        <f t="shared" si="109"/>
        <v>0</v>
      </c>
      <c r="BT285" s="423">
        <f t="shared" si="109"/>
        <v>0</v>
      </c>
      <c r="BU285" s="423">
        <f t="shared" si="109"/>
        <v>0</v>
      </c>
      <c r="BV285" s="423">
        <f t="shared" si="109"/>
        <v>0</v>
      </c>
      <c r="BW285" s="423">
        <f t="shared" si="109"/>
        <v>1</v>
      </c>
      <c r="BX285" s="423"/>
      <c r="BY285" s="423">
        <f t="shared" si="109"/>
        <v>0</v>
      </c>
      <c r="BZ285" s="423">
        <f t="shared" si="109"/>
        <v>0</v>
      </c>
      <c r="CA285" s="423">
        <f t="shared" si="109"/>
        <v>0</v>
      </c>
      <c r="CB285" s="423">
        <f t="shared" si="109"/>
        <v>0</v>
      </c>
      <c r="CC285" s="423"/>
      <c r="CD285" s="423">
        <f t="shared" ref="CD285:DC285" si="110">SUM(CD255+CD268+CD282)</f>
        <v>0</v>
      </c>
      <c r="CE285" s="423"/>
      <c r="CF285" s="423">
        <f t="shared" si="110"/>
        <v>0</v>
      </c>
      <c r="CG285" s="423"/>
      <c r="CH285" s="423">
        <f t="shared" si="110"/>
        <v>0</v>
      </c>
      <c r="CI285" s="423">
        <f t="shared" si="110"/>
        <v>0</v>
      </c>
      <c r="CJ285" s="423">
        <f t="shared" si="110"/>
        <v>0</v>
      </c>
      <c r="CK285" s="423"/>
      <c r="CL285" s="423"/>
      <c r="CM285" s="423">
        <f t="shared" si="110"/>
        <v>0</v>
      </c>
      <c r="CN285" s="423">
        <f t="shared" si="110"/>
        <v>0</v>
      </c>
      <c r="CO285" s="423">
        <f t="shared" si="110"/>
        <v>0</v>
      </c>
      <c r="CP285" s="423">
        <f t="shared" si="110"/>
        <v>0</v>
      </c>
      <c r="CQ285" s="423">
        <f t="shared" si="110"/>
        <v>0</v>
      </c>
      <c r="CR285" s="423">
        <f t="shared" si="110"/>
        <v>0</v>
      </c>
      <c r="CS285" s="423">
        <f t="shared" si="110"/>
        <v>0</v>
      </c>
      <c r="CT285" s="423">
        <f t="shared" si="110"/>
        <v>1051</v>
      </c>
      <c r="CU285" s="423">
        <f t="shared" si="110"/>
        <v>0</v>
      </c>
      <c r="CV285" s="423">
        <f t="shared" si="110"/>
        <v>0</v>
      </c>
      <c r="CW285" s="423">
        <f t="shared" si="110"/>
        <v>0</v>
      </c>
      <c r="CX285" s="423">
        <f t="shared" si="110"/>
        <v>0</v>
      </c>
      <c r="CY285" s="423">
        <f t="shared" si="110"/>
        <v>0</v>
      </c>
      <c r="CZ285" s="423">
        <f t="shared" si="110"/>
        <v>0</v>
      </c>
      <c r="DA285" s="423">
        <f t="shared" si="110"/>
        <v>0</v>
      </c>
      <c r="DB285" s="423">
        <f t="shared" si="110"/>
        <v>208</v>
      </c>
      <c r="DC285" s="423">
        <f t="shared" si="110"/>
        <v>1203</v>
      </c>
    </row>
    <row r="286" spans="1:107" ht="17.25" thickTop="1"/>
    <row r="288" spans="1:107">
      <c r="B288" s="58" t="s">
        <v>684</v>
      </c>
    </row>
    <row r="292" spans="1:116">
      <c r="BB292" s="319" t="s">
        <v>204</v>
      </c>
      <c r="BC292" s="319" t="s">
        <v>203</v>
      </c>
      <c r="BD292" s="319" t="s">
        <v>202</v>
      </c>
      <c r="BE292" s="319" t="s">
        <v>201</v>
      </c>
      <c r="BF292" s="319"/>
      <c r="BG292" s="319" t="s">
        <v>432</v>
      </c>
      <c r="BH292" s="319" t="s">
        <v>433</v>
      </c>
      <c r="BI292" s="319" t="s">
        <v>434</v>
      </c>
      <c r="BJ292" s="319" t="s">
        <v>435</v>
      </c>
      <c r="BK292" s="319" t="s">
        <v>436</v>
      </c>
      <c r="BL292" s="319" t="s">
        <v>437</v>
      </c>
      <c r="BM292" s="319" t="s">
        <v>438</v>
      </c>
      <c r="BN292" s="319" t="s">
        <v>439</v>
      </c>
      <c r="BO292" s="319" t="s">
        <v>440</v>
      </c>
      <c r="BP292" s="319"/>
      <c r="BQ292" s="319" t="s">
        <v>441</v>
      </c>
      <c r="BR292" s="319" t="s">
        <v>459</v>
      </c>
      <c r="BS292" s="319" t="s">
        <v>460</v>
      </c>
      <c r="BT292" s="319" t="s">
        <v>461</v>
      </c>
      <c r="BU292" s="320" t="s">
        <v>462</v>
      </c>
      <c r="BV292" s="320"/>
      <c r="BW292" s="320" t="s">
        <v>708</v>
      </c>
      <c r="BX292" s="320"/>
      <c r="BY292" s="320" t="s">
        <v>709</v>
      </c>
      <c r="BZ292" s="307" t="s">
        <v>200</v>
      </c>
      <c r="CA292" s="307" t="s">
        <v>199</v>
      </c>
      <c r="CB292" s="307" t="s">
        <v>198</v>
      </c>
      <c r="CC292" s="307"/>
      <c r="CD292" s="307" t="s">
        <v>197</v>
      </c>
      <c r="CE292" s="307"/>
      <c r="CF292" s="307" t="s">
        <v>196</v>
      </c>
      <c r="CG292" s="307"/>
      <c r="CH292" s="307" t="s">
        <v>195</v>
      </c>
      <c r="CI292" s="307" t="s">
        <v>194</v>
      </c>
      <c r="CJ292" s="307" t="s">
        <v>193</v>
      </c>
      <c r="CK292" s="307"/>
      <c r="CL292" s="307"/>
      <c r="CM292" s="307" t="s">
        <v>192</v>
      </c>
      <c r="CN292" s="307" t="s">
        <v>191</v>
      </c>
      <c r="CO292" s="307" t="s">
        <v>190</v>
      </c>
      <c r="CP292" s="307" t="s">
        <v>189</v>
      </c>
      <c r="CQ292" s="307" t="s">
        <v>188</v>
      </c>
      <c r="CR292" s="307" t="s">
        <v>187</v>
      </c>
      <c r="CS292" s="313" t="s">
        <v>186</v>
      </c>
      <c r="CT292" s="313" t="s">
        <v>710</v>
      </c>
      <c r="CU292" s="313" t="s">
        <v>711</v>
      </c>
    </row>
    <row r="293" spans="1:116">
      <c r="BB293" s="315">
        <f>4.15*4.3</f>
        <v>17.845000000000002</v>
      </c>
      <c r="BC293" s="305">
        <f>2.1*2.4</f>
        <v>5.04</v>
      </c>
      <c r="BD293" s="315">
        <f>4.15*4.3</f>
        <v>17.845000000000002</v>
      </c>
      <c r="BE293" s="305">
        <f>2.1*2.4</f>
        <v>5.04</v>
      </c>
      <c r="BF293" s="305"/>
      <c r="BG293" s="305">
        <f>7*2.4</f>
        <v>16.8</v>
      </c>
      <c r="BH293" s="305">
        <f>2*2.4</f>
        <v>4.8</v>
      </c>
      <c r="BI293" s="305">
        <f>2*2.4</f>
        <v>4.8</v>
      </c>
      <c r="BJ293" s="305">
        <f>2.1*2.4</f>
        <v>5.04</v>
      </c>
      <c r="BK293" s="305">
        <f>1*2.4</f>
        <v>2.4</v>
      </c>
      <c r="BL293" s="305">
        <f>1*2.4</f>
        <v>2.4</v>
      </c>
      <c r="BM293" s="305">
        <f>1*2.4</f>
        <v>2.4</v>
      </c>
      <c r="BN293" s="305">
        <f>1.3*2.4</f>
        <v>3.12</v>
      </c>
      <c r="BO293" s="305">
        <f>1*2.05</f>
        <v>2.0499999999999998</v>
      </c>
      <c r="BP293" s="305"/>
      <c r="BQ293" s="305">
        <f>1*2.4</f>
        <v>2.4</v>
      </c>
      <c r="BR293" s="305">
        <f>(2*2.4)+(0.4*5.1)</f>
        <v>6.84</v>
      </c>
      <c r="BS293" s="305">
        <f>1*2.4</f>
        <v>2.4</v>
      </c>
      <c r="BT293" s="305">
        <f>6.7*2.7</f>
        <v>18.090000000000003</v>
      </c>
      <c r="BU293" s="305">
        <f>5.5*2.5</f>
        <v>13.75</v>
      </c>
      <c r="BV293" s="305"/>
      <c r="BW293" s="305"/>
      <c r="BX293" s="305"/>
      <c r="BY293" s="305"/>
      <c r="BZ293" s="315">
        <f>1.65*5.1</f>
        <v>8.4149999999999991</v>
      </c>
      <c r="CA293" s="315">
        <f>5.1*1.65</f>
        <v>8.4149999999999991</v>
      </c>
      <c r="CB293" s="305">
        <f>1.8*1.65</f>
        <v>2.9699999999999998</v>
      </c>
      <c r="CC293" s="305"/>
      <c r="CD293" s="315">
        <f>1.65*5.1</f>
        <v>8.4149999999999991</v>
      </c>
      <c r="CE293" s="315"/>
      <c r="CF293" s="315">
        <f>1.75*1.65</f>
        <v>2.8874999999999997</v>
      </c>
      <c r="CG293" s="315"/>
      <c r="CH293" s="305">
        <f>0.6*2.3</f>
        <v>1.38</v>
      </c>
      <c r="CI293" s="315">
        <f>1.7*1.65</f>
        <v>2.8049999999999997</v>
      </c>
      <c r="CJ293" s="315">
        <f>1.9*1.2</f>
        <v>2.2799999999999998</v>
      </c>
      <c r="CK293" s="315"/>
      <c r="CL293" s="315"/>
      <c r="CM293" s="305">
        <f>7.5*2.4</f>
        <v>18</v>
      </c>
      <c r="CN293" s="305">
        <f>1.8*1.65</f>
        <v>2.9699999999999998</v>
      </c>
      <c r="CO293" s="315">
        <f>5.1*1.65</f>
        <v>8.4149999999999991</v>
      </c>
      <c r="CP293" s="315">
        <f>1.75*1.65</f>
        <v>2.8874999999999997</v>
      </c>
      <c r="CQ293" s="315">
        <f>6.35*1.65</f>
        <v>10.477499999999999</v>
      </c>
      <c r="CR293" s="315">
        <f>11.95*1.65</f>
        <v>19.717499999999998</v>
      </c>
      <c r="CS293" s="315">
        <f>5.6*1.3</f>
        <v>7.2799999999999994</v>
      </c>
      <c r="CT293" s="315"/>
      <c r="CU293" s="315"/>
    </row>
    <row r="294" spans="1:116">
      <c r="BB294" s="317">
        <v>4.1500000000000004</v>
      </c>
      <c r="BC294" s="317">
        <v>2.1</v>
      </c>
      <c r="BD294" s="317">
        <v>4.1500000000000004</v>
      </c>
      <c r="BE294" s="317">
        <v>2.1</v>
      </c>
      <c r="BF294" s="317"/>
      <c r="BG294" s="317">
        <v>7</v>
      </c>
      <c r="BH294" s="317">
        <f>2</f>
        <v>2</v>
      </c>
      <c r="BI294" s="317">
        <f>2</f>
        <v>2</v>
      </c>
      <c r="BJ294" s="317">
        <v>2.1</v>
      </c>
      <c r="BK294" s="317">
        <v>1.1000000000000001</v>
      </c>
      <c r="BL294" s="317">
        <v>1.1000000000000001</v>
      </c>
      <c r="BM294" s="317">
        <v>1.1000000000000001</v>
      </c>
      <c r="BN294" s="317">
        <v>1.3</v>
      </c>
      <c r="BO294" s="317">
        <v>1.1000000000000001</v>
      </c>
      <c r="BP294" s="317"/>
      <c r="BQ294" s="317">
        <v>1.1000000000000001</v>
      </c>
      <c r="BR294" s="317">
        <v>5.0999999999999996</v>
      </c>
      <c r="BS294" s="317">
        <v>1.1000000000000001</v>
      </c>
      <c r="BT294" s="317">
        <v>6.7</v>
      </c>
      <c r="BU294" s="317" t="s">
        <v>571</v>
      </c>
      <c r="BV294" s="317"/>
      <c r="BW294" s="317"/>
      <c r="BX294" s="317"/>
      <c r="BY294" s="317"/>
      <c r="BZ294" s="331">
        <f>5.1*2</f>
        <v>10.199999999999999</v>
      </c>
      <c r="CA294" s="331">
        <f>5.1*2</f>
        <v>10.199999999999999</v>
      </c>
      <c r="CB294" s="317">
        <f>1.8*2</f>
        <v>3.6</v>
      </c>
      <c r="CC294" s="317"/>
      <c r="CD294" s="331">
        <f>5.1*2</f>
        <v>10.199999999999999</v>
      </c>
      <c r="CE294" s="331"/>
      <c r="CF294" s="331">
        <f>1.75*2</f>
        <v>3.5</v>
      </c>
      <c r="CG294" s="331"/>
      <c r="CH294" s="317">
        <f>2.3*2</f>
        <v>4.5999999999999996</v>
      </c>
      <c r="CI294" s="331">
        <f>1.7*2</f>
        <v>3.4</v>
      </c>
      <c r="CJ294" s="331">
        <f>1.9*2</f>
        <v>3.8</v>
      </c>
      <c r="CK294" s="331"/>
      <c r="CL294" s="331"/>
      <c r="CM294" s="317">
        <f>7.5*2</f>
        <v>15</v>
      </c>
      <c r="CN294" s="317">
        <f>1.8*2</f>
        <v>3.6</v>
      </c>
      <c r="CO294" s="331">
        <f>5.1*2</f>
        <v>10.199999999999999</v>
      </c>
      <c r="CP294" s="331">
        <f>1.75*2</f>
        <v>3.5</v>
      </c>
      <c r="CQ294" s="331">
        <f>6.35*2</f>
        <v>12.7</v>
      </c>
      <c r="CR294" s="317">
        <f>11.95*2</f>
        <v>23.9</v>
      </c>
      <c r="CS294" s="317"/>
      <c r="CT294" s="317"/>
      <c r="CU294" s="317"/>
    </row>
    <row r="295" spans="1:116">
      <c r="BB295" s="317">
        <f>4.3*2</f>
        <v>8.6</v>
      </c>
      <c r="BC295" s="317">
        <f>2.4*2</f>
        <v>4.8</v>
      </c>
      <c r="BD295" s="317">
        <f>4.3*2</f>
        <v>8.6</v>
      </c>
      <c r="BE295" s="317">
        <f t="shared" ref="BE295:BN295" si="111">2.4*2</f>
        <v>4.8</v>
      </c>
      <c r="BF295" s="317"/>
      <c r="BG295" s="317">
        <f t="shared" si="111"/>
        <v>4.8</v>
      </c>
      <c r="BH295" s="317">
        <f t="shared" si="111"/>
        <v>4.8</v>
      </c>
      <c r="BI295" s="317">
        <f t="shared" si="111"/>
        <v>4.8</v>
      </c>
      <c r="BJ295" s="317">
        <f t="shared" si="111"/>
        <v>4.8</v>
      </c>
      <c r="BK295" s="317">
        <f t="shared" si="111"/>
        <v>4.8</v>
      </c>
      <c r="BL295" s="317">
        <f t="shared" si="111"/>
        <v>4.8</v>
      </c>
      <c r="BM295" s="317">
        <f t="shared" si="111"/>
        <v>4.8</v>
      </c>
      <c r="BN295" s="317">
        <f t="shared" si="111"/>
        <v>4.8</v>
      </c>
      <c r="BO295" s="317">
        <f>2.05*2</f>
        <v>4.0999999999999996</v>
      </c>
      <c r="BP295" s="317"/>
      <c r="BQ295" s="317">
        <f>2.4*2</f>
        <v>4.8</v>
      </c>
      <c r="BR295" s="317">
        <f>2.8*2</f>
        <v>5.6</v>
      </c>
      <c r="BS295" s="317">
        <f>2.4*2</f>
        <v>4.8</v>
      </c>
      <c r="BT295" s="317">
        <f>2.7*2</f>
        <v>5.4</v>
      </c>
      <c r="BU295" s="317">
        <f>2.5*2</f>
        <v>5</v>
      </c>
      <c r="BV295" s="317"/>
      <c r="BW295" s="317"/>
      <c r="BX295" s="317"/>
      <c r="BY295" s="317"/>
      <c r="BZ295" s="331">
        <f>1.65*2</f>
        <v>3.3</v>
      </c>
      <c r="CA295" s="331">
        <f>1.65*2</f>
        <v>3.3</v>
      </c>
      <c r="CB295" s="331">
        <f>1.65*2</f>
        <v>3.3</v>
      </c>
      <c r="CC295" s="331"/>
      <c r="CD295" s="331">
        <f>1.65*2</f>
        <v>3.3</v>
      </c>
      <c r="CE295" s="331"/>
      <c r="CF295" s="331">
        <f>1.65*2</f>
        <v>3.3</v>
      </c>
      <c r="CG295" s="331"/>
      <c r="CH295" s="317">
        <f>0.6*2</f>
        <v>1.2</v>
      </c>
      <c r="CI295" s="331">
        <f>1.65*2</f>
        <v>3.3</v>
      </c>
      <c r="CJ295" s="331">
        <f>1.2*2</f>
        <v>2.4</v>
      </c>
      <c r="CK295" s="331"/>
      <c r="CL295" s="331"/>
      <c r="CM295" s="317">
        <f>2.4*2</f>
        <v>4.8</v>
      </c>
      <c r="CN295" s="331">
        <f>1.65*2</f>
        <v>3.3</v>
      </c>
      <c r="CO295" s="331">
        <f>1.65*2</f>
        <v>3.3</v>
      </c>
      <c r="CP295" s="331">
        <f>1.65*2</f>
        <v>3.3</v>
      </c>
      <c r="CQ295" s="331">
        <f>1.65*2</f>
        <v>3.3</v>
      </c>
      <c r="CR295" s="331">
        <f>1.65*2</f>
        <v>3.3</v>
      </c>
      <c r="CS295" s="317" t="s">
        <v>588</v>
      </c>
      <c r="CT295" s="317"/>
      <c r="CU295" s="317"/>
    </row>
    <row r="296" spans="1:116">
      <c r="BB296" s="321" t="s">
        <v>175</v>
      </c>
      <c r="BC296" s="321" t="s">
        <v>175</v>
      </c>
      <c r="BD296" s="321" t="s">
        <v>175</v>
      </c>
      <c r="BE296" s="321" t="s">
        <v>175</v>
      </c>
      <c r="BF296" s="321"/>
      <c r="BG296" s="321" t="s">
        <v>175</v>
      </c>
      <c r="BH296" s="321" t="s">
        <v>175</v>
      </c>
      <c r="BI296" s="321" t="s">
        <v>175</v>
      </c>
      <c r="BJ296" s="321" t="s">
        <v>175</v>
      </c>
      <c r="BK296" s="321" t="s">
        <v>175</v>
      </c>
      <c r="BL296" s="321" t="s">
        <v>175</v>
      </c>
      <c r="BM296" s="321" t="s">
        <v>175</v>
      </c>
      <c r="BN296" s="321" t="s">
        <v>175</v>
      </c>
      <c r="BO296" s="321" t="s">
        <v>175</v>
      </c>
      <c r="BP296" s="321"/>
      <c r="BQ296" s="321" t="s">
        <v>175</v>
      </c>
      <c r="BR296" s="321" t="s">
        <v>175</v>
      </c>
      <c r="BS296" s="321" t="s">
        <v>175</v>
      </c>
      <c r="BT296" s="321" t="s">
        <v>175</v>
      </c>
      <c r="BU296" s="321" t="s">
        <v>175</v>
      </c>
      <c r="BV296" s="321"/>
      <c r="BW296" s="321"/>
      <c r="BX296" s="321"/>
      <c r="BY296" s="321"/>
      <c r="BZ296" s="321" t="s">
        <v>175</v>
      </c>
      <c r="CA296" s="321" t="s">
        <v>175</v>
      </c>
      <c r="CB296" s="321" t="s">
        <v>175</v>
      </c>
      <c r="CC296" s="321"/>
      <c r="CD296" s="321" t="s">
        <v>175</v>
      </c>
      <c r="CE296" s="321"/>
      <c r="CF296" s="321" t="s">
        <v>175</v>
      </c>
      <c r="CG296" s="321"/>
      <c r="CH296" s="321" t="s">
        <v>175</v>
      </c>
      <c r="CI296" s="321" t="s">
        <v>175</v>
      </c>
      <c r="CJ296" s="321" t="s">
        <v>175</v>
      </c>
      <c r="CK296" s="321"/>
      <c r="CL296" s="321"/>
      <c r="CM296" s="321" t="s">
        <v>175</v>
      </c>
      <c r="CN296" s="321" t="s">
        <v>175</v>
      </c>
      <c r="CO296" s="321" t="s">
        <v>175</v>
      </c>
      <c r="CP296" s="321" t="s">
        <v>175</v>
      </c>
      <c r="CQ296" s="321" t="s">
        <v>175</v>
      </c>
      <c r="CR296" s="321" t="s">
        <v>175</v>
      </c>
      <c r="CS296" s="321" t="s">
        <v>175</v>
      </c>
      <c r="CT296" s="321"/>
      <c r="CU296" s="321"/>
    </row>
    <row r="297" spans="1:116" s="61" customFormat="1" ht="20.25">
      <c r="A297" s="335"/>
      <c r="B297" s="336"/>
      <c r="C297" s="337"/>
      <c r="D297" s="338"/>
      <c r="E297" s="338"/>
      <c r="F297" s="338"/>
      <c r="G297" s="338"/>
      <c r="H297" s="338"/>
      <c r="I297" s="338"/>
      <c r="J297" s="338"/>
      <c r="K297" s="338"/>
      <c r="L297" s="338"/>
      <c r="M297" s="338"/>
      <c r="N297" s="338"/>
      <c r="O297" s="338"/>
      <c r="P297" s="339"/>
      <c r="Q297" s="339"/>
      <c r="R297" s="339"/>
      <c r="S297" s="339"/>
      <c r="T297" s="340"/>
      <c r="U297" s="341"/>
      <c r="V297" s="341"/>
      <c r="W297" s="341"/>
      <c r="X297" s="337"/>
      <c r="Y297" s="337"/>
      <c r="Z297" s="337"/>
      <c r="AA297" s="337"/>
      <c r="AB297" s="337"/>
      <c r="AC297" s="337"/>
      <c r="AD297" s="337"/>
      <c r="AE297" s="337"/>
      <c r="AF297" s="337"/>
      <c r="AG297" s="337"/>
      <c r="AH297" s="337"/>
      <c r="AI297" s="337"/>
      <c r="AJ297" s="337"/>
      <c r="AK297" s="337"/>
      <c r="AL297" s="337"/>
      <c r="AM297" s="337"/>
      <c r="AN297" s="337"/>
      <c r="AO297" s="337"/>
      <c r="AP297" s="342"/>
      <c r="AQ297" s="343"/>
      <c r="AR297" s="341"/>
      <c r="AS297" s="337"/>
      <c r="AT297" s="337"/>
      <c r="AU297" s="337"/>
      <c r="AV297" s="343"/>
      <c r="AW297" s="341"/>
      <c r="AX297" s="337"/>
      <c r="AY297" s="343"/>
      <c r="AZ297" s="344"/>
      <c r="BA297" s="345"/>
      <c r="BB297" s="345"/>
      <c r="BC297" s="345"/>
      <c r="BD297" s="345"/>
      <c r="BE297" s="345"/>
      <c r="BF297" s="345"/>
      <c r="BG297" s="345"/>
      <c r="BH297" s="345"/>
      <c r="BI297" s="345"/>
      <c r="BJ297" s="345"/>
      <c r="BK297" s="345"/>
      <c r="BL297" s="345"/>
      <c r="BM297" s="345"/>
      <c r="BN297" s="345"/>
      <c r="BO297" s="345"/>
      <c r="BP297" s="345"/>
      <c r="BQ297" s="345"/>
      <c r="BR297" s="345"/>
      <c r="BS297" s="345"/>
      <c r="BT297" s="345"/>
      <c r="BU297" s="345"/>
      <c r="BV297" s="345"/>
      <c r="BW297" s="345"/>
      <c r="BX297" s="345"/>
      <c r="BY297" s="345"/>
      <c r="BZ297" s="345"/>
      <c r="CA297" s="345"/>
      <c r="CB297" s="345"/>
      <c r="CC297" s="346"/>
      <c r="CD297" s="346"/>
      <c r="CE297" s="346"/>
      <c r="CF297" s="346"/>
      <c r="CG297" s="346"/>
      <c r="CH297" s="346"/>
      <c r="CI297" s="346"/>
      <c r="CJ297" s="346"/>
      <c r="CK297" s="346"/>
      <c r="CL297" s="346"/>
      <c r="CM297" s="346"/>
      <c r="CN297" s="346"/>
      <c r="CO297" s="346"/>
      <c r="CP297" s="346"/>
      <c r="CQ297" s="346"/>
      <c r="CR297" s="346"/>
      <c r="CS297" s="346"/>
      <c r="CT297" s="346"/>
      <c r="CU297" s="346"/>
      <c r="CV297" s="346"/>
      <c r="CW297" s="346"/>
      <c r="CX297" s="346"/>
      <c r="CY297" s="346"/>
      <c r="CZ297" s="346"/>
      <c r="DA297" s="346"/>
      <c r="DB297" s="346"/>
      <c r="DC297" s="340"/>
    </row>
    <row r="298" spans="1:116">
      <c r="A298" s="347"/>
      <c r="B298" s="348" t="s">
        <v>174</v>
      </c>
      <c r="C298" s="349"/>
      <c r="D298" s="350"/>
      <c r="E298" s="350"/>
      <c r="F298" s="350"/>
      <c r="G298" s="350"/>
      <c r="H298" s="350"/>
      <c r="I298" s="350"/>
      <c r="J298" s="350"/>
      <c r="K298" s="350"/>
      <c r="L298" s="350"/>
      <c r="M298" s="350"/>
      <c r="N298" s="350"/>
      <c r="O298" s="350"/>
      <c r="P298" s="351"/>
      <c r="Q298" s="351"/>
      <c r="R298" s="351"/>
      <c r="S298" s="351"/>
      <c r="T298" s="352"/>
      <c r="U298" s="353"/>
      <c r="V298" s="353"/>
      <c r="W298" s="353"/>
      <c r="X298" s="349"/>
      <c r="Y298" s="349"/>
      <c r="Z298" s="349"/>
      <c r="AA298" s="349"/>
      <c r="AB298" s="349"/>
      <c r="AC298" s="349"/>
      <c r="AD298" s="349"/>
      <c r="AE298" s="349"/>
      <c r="AF298" s="349"/>
      <c r="AG298" s="349"/>
      <c r="AH298" s="349"/>
      <c r="AI298" s="349"/>
      <c r="AJ298" s="349"/>
      <c r="AK298" s="349"/>
      <c r="AL298" s="349"/>
      <c r="AM298" s="349"/>
      <c r="AN298" s="349"/>
      <c r="AO298" s="349"/>
      <c r="AP298" s="354"/>
      <c r="AQ298" s="352"/>
      <c r="AR298" s="355"/>
      <c r="AS298" s="356"/>
      <c r="AT298" s="356"/>
      <c r="AU298" s="356"/>
      <c r="AV298" s="357"/>
      <c r="AW298" s="355"/>
      <c r="AX298" s="356"/>
      <c r="AY298" s="357"/>
      <c r="AZ298" s="358"/>
      <c r="BA298" s="350"/>
      <c r="BB298" s="350"/>
      <c r="BC298" s="350"/>
      <c r="BD298" s="350"/>
      <c r="BE298" s="350"/>
      <c r="BF298" s="350"/>
      <c r="BG298" s="350"/>
      <c r="BH298" s="350"/>
      <c r="BI298" s="350"/>
      <c r="BJ298" s="350"/>
      <c r="BK298" s="350"/>
      <c r="BL298" s="350"/>
      <c r="BM298" s="350"/>
      <c r="BN298" s="350"/>
      <c r="BO298" s="350"/>
      <c r="BP298" s="350"/>
      <c r="BQ298" s="350"/>
      <c r="BR298" s="350"/>
      <c r="BS298" s="350"/>
      <c r="BT298" s="350"/>
      <c r="BU298" s="350"/>
      <c r="BV298" s="350"/>
      <c r="BW298" s="350"/>
      <c r="BX298" s="350"/>
      <c r="BY298" s="350"/>
      <c r="BZ298" s="350"/>
      <c r="CA298" s="350"/>
      <c r="CB298" s="350"/>
      <c r="CC298" s="351"/>
      <c r="CD298" s="351"/>
      <c r="CE298" s="351"/>
      <c r="CF298" s="351"/>
      <c r="CG298" s="351"/>
      <c r="CH298" s="351"/>
      <c r="CI298" s="351"/>
      <c r="CJ298" s="351"/>
      <c r="CK298" s="351"/>
      <c r="CL298" s="351"/>
      <c r="CM298" s="351"/>
      <c r="CN298" s="351"/>
      <c r="CO298" s="351"/>
      <c r="CP298" s="351"/>
      <c r="CQ298" s="351"/>
      <c r="CR298" s="351"/>
      <c r="CS298" s="351"/>
      <c r="CT298" s="351"/>
      <c r="CU298" s="351"/>
      <c r="CV298" s="351"/>
      <c r="CW298" s="351"/>
      <c r="CX298" s="351"/>
      <c r="CY298" s="351"/>
      <c r="CZ298" s="351"/>
      <c r="DA298" s="351"/>
      <c r="DB298" s="351"/>
      <c r="DC298" s="359"/>
    </row>
    <row r="299" spans="1:116">
      <c r="A299" s="347"/>
      <c r="B299" s="358" t="s">
        <v>686</v>
      </c>
      <c r="C299" s="349"/>
      <c r="D299" s="350"/>
      <c r="E299" s="350"/>
      <c r="F299" s="350">
        <v>21</v>
      </c>
      <c r="G299" s="350"/>
      <c r="H299" s="350"/>
      <c r="I299" s="350"/>
      <c r="J299" s="350"/>
      <c r="K299" s="350"/>
      <c r="L299" s="350"/>
      <c r="M299" s="350"/>
      <c r="N299" s="350"/>
      <c r="O299" s="350"/>
      <c r="P299" s="351"/>
      <c r="Q299" s="351"/>
      <c r="R299" s="351"/>
      <c r="S299" s="351"/>
      <c r="T299" s="352"/>
      <c r="U299" s="353"/>
      <c r="V299" s="353"/>
      <c r="W299" s="353"/>
      <c r="X299" s="349"/>
      <c r="Y299" s="349"/>
      <c r="Z299" s="349"/>
      <c r="AA299" s="349"/>
      <c r="AB299" s="349"/>
      <c r="AC299" s="349"/>
      <c r="AD299" s="349"/>
      <c r="AE299" s="349"/>
      <c r="AF299" s="349"/>
      <c r="AG299" s="349"/>
      <c r="AH299" s="349"/>
      <c r="AI299" s="349"/>
      <c r="AJ299" s="349"/>
      <c r="AK299" s="349"/>
      <c r="AL299" s="349"/>
      <c r="AM299" s="349"/>
      <c r="AN299" s="349"/>
      <c r="AO299" s="349"/>
      <c r="AP299" s="354"/>
      <c r="AQ299" s="352"/>
      <c r="AR299" s="355"/>
      <c r="AS299" s="356"/>
      <c r="AT299" s="356"/>
      <c r="AU299" s="356"/>
      <c r="AV299" s="357"/>
      <c r="AW299" s="355"/>
      <c r="AX299" s="356"/>
      <c r="AY299" s="357"/>
      <c r="AZ299" s="358"/>
      <c r="BA299" s="350"/>
      <c r="BB299" s="350"/>
      <c r="BC299" s="350"/>
      <c r="BD299" s="350"/>
      <c r="BE299" s="350"/>
      <c r="BF299" s="350"/>
      <c r="BG299" s="350"/>
      <c r="BH299" s="350"/>
      <c r="BI299" s="350"/>
      <c r="BJ299" s="350"/>
      <c r="BK299" s="350"/>
      <c r="BL299" s="350"/>
      <c r="BM299" s="350"/>
      <c r="BN299" s="350"/>
      <c r="BO299" s="350"/>
      <c r="BP299" s="350"/>
      <c r="BQ299" s="350"/>
      <c r="BR299" s="350"/>
      <c r="BS299" s="350"/>
      <c r="BT299" s="350"/>
      <c r="BU299" s="350"/>
      <c r="BV299" s="350"/>
      <c r="BW299" s="350"/>
      <c r="BX299" s="350"/>
      <c r="BY299" s="350"/>
      <c r="BZ299" s="350"/>
      <c r="CA299" s="350"/>
      <c r="CB299" s="350"/>
      <c r="CC299" s="351"/>
      <c r="CD299" s="351"/>
      <c r="CE299" s="351"/>
      <c r="CF299" s="351"/>
      <c r="CG299" s="351"/>
      <c r="CH299" s="351"/>
      <c r="CI299" s="351"/>
      <c r="CJ299" s="351"/>
      <c r="CK299" s="351"/>
      <c r="CL299" s="351"/>
      <c r="CM299" s="351"/>
      <c r="CN299" s="351"/>
      <c r="CO299" s="351"/>
      <c r="CP299" s="351"/>
      <c r="CQ299" s="351"/>
      <c r="CR299" s="351"/>
      <c r="CS299" s="351"/>
      <c r="CT299" s="351"/>
      <c r="CU299" s="351"/>
      <c r="CV299" s="351"/>
      <c r="CW299" s="351"/>
      <c r="CX299" s="351"/>
      <c r="CY299" s="351"/>
      <c r="CZ299" s="351"/>
      <c r="DA299" s="351"/>
      <c r="DB299" s="351"/>
      <c r="DC299" s="359"/>
    </row>
    <row r="300" spans="1:116" ht="18">
      <c r="A300" s="347"/>
      <c r="B300" s="447" t="s">
        <v>269</v>
      </c>
      <c r="C300" s="456">
        <v>2325</v>
      </c>
      <c r="D300" s="457"/>
      <c r="E300" s="458"/>
      <c r="F300" s="458"/>
      <c r="G300" s="350"/>
      <c r="H300" s="350"/>
      <c r="I300" s="350"/>
      <c r="J300" s="361"/>
      <c r="K300" s="350"/>
      <c r="L300" s="350"/>
      <c r="M300" s="350"/>
      <c r="N300" s="350"/>
      <c r="O300" s="350"/>
      <c r="P300" s="351"/>
      <c r="Q300" s="351"/>
      <c r="R300" s="351"/>
      <c r="S300" s="351"/>
      <c r="T300" s="352"/>
      <c r="U300" s="353"/>
      <c r="V300" s="353"/>
      <c r="W300" s="353"/>
      <c r="X300" s="349"/>
      <c r="Y300" s="349"/>
      <c r="Z300" s="349"/>
      <c r="AA300" s="349"/>
      <c r="AB300" s="349"/>
      <c r="AC300" s="349"/>
      <c r="AD300" s="349"/>
      <c r="AE300" s="349"/>
      <c r="AF300" s="349"/>
      <c r="AG300" s="349"/>
      <c r="AH300" s="349"/>
      <c r="AI300" s="349"/>
      <c r="AJ300" s="349"/>
      <c r="AK300" s="349"/>
      <c r="AL300" s="349"/>
      <c r="AM300" s="349"/>
      <c r="AN300" s="349"/>
      <c r="AO300" s="349"/>
      <c r="AP300" s="354"/>
      <c r="AQ300" s="352"/>
      <c r="AR300" s="355"/>
      <c r="AS300" s="356"/>
      <c r="AT300" s="362">
        <f>F300</f>
        <v>0</v>
      </c>
      <c r="AU300" s="356"/>
      <c r="AV300" s="357"/>
      <c r="AW300" s="355"/>
      <c r="AX300" s="356"/>
      <c r="AY300" s="357"/>
      <c r="AZ300" s="363">
        <v>1</v>
      </c>
      <c r="BA300" s="350"/>
      <c r="BB300" s="350"/>
      <c r="BC300" s="350"/>
      <c r="BD300" s="350"/>
      <c r="BE300" s="350"/>
      <c r="BF300" s="350"/>
      <c r="BG300" s="350"/>
      <c r="BH300" s="373">
        <v>1</v>
      </c>
      <c r="BI300" s="350"/>
      <c r="BJ300" s="350"/>
      <c r="BK300" s="350"/>
      <c r="BL300" s="350"/>
      <c r="BM300" s="350"/>
      <c r="BN300" s="350"/>
      <c r="BO300" s="350"/>
      <c r="BP300" s="350"/>
      <c r="BQ300" s="350"/>
      <c r="BR300" s="350"/>
      <c r="BS300" s="350"/>
      <c r="BT300" s="350"/>
      <c r="BU300" s="350"/>
      <c r="BV300" s="350"/>
      <c r="BW300" s="350"/>
      <c r="BX300" s="350"/>
      <c r="BY300" s="350"/>
      <c r="BZ300" s="350"/>
      <c r="CA300" s="350"/>
      <c r="CB300" s="350"/>
      <c r="CC300" s="351"/>
      <c r="CD300" s="351"/>
      <c r="CE300" s="351"/>
      <c r="CF300" s="351"/>
      <c r="CG300" s="351"/>
      <c r="CH300" s="351"/>
      <c r="CI300" s="351"/>
      <c r="CJ300" s="351"/>
      <c r="CK300" s="351"/>
      <c r="CL300" s="351"/>
      <c r="CM300" s="351"/>
      <c r="CN300" s="351"/>
      <c r="CO300" s="351"/>
      <c r="CP300" s="351"/>
      <c r="CQ300" s="351"/>
      <c r="CR300" s="351"/>
      <c r="CS300" s="351"/>
      <c r="CT300" s="351"/>
      <c r="CU300" s="351"/>
      <c r="CV300" s="351"/>
      <c r="CW300" s="351"/>
      <c r="CX300" s="351"/>
      <c r="CY300" s="351"/>
      <c r="CZ300" s="351"/>
      <c r="DA300" s="351"/>
      <c r="DB300" s="351"/>
      <c r="DC300" s="359"/>
      <c r="DL300" s="364"/>
    </row>
    <row r="301" spans="1:116" s="59" customFormat="1" ht="18">
      <c r="A301" s="365"/>
      <c r="B301" s="447" t="s">
        <v>292</v>
      </c>
      <c r="C301" s="456">
        <v>13</v>
      </c>
      <c r="D301" s="459"/>
      <c r="E301" s="460"/>
      <c r="F301" s="460"/>
      <c r="G301" s="349"/>
      <c r="H301" s="367"/>
      <c r="I301" s="349"/>
      <c r="J301" s="349"/>
      <c r="K301" s="367"/>
      <c r="L301" s="349"/>
      <c r="M301" s="349"/>
      <c r="N301" s="349"/>
      <c r="O301" s="349"/>
      <c r="P301" s="354"/>
      <c r="Q301" s="354"/>
      <c r="R301" s="354"/>
      <c r="S301" s="354"/>
      <c r="T301" s="352"/>
      <c r="U301" s="353"/>
      <c r="V301" s="353"/>
      <c r="W301" s="353"/>
      <c r="X301" s="349"/>
      <c r="Y301" s="349"/>
      <c r="Z301" s="349"/>
      <c r="AA301" s="349"/>
      <c r="AB301" s="349"/>
      <c r="AC301" s="349"/>
      <c r="AD301" s="349"/>
      <c r="AE301" s="349"/>
      <c r="AF301" s="349"/>
      <c r="AG301" s="349"/>
      <c r="AH301" s="349"/>
      <c r="AI301" s="349"/>
      <c r="AJ301" s="349"/>
      <c r="AK301" s="349"/>
      <c r="AL301" s="349"/>
      <c r="AM301" s="349"/>
      <c r="AN301" s="349"/>
      <c r="AO301" s="349"/>
      <c r="AP301" s="354"/>
      <c r="AQ301" s="352"/>
      <c r="AR301" s="353"/>
      <c r="AS301" s="349"/>
      <c r="AT301" s="367"/>
      <c r="AU301" s="349"/>
      <c r="AV301" s="352"/>
      <c r="AW301" s="353"/>
      <c r="AX301" s="349"/>
      <c r="AY301" s="352"/>
      <c r="AZ301" s="353"/>
      <c r="BA301" s="349"/>
      <c r="BB301" s="349"/>
      <c r="BC301" s="349"/>
      <c r="BD301" s="349"/>
      <c r="BE301" s="349"/>
      <c r="BF301" s="349"/>
      <c r="BG301" s="349"/>
      <c r="BH301" s="349"/>
      <c r="BI301" s="349"/>
      <c r="BJ301" s="349"/>
      <c r="BK301" s="349"/>
      <c r="BL301" s="349"/>
      <c r="BM301" s="349"/>
      <c r="BN301" s="349"/>
      <c r="BO301" s="349"/>
      <c r="BP301" s="349"/>
      <c r="BQ301" s="349"/>
      <c r="BR301" s="349"/>
      <c r="BS301" s="349"/>
      <c r="BT301" s="349"/>
      <c r="BU301" s="349"/>
      <c r="BV301" s="349"/>
      <c r="BW301" s="349"/>
      <c r="BX301" s="349"/>
      <c r="BY301" s="349"/>
      <c r="BZ301" s="349"/>
      <c r="CA301" s="349"/>
      <c r="CB301" s="349"/>
      <c r="CC301" s="354"/>
      <c r="CD301" s="354"/>
      <c r="CE301" s="354"/>
      <c r="CF301" s="354"/>
      <c r="CG301" s="354"/>
      <c r="CH301" s="354"/>
      <c r="CI301" s="354"/>
      <c r="CJ301" s="354"/>
      <c r="CK301" s="354"/>
      <c r="CL301" s="354"/>
      <c r="CM301" s="354"/>
      <c r="CN301" s="354"/>
      <c r="CO301" s="354"/>
      <c r="CP301" s="354"/>
      <c r="CQ301" s="354"/>
      <c r="CR301" s="354"/>
      <c r="CS301" s="354"/>
      <c r="CT301" s="354"/>
      <c r="CU301" s="354"/>
      <c r="CV301" s="354"/>
      <c r="CW301" s="354"/>
      <c r="CX301" s="354"/>
      <c r="CY301" s="354"/>
      <c r="CZ301" s="354"/>
      <c r="DA301" s="354"/>
      <c r="DB301" s="354"/>
      <c r="DC301" s="352"/>
      <c r="DJ301" s="58"/>
      <c r="DL301" s="364"/>
    </row>
    <row r="302" spans="1:116" s="59" customFormat="1" ht="18">
      <c r="A302" s="368"/>
      <c r="B302" s="447" t="s">
        <v>300</v>
      </c>
      <c r="C302" s="456">
        <v>24</v>
      </c>
      <c r="D302" s="459"/>
      <c r="E302" s="460"/>
      <c r="F302" s="460"/>
      <c r="G302" s="349"/>
      <c r="H302" s="367"/>
      <c r="I302" s="349"/>
      <c r="J302" s="349"/>
      <c r="K302" s="367"/>
      <c r="L302" s="349"/>
      <c r="M302" s="349"/>
      <c r="N302" s="349"/>
      <c r="O302" s="349"/>
      <c r="P302" s="354"/>
      <c r="Q302" s="354"/>
      <c r="R302" s="354"/>
      <c r="S302" s="354"/>
      <c r="T302" s="352"/>
      <c r="U302" s="353">
        <f>ROUNDUP(((5.8*2)*4.7)-BJ285,0)</f>
        <v>55</v>
      </c>
      <c r="V302" s="353">
        <f>ROUNDUP((3.11*2)*4.7,0)</f>
        <v>30</v>
      </c>
      <c r="W302" s="353"/>
      <c r="X302" s="349"/>
      <c r="Y302" s="349"/>
      <c r="Z302" s="349">
        <f>ROUNDUP((11.3*4.7)-(BJ285+CB285),0)</f>
        <v>54</v>
      </c>
      <c r="AA302" s="349">
        <f>ROUNDUP((U302/2)+(V302*2),0)</f>
        <v>88</v>
      </c>
      <c r="AB302" s="349"/>
      <c r="AC302" s="349"/>
      <c r="AD302" s="349"/>
      <c r="AE302" s="349"/>
      <c r="AF302" s="349"/>
      <c r="AG302" s="349"/>
      <c r="AH302" s="349"/>
      <c r="AI302" s="349"/>
      <c r="AJ302" s="349"/>
      <c r="AK302" s="349"/>
      <c r="AL302" s="349"/>
      <c r="AM302" s="349"/>
      <c r="AN302" s="349">
        <f>ROUNDUP((3*4.7)+BJ287,0)</f>
        <v>15</v>
      </c>
      <c r="AO302" s="349"/>
      <c r="AP302" s="354"/>
      <c r="AQ302" s="352">
        <f>BJ286</f>
        <v>0</v>
      </c>
      <c r="AR302" s="353"/>
      <c r="AS302" s="349"/>
      <c r="AT302" s="367">
        <f>C302</f>
        <v>24</v>
      </c>
      <c r="AU302" s="349"/>
      <c r="AV302" s="352"/>
      <c r="AW302" s="353">
        <f t="shared" ref="AW302:AW310" si="112">AA302</f>
        <v>88</v>
      </c>
      <c r="AX302" s="349">
        <f t="shared" ref="AX302:AX307" si="113">Z302</f>
        <v>54</v>
      </c>
      <c r="AY302" s="352"/>
      <c r="AZ302" s="353"/>
      <c r="BA302" s="349"/>
      <c r="BB302" s="349"/>
      <c r="BC302" s="349"/>
      <c r="BD302" s="349"/>
      <c r="BE302" s="349"/>
      <c r="BF302" s="349"/>
      <c r="BG302" s="349"/>
      <c r="BH302" s="349"/>
      <c r="BI302" s="349"/>
      <c r="BJ302" s="367">
        <v>1</v>
      </c>
      <c r="BK302" s="349"/>
      <c r="BL302" s="349"/>
      <c r="BM302" s="349"/>
      <c r="BN302" s="349"/>
      <c r="BO302" s="349"/>
      <c r="BP302" s="349"/>
      <c r="BQ302" s="349"/>
      <c r="BR302" s="349"/>
      <c r="BS302" s="349"/>
      <c r="BT302" s="349"/>
      <c r="BU302" s="349"/>
      <c r="BV302" s="349"/>
      <c r="BW302" s="349"/>
      <c r="BX302" s="349"/>
      <c r="BY302" s="349"/>
      <c r="BZ302" s="349"/>
      <c r="CA302" s="349"/>
      <c r="CB302" s="349"/>
      <c r="CC302" s="354"/>
      <c r="CD302" s="354"/>
      <c r="CE302" s="354"/>
      <c r="CF302" s="354"/>
      <c r="CG302" s="354"/>
      <c r="CH302" s="354"/>
      <c r="CI302" s="354"/>
      <c r="CJ302" s="354"/>
      <c r="CK302" s="354"/>
      <c r="CL302" s="354"/>
      <c r="CM302" s="354"/>
      <c r="CN302" s="354"/>
      <c r="CO302" s="354"/>
      <c r="CP302" s="354"/>
      <c r="CQ302" s="354"/>
      <c r="CR302" s="354"/>
      <c r="CS302" s="354"/>
      <c r="CT302" s="354"/>
      <c r="CU302" s="354"/>
      <c r="CV302" s="354"/>
      <c r="CW302" s="354"/>
      <c r="CX302" s="354"/>
      <c r="CY302" s="354"/>
      <c r="CZ302" s="354"/>
      <c r="DA302" s="354"/>
      <c r="DB302" s="354"/>
      <c r="DC302" s="352"/>
      <c r="DJ302" s="58"/>
      <c r="DL302" s="364"/>
    </row>
    <row r="303" spans="1:116" s="59" customFormat="1" ht="18">
      <c r="A303" s="365"/>
      <c r="B303" s="447" t="s">
        <v>293</v>
      </c>
      <c r="C303" s="461"/>
      <c r="D303" s="459"/>
      <c r="E303" s="461">
        <v>35</v>
      </c>
      <c r="F303" s="460"/>
      <c r="G303" s="349"/>
      <c r="H303" s="349"/>
      <c r="I303" s="349"/>
      <c r="J303" s="349"/>
      <c r="K303" s="349"/>
      <c r="L303" s="349"/>
      <c r="M303" s="349"/>
      <c r="N303" s="349"/>
      <c r="O303" s="349"/>
      <c r="P303" s="354"/>
      <c r="Q303" s="354"/>
      <c r="R303" s="354"/>
      <c r="S303" s="354"/>
      <c r="T303" s="352"/>
      <c r="U303" s="353">
        <f>ROUNDUP(((68.74+2.5+7.2+2)*4.7)-(AZ285+(BA285*3)+BB285+(BC285*2)+BG285+(BY285*5)+BZ285),0)</f>
        <v>367</v>
      </c>
      <c r="V303" s="353"/>
      <c r="W303" s="353"/>
      <c r="X303" s="349"/>
      <c r="Y303" s="349"/>
      <c r="Z303" s="349">
        <f>ROUNDUP(U303-((2.5+7.2)*4.7),0)</f>
        <v>322</v>
      </c>
      <c r="AA303" s="349">
        <f>ROUNDUP(((5.4+0.3+3.3+17.9+2.5+12.32+13.8+6.3+2+68.7+5.5+4.95+1.9+2.5+2+2.3+0.3+7.2+0.3+0.7+11.6+3.5)*4.7)-(AZ285+(BA285*3)+BB285+BC285+(BG285*3)+(BK285*4)+BL285+(BW285*2)+(BY285*5)+BZ285+(CA285*2)+CB285),0)</f>
        <v>810</v>
      </c>
      <c r="AB303" s="349"/>
      <c r="AC303" s="349"/>
      <c r="AD303" s="349"/>
      <c r="AE303" s="349"/>
      <c r="AF303" s="349"/>
      <c r="AG303" s="349"/>
      <c r="AH303" s="349"/>
      <c r="AI303" s="349"/>
      <c r="AJ303" s="349"/>
      <c r="AK303" s="349"/>
      <c r="AL303" s="349"/>
      <c r="AM303" s="349"/>
      <c r="AN303" s="349">
        <f>ROUNDUP((AZ287+(BA287*3)+BB287+(BC287*2)+BG287+(BY287*5)+BZ287),0)</f>
        <v>0</v>
      </c>
      <c r="AO303" s="349"/>
      <c r="AP303" s="354"/>
      <c r="AQ303" s="352">
        <f>ROUNDUP((AZ286+(BA286*3)+BB286+(BC286*2)+BG286+(BY286*2)+BZ286),0)</f>
        <v>0</v>
      </c>
      <c r="AR303" s="366">
        <f>D303</f>
        <v>0</v>
      </c>
      <c r="AS303" s="349"/>
      <c r="AT303" s="349"/>
      <c r="AU303" s="349"/>
      <c r="AV303" s="352"/>
      <c r="AW303" s="353">
        <f t="shared" si="112"/>
        <v>810</v>
      </c>
      <c r="AX303" s="349">
        <f t="shared" si="113"/>
        <v>322</v>
      </c>
      <c r="AY303" s="369">
        <f t="shared" ref="AY303:AY310" si="114">AR303</f>
        <v>0</v>
      </c>
      <c r="AZ303" s="353"/>
      <c r="BA303" s="349"/>
      <c r="BB303" s="349"/>
      <c r="BC303" s="349"/>
      <c r="BD303" s="349"/>
      <c r="BE303" s="367"/>
      <c r="BF303" s="367"/>
      <c r="BG303" s="367">
        <v>1</v>
      </c>
      <c r="BH303" s="349"/>
      <c r="BI303" s="349"/>
      <c r="BJ303" s="349"/>
      <c r="BK303" s="349"/>
      <c r="BL303" s="349"/>
      <c r="BM303" s="349"/>
      <c r="BN303" s="349"/>
      <c r="BO303" s="367"/>
      <c r="BP303" s="367"/>
      <c r="BQ303" s="349"/>
      <c r="BR303" s="349"/>
      <c r="BS303" s="349"/>
      <c r="BT303" s="349"/>
      <c r="BU303" s="349"/>
      <c r="BV303" s="349"/>
      <c r="BW303" s="349"/>
      <c r="BX303" s="349"/>
      <c r="BY303" s="349"/>
      <c r="BZ303" s="349"/>
      <c r="CA303" s="349"/>
      <c r="CB303" s="349"/>
      <c r="CC303" s="354"/>
      <c r="CD303" s="354"/>
      <c r="CE303" s="354"/>
      <c r="CF303" s="354"/>
      <c r="CG303" s="354"/>
      <c r="CH303" s="354"/>
      <c r="CI303" s="354"/>
      <c r="CJ303" s="354"/>
      <c r="CK303" s="354"/>
      <c r="CL303" s="354"/>
      <c r="CM303" s="354"/>
      <c r="CN303" s="354"/>
      <c r="CO303" s="354"/>
      <c r="CP303" s="354"/>
      <c r="CQ303" s="354"/>
      <c r="CR303" s="354"/>
      <c r="CS303" s="354"/>
      <c r="CT303" s="354"/>
      <c r="CU303" s="354"/>
      <c r="CV303" s="354"/>
      <c r="CW303" s="354"/>
      <c r="CX303" s="354"/>
      <c r="CY303" s="354"/>
      <c r="CZ303" s="354"/>
      <c r="DA303" s="354"/>
      <c r="DB303" s="354"/>
      <c r="DC303" s="352"/>
      <c r="DJ303" s="58"/>
      <c r="DL303" s="364"/>
    </row>
    <row r="304" spans="1:116" s="59" customFormat="1" ht="18">
      <c r="A304" s="365"/>
      <c r="B304" s="447" t="s">
        <v>294</v>
      </c>
      <c r="C304" s="461"/>
      <c r="D304" s="459"/>
      <c r="E304" s="461">
        <v>35</v>
      </c>
      <c r="F304" s="460"/>
      <c r="G304" s="349"/>
      <c r="H304" s="349"/>
      <c r="I304" s="349"/>
      <c r="J304" s="349"/>
      <c r="K304" s="349"/>
      <c r="L304" s="349"/>
      <c r="M304" s="349"/>
      <c r="N304" s="349"/>
      <c r="O304" s="349"/>
      <c r="P304" s="354"/>
      <c r="Q304" s="354"/>
      <c r="R304" s="354"/>
      <c r="S304" s="354"/>
      <c r="T304" s="352"/>
      <c r="U304" s="353">
        <f>ROUNDUP((89.57*4.7)-((BA285*2)+BC285+(BW285*6)+(BY285*2)),0)</f>
        <v>409</v>
      </c>
      <c r="V304" s="353"/>
      <c r="W304" s="353"/>
      <c r="X304" s="349"/>
      <c r="Y304" s="349"/>
      <c r="Z304" s="349">
        <f>ROUNDUP(((6+8.8+36.4+8.7)*4.7)-((BA285*2)+BC285+(BW285*6)+(BY285*2)),0)</f>
        <v>270</v>
      </c>
      <c r="AA304" s="349">
        <f>U304</f>
        <v>409</v>
      </c>
      <c r="AB304" s="349"/>
      <c r="AC304" s="349"/>
      <c r="AD304" s="349"/>
      <c r="AE304" s="349"/>
      <c r="AF304" s="349"/>
      <c r="AG304" s="349"/>
      <c r="AH304" s="349"/>
      <c r="AI304" s="349"/>
      <c r="AJ304" s="349"/>
      <c r="AK304" s="349"/>
      <c r="AL304" s="349"/>
      <c r="AM304" s="349"/>
      <c r="AN304" s="349">
        <f>ROUNDUP((BA287*2)+BC287+(BW286*6)+(BY286*2),0)</f>
        <v>0</v>
      </c>
      <c r="AO304" s="349"/>
      <c r="AP304" s="354"/>
      <c r="AQ304" s="352">
        <f>ROUNDUP((BA286*2)+BC286+(BW286*6)+(BY286*2),0)</f>
        <v>0</v>
      </c>
      <c r="AR304" s="366">
        <f>D304</f>
        <v>0</v>
      </c>
      <c r="AS304" s="349"/>
      <c r="AT304" s="349"/>
      <c r="AU304" s="349"/>
      <c r="AV304" s="352"/>
      <c r="AW304" s="353">
        <f t="shared" si="112"/>
        <v>409</v>
      </c>
      <c r="AX304" s="349">
        <f t="shared" si="113"/>
        <v>270</v>
      </c>
      <c r="AY304" s="369">
        <f t="shared" si="114"/>
        <v>0</v>
      </c>
      <c r="AZ304" s="353"/>
      <c r="BA304" s="367">
        <v>2</v>
      </c>
      <c r="BB304" s="367"/>
      <c r="BC304" s="367">
        <v>1</v>
      </c>
      <c r="BD304" s="349"/>
      <c r="BE304" s="349"/>
      <c r="BF304" s="349"/>
      <c r="BG304" s="349"/>
      <c r="BH304" s="349"/>
      <c r="BI304" s="349"/>
      <c r="BJ304" s="349"/>
      <c r="BK304" s="349"/>
      <c r="BL304" s="349"/>
      <c r="BM304" s="349"/>
      <c r="BN304" s="349"/>
      <c r="BO304" s="349"/>
      <c r="BP304" s="349"/>
      <c r="BQ304" s="349"/>
      <c r="BR304" s="349"/>
      <c r="BS304" s="349"/>
      <c r="BT304" s="349"/>
      <c r="BU304" s="349"/>
      <c r="BV304" s="349"/>
      <c r="BW304" s="367">
        <v>6</v>
      </c>
      <c r="BX304" s="367"/>
      <c r="BY304" s="367">
        <v>2</v>
      </c>
      <c r="BZ304" s="349"/>
      <c r="CA304" s="349"/>
      <c r="CB304" s="349"/>
      <c r="CC304" s="354"/>
      <c r="CD304" s="354"/>
      <c r="CE304" s="354"/>
      <c r="CF304" s="354"/>
      <c r="CG304" s="354"/>
      <c r="CH304" s="354"/>
      <c r="CI304" s="354"/>
      <c r="CJ304" s="354"/>
      <c r="CK304" s="354"/>
      <c r="CL304" s="354"/>
      <c r="CM304" s="354"/>
      <c r="CN304" s="354"/>
      <c r="CO304" s="354"/>
      <c r="CP304" s="354"/>
      <c r="CQ304" s="354"/>
      <c r="CR304" s="354"/>
      <c r="CS304" s="354"/>
      <c r="CT304" s="354"/>
      <c r="CU304" s="354"/>
      <c r="CV304" s="354"/>
      <c r="CW304" s="354"/>
      <c r="CX304" s="354"/>
      <c r="CY304" s="354"/>
      <c r="CZ304" s="354"/>
      <c r="DA304" s="354"/>
      <c r="DB304" s="354"/>
      <c r="DC304" s="352"/>
      <c r="DJ304" s="58"/>
      <c r="DL304" s="364"/>
    </row>
    <row r="305" spans="1:116" s="59" customFormat="1" ht="18">
      <c r="A305" s="365"/>
      <c r="B305" s="447" t="s">
        <v>357</v>
      </c>
      <c r="C305" s="456"/>
      <c r="D305" s="456">
        <v>32</v>
      </c>
      <c r="E305" s="459"/>
      <c r="F305" s="460"/>
      <c r="G305" s="349"/>
      <c r="H305" s="349"/>
      <c r="I305" s="349"/>
      <c r="J305" s="349"/>
      <c r="K305" s="349"/>
      <c r="L305" s="349"/>
      <c r="M305" s="349"/>
      <c r="N305" s="349"/>
      <c r="O305" s="349"/>
      <c r="P305" s="354"/>
      <c r="Q305" s="354"/>
      <c r="R305" s="354"/>
      <c r="S305" s="354"/>
      <c r="T305" s="352"/>
      <c r="U305" s="353">
        <f>ROUNDUP((35.49*4.8)-(BB285+(BW285*2)+BY285),0)</f>
        <v>168</v>
      </c>
      <c r="V305" s="353"/>
      <c r="W305" s="353"/>
      <c r="X305" s="349"/>
      <c r="Y305" s="349"/>
      <c r="Z305" s="349">
        <f>ROUNDUP(((5.82+12.25)*4.8)-(BW285*2),0)</f>
        <v>85</v>
      </c>
      <c r="AA305" s="349">
        <f>U305</f>
        <v>168</v>
      </c>
      <c r="AB305" s="349"/>
      <c r="AC305" s="349"/>
      <c r="AD305" s="349"/>
      <c r="AE305" s="349"/>
      <c r="AF305" s="349"/>
      <c r="AG305" s="349"/>
      <c r="AH305" s="349"/>
      <c r="AI305" s="349"/>
      <c r="AJ305" s="349"/>
      <c r="AK305" s="349"/>
      <c r="AL305" s="349"/>
      <c r="AM305" s="349"/>
      <c r="AN305" s="349">
        <f>ROUNDUP((BB287+(BW287*2)+BY287),0)</f>
        <v>0</v>
      </c>
      <c r="AO305" s="349"/>
      <c r="AP305" s="354"/>
      <c r="AQ305" s="352">
        <f>ROUNDUP((BB286+(BW286*2)+BY286),0)</f>
        <v>0</v>
      </c>
      <c r="AR305" s="366">
        <f t="shared" ref="AR305:AR306" si="115">D305</f>
        <v>32</v>
      </c>
      <c r="AS305" s="349"/>
      <c r="AT305" s="349"/>
      <c r="AU305" s="349"/>
      <c r="AV305" s="352"/>
      <c r="AW305" s="353">
        <f t="shared" si="112"/>
        <v>168</v>
      </c>
      <c r="AX305" s="349">
        <f t="shared" si="113"/>
        <v>85</v>
      </c>
      <c r="AY305" s="369">
        <f t="shared" si="114"/>
        <v>32</v>
      </c>
      <c r="AZ305" s="353"/>
      <c r="BA305" s="349"/>
      <c r="BB305" s="367">
        <v>1</v>
      </c>
      <c r="BC305" s="349"/>
      <c r="BD305" s="349"/>
      <c r="BE305" s="349"/>
      <c r="BF305" s="349"/>
      <c r="BG305" s="349"/>
      <c r="BH305" s="349"/>
      <c r="BI305" s="349"/>
      <c r="BJ305" s="349"/>
      <c r="BK305" s="349"/>
      <c r="BL305" s="349"/>
      <c r="BM305" s="349"/>
      <c r="BN305" s="349"/>
      <c r="BO305" s="349"/>
      <c r="BP305" s="349"/>
      <c r="BQ305" s="349"/>
      <c r="BR305" s="349"/>
      <c r="BS305" s="349"/>
      <c r="BT305" s="349"/>
      <c r="BU305" s="349"/>
      <c r="BV305" s="349"/>
      <c r="BW305" s="367">
        <v>2</v>
      </c>
      <c r="BX305" s="367"/>
      <c r="BY305" s="367">
        <v>1</v>
      </c>
      <c r="BZ305" s="349"/>
      <c r="CA305" s="349"/>
      <c r="CB305" s="349"/>
      <c r="CC305" s="354"/>
      <c r="CD305" s="354"/>
      <c r="CE305" s="354"/>
      <c r="CF305" s="354"/>
      <c r="CG305" s="354"/>
      <c r="CH305" s="354"/>
      <c r="CI305" s="354"/>
      <c r="CJ305" s="354"/>
      <c r="CK305" s="354"/>
      <c r="CL305" s="354"/>
      <c r="CM305" s="354"/>
      <c r="CN305" s="354"/>
      <c r="CO305" s="354"/>
      <c r="CP305" s="354"/>
      <c r="CQ305" s="354"/>
      <c r="CR305" s="354"/>
      <c r="CS305" s="354"/>
      <c r="CT305" s="354"/>
      <c r="CU305" s="354"/>
      <c r="CV305" s="354"/>
      <c r="CW305" s="354"/>
      <c r="CX305" s="354"/>
      <c r="CY305" s="354"/>
      <c r="CZ305" s="354"/>
      <c r="DA305" s="354"/>
      <c r="DB305" s="354"/>
      <c r="DC305" s="352"/>
      <c r="DJ305" s="58"/>
      <c r="DL305" s="364"/>
    </row>
    <row r="306" spans="1:116" s="59" customFormat="1" ht="18">
      <c r="A306" s="365"/>
      <c r="B306" s="447" t="s">
        <v>365</v>
      </c>
      <c r="C306" s="456"/>
      <c r="D306" s="456">
        <v>32</v>
      </c>
      <c r="E306" s="459"/>
      <c r="F306" s="460"/>
      <c r="G306" s="349"/>
      <c r="H306" s="349"/>
      <c r="I306" s="349"/>
      <c r="J306" s="349"/>
      <c r="K306" s="349"/>
      <c r="L306" s="349"/>
      <c r="M306" s="349"/>
      <c r="N306" s="349"/>
      <c r="O306" s="349"/>
      <c r="P306" s="354"/>
      <c r="Q306" s="354"/>
      <c r="R306" s="354"/>
      <c r="S306" s="354"/>
      <c r="T306" s="352"/>
      <c r="U306" s="353">
        <f>ROUNDUP(((43.94+5.23+0.3+0.72+1.75)*4.8)-(BA285+(BW285*3)+(BY285*2)+BZ285),0)</f>
        <v>244</v>
      </c>
      <c r="V306" s="353"/>
      <c r="W306" s="353"/>
      <c r="X306" s="349"/>
      <c r="Y306" s="349"/>
      <c r="Z306" s="349">
        <f>ROUNDUP(((6.01+19.25)*4.8)-(BW285*3),0)</f>
        <v>119</v>
      </c>
      <c r="AA306" s="349">
        <f>U306</f>
        <v>244</v>
      </c>
      <c r="AB306" s="349"/>
      <c r="AC306" s="349"/>
      <c r="AD306" s="349"/>
      <c r="AE306" s="349"/>
      <c r="AF306" s="349"/>
      <c r="AG306" s="349"/>
      <c r="AH306" s="349"/>
      <c r="AI306" s="349"/>
      <c r="AJ306" s="349"/>
      <c r="AK306" s="349"/>
      <c r="AL306" s="349"/>
      <c r="AM306" s="349"/>
      <c r="AN306" s="349">
        <f>ROUNDUP(BA287+(BW287*3)+(BY287*2)+BZ287,0)</f>
        <v>0</v>
      </c>
      <c r="AO306" s="349">
        <v>4.8</v>
      </c>
      <c r="AP306" s="354"/>
      <c r="AQ306" s="352">
        <f>ROUNDUP(BA286+(BW286*3)+(BY286*2)+BZ286,0)</f>
        <v>0</v>
      </c>
      <c r="AR306" s="366">
        <f t="shared" si="115"/>
        <v>32</v>
      </c>
      <c r="AS306" s="349"/>
      <c r="AT306" s="349"/>
      <c r="AU306" s="349"/>
      <c r="AV306" s="352"/>
      <c r="AW306" s="353">
        <f t="shared" si="112"/>
        <v>244</v>
      </c>
      <c r="AX306" s="349">
        <f t="shared" si="113"/>
        <v>119</v>
      </c>
      <c r="AY306" s="369">
        <f t="shared" si="114"/>
        <v>32</v>
      </c>
      <c r="AZ306" s="353"/>
      <c r="BA306" s="367">
        <v>1</v>
      </c>
      <c r="BB306" s="349"/>
      <c r="BC306" s="349"/>
      <c r="BD306" s="349"/>
      <c r="BE306" s="349"/>
      <c r="BF306" s="349"/>
      <c r="BG306" s="349"/>
      <c r="BH306" s="349"/>
      <c r="BI306" s="349"/>
      <c r="BJ306" s="349"/>
      <c r="BK306" s="349"/>
      <c r="BL306" s="349"/>
      <c r="BM306" s="349"/>
      <c r="BN306" s="349"/>
      <c r="BO306" s="349"/>
      <c r="BP306" s="349"/>
      <c r="BQ306" s="349"/>
      <c r="BR306" s="349"/>
      <c r="BS306" s="349"/>
      <c r="BT306" s="349"/>
      <c r="BU306" s="349"/>
      <c r="BV306" s="349"/>
      <c r="BW306" s="367">
        <v>3</v>
      </c>
      <c r="BX306" s="367"/>
      <c r="BY306" s="367">
        <v>2</v>
      </c>
      <c r="BZ306" s="367">
        <v>1</v>
      </c>
      <c r="CA306" s="349"/>
      <c r="CB306" s="349"/>
      <c r="CC306" s="354"/>
      <c r="CD306" s="354"/>
      <c r="CE306" s="354"/>
      <c r="CF306" s="354"/>
      <c r="CG306" s="354"/>
      <c r="CH306" s="354"/>
      <c r="CI306" s="354"/>
      <c r="CJ306" s="354"/>
      <c r="CK306" s="354"/>
      <c r="CL306" s="354"/>
      <c r="CM306" s="354"/>
      <c r="CN306" s="354"/>
      <c r="CO306" s="354"/>
      <c r="CP306" s="354"/>
      <c r="CQ306" s="354"/>
      <c r="CR306" s="354"/>
      <c r="CS306" s="354"/>
      <c r="CT306" s="354"/>
      <c r="CU306" s="354"/>
      <c r="CV306" s="354"/>
      <c r="CW306" s="354"/>
      <c r="CX306" s="354"/>
      <c r="CY306" s="354"/>
      <c r="CZ306" s="354"/>
      <c r="DA306" s="354"/>
      <c r="DB306" s="354"/>
      <c r="DC306" s="352"/>
      <c r="DJ306" s="58"/>
      <c r="DL306" s="364"/>
    </row>
    <row r="307" spans="1:116" s="59" customFormat="1" ht="18">
      <c r="A307" s="368"/>
      <c r="B307" s="447" t="s">
        <v>364</v>
      </c>
      <c r="C307" s="456"/>
      <c r="D307" s="456">
        <v>32</v>
      </c>
      <c r="E307" s="459"/>
      <c r="F307" s="460"/>
      <c r="G307" s="349"/>
      <c r="H307" s="349"/>
      <c r="I307" s="349"/>
      <c r="J307" s="349"/>
      <c r="K307" s="349"/>
      <c r="L307" s="349"/>
      <c r="M307" s="349"/>
      <c r="N307" s="349"/>
      <c r="O307" s="349"/>
      <c r="P307" s="354"/>
      <c r="Q307" s="354"/>
      <c r="R307" s="354"/>
      <c r="S307" s="354"/>
      <c r="T307" s="352"/>
      <c r="U307" s="353">
        <f>ROUNDUP((21.83*4.7)-(BG285+CA285),0)</f>
        <v>103</v>
      </c>
      <c r="V307" s="353"/>
      <c r="W307" s="353"/>
      <c r="X307" s="349"/>
      <c r="Y307" s="349"/>
      <c r="Z307" s="349">
        <f>ROUNDUP(((6+3.3)*4.7)-BW285,0)</f>
        <v>43</v>
      </c>
      <c r="AA307" s="349">
        <f>U307</f>
        <v>103</v>
      </c>
      <c r="AB307" s="349"/>
      <c r="AC307" s="349"/>
      <c r="AD307" s="349"/>
      <c r="AE307" s="349"/>
      <c r="AF307" s="349"/>
      <c r="AG307" s="349"/>
      <c r="AH307" s="349"/>
      <c r="AI307" s="349"/>
      <c r="AJ307" s="349"/>
      <c r="AK307" s="349"/>
      <c r="AL307" s="349"/>
      <c r="AM307" s="349"/>
      <c r="AN307" s="349">
        <f>ROUNDUP(BG287+BW287,0)</f>
        <v>0</v>
      </c>
      <c r="AO307" s="349"/>
      <c r="AP307" s="354"/>
      <c r="AQ307" s="352">
        <f>ROUNDUP(BG286+BW286,0)</f>
        <v>0</v>
      </c>
      <c r="AR307" s="366">
        <f>C307</f>
        <v>0</v>
      </c>
      <c r="AS307" s="349"/>
      <c r="AT307" s="349"/>
      <c r="AU307" s="349"/>
      <c r="AV307" s="352"/>
      <c r="AW307" s="353">
        <f t="shared" si="112"/>
        <v>103</v>
      </c>
      <c r="AX307" s="349">
        <f t="shared" si="113"/>
        <v>43</v>
      </c>
      <c r="AY307" s="369">
        <f t="shared" si="114"/>
        <v>0</v>
      </c>
      <c r="AZ307" s="353"/>
      <c r="BA307" s="349"/>
      <c r="BB307" s="349"/>
      <c r="BC307" s="349"/>
      <c r="BD307" s="349"/>
      <c r="BE307" s="349"/>
      <c r="BF307" s="349"/>
      <c r="BG307" s="367">
        <v>1</v>
      </c>
      <c r="BH307" s="349"/>
      <c r="BI307" s="349"/>
      <c r="BJ307" s="349"/>
      <c r="BK307" s="349"/>
      <c r="BL307" s="349"/>
      <c r="BM307" s="349"/>
      <c r="BN307" s="349"/>
      <c r="BO307" s="349"/>
      <c r="BP307" s="349"/>
      <c r="BQ307" s="349"/>
      <c r="BR307" s="349"/>
      <c r="BS307" s="349"/>
      <c r="BT307" s="349"/>
      <c r="BU307" s="349"/>
      <c r="BV307" s="349"/>
      <c r="BW307" s="367">
        <v>1</v>
      </c>
      <c r="BX307" s="367"/>
      <c r="BY307" s="349"/>
      <c r="BZ307" s="349"/>
      <c r="CA307" s="349"/>
      <c r="CB307" s="349"/>
      <c r="CC307" s="354"/>
      <c r="CD307" s="354"/>
      <c r="CE307" s="354"/>
      <c r="CF307" s="354"/>
      <c r="CG307" s="354"/>
      <c r="CH307" s="354"/>
      <c r="CI307" s="354"/>
      <c r="CJ307" s="354"/>
      <c r="CK307" s="354"/>
      <c r="CL307" s="354"/>
      <c r="CM307" s="354"/>
      <c r="CN307" s="354"/>
      <c r="CO307" s="354"/>
      <c r="CP307" s="354"/>
      <c r="CQ307" s="354"/>
      <c r="CR307" s="354"/>
      <c r="CS307" s="354"/>
      <c r="CT307" s="354"/>
      <c r="CU307" s="354"/>
      <c r="CV307" s="354"/>
      <c r="CW307" s="354"/>
      <c r="CX307" s="354"/>
      <c r="CY307" s="354"/>
      <c r="CZ307" s="354"/>
      <c r="DA307" s="354"/>
      <c r="DB307" s="354"/>
      <c r="DC307" s="352"/>
      <c r="DJ307" s="58"/>
      <c r="DL307" s="364"/>
    </row>
    <row r="308" spans="1:116" s="59" customFormat="1" ht="18">
      <c r="A308" s="365"/>
      <c r="B308" s="447" t="s">
        <v>363</v>
      </c>
      <c r="C308" s="456"/>
      <c r="D308" s="456">
        <v>32</v>
      </c>
      <c r="E308" s="459"/>
      <c r="F308" s="460"/>
      <c r="G308" s="349"/>
      <c r="H308" s="349"/>
      <c r="I308" s="349"/>
      <c r="J308" s="349"/>
      <c r="K308" s="349"/>
      <c r="L308" s="349"/>
      <c r="M308" s="349"/>
      <c r="N308" s="349"/>
      <c r="O308" s="349"/>
      <c r="P308" s="354"/>
      <c r="Q308" s="354"/>
      <c r="R308" s="354"/>
      <c r="S308" s="354"/>
      <c r="T308" s="352"/>
      <c r="U308" s="353">
        <f>ROUNDUP((21.05*4.7)-(BG285+CA285),0)</f>
        <v>99</v>
      </c>
      <c r="V308" s="353">
        <f>ROUNDUP((4.25*4.7),0)</f>
        <v>20</v>
      </c>
      <c r="W308" s="353"/>
      <c r="X308" s="349"/>
      <c r="Y308" s="349"/>
      <c r="Z308" s="349"/>
      <c r="AA308" s="349">
        <f>ROUNDUP((25.3*4.7)-(BG285+CA285),0)</f>
        <v>119</v>
      </c>
      <c r="AB308" s="349"/>
      <c r="AC308" s="349"/>
      <c r="AD308" s="349"/>
      <c r="AE308" s="349"/>
      <c r="AF308" s="349"/>
      <c r="AG308" s="349"/>
      <c r="AH308" s="349"/>
      <c r="AI308" s="349"/>
      <c r="AJ308" s="349"/>
      <c r="AK308" s="349"/>
      <c r="AL308" s="349"/>
      <c r="AM308" s="349"/>
      <c r="AN308" s="349">
        <f>ROUNDUP(BG287+CA287,0)</f>
        <v>0</v>
      </c>
      <c r="AO308" s="349"/>
      <c r="AP308" s="354"/>
      <c r="AQ308" s="352">
        <f>ROUNDUP(BG286+CA286,0)</f>
        <v>0</v>
      </c>
      <c r="AR308" s="366">
        <f t="shared" ref="AR308:AR310" si="116">C308</f>
        <v>0</v>
      </c>
      <c r="AS308" s="349"/>
      <c r="AT308" s="349"/>
      <c r="AU308" s="349"/>
      <c r="AV308" s="352"/>
      <c r="AW308" s="353">
        <f t="shared" si="112"/>
        <v>119</v>
      </c>
      <c r="AX308" s="349"/>
      <c r="AY308" s="369">
        <f t="shared" si="114"/>
        <v>0</v>
      </c>
      <c r="AZ308" s="353"/>
      <c r="BA308" s="349"/>
      <c r="BB308" s="349"/>
      <c r="BC308" s="349"/>
      <c r="BD308" s="349"/>
      <c r="BE308" s="349"/>
      <c r="BF308" s="349"/>
      <c r="BG308" s="367">
        <v>1</v>
      </c>
      <c r="BH308" s="349"/>
      <c r="BI308" s="349"/>
      <c r="BJ308" s="349"/>
      <c r="BK308" s="349"/>
      <c r="BL308" s="349"/>
      <c r="BM308" s="349"/>
      <c r="BN308" s="349"/>
      <c r="BO308" s="349"/>
      <c r="BP308" s="349"/>
      <c r="BQ308" s="349"/>
      <c r="BR308" s="349"/>
      <c r="BS308" s="349"/>
      <c r="BT308" s="349"/>
      <c r="BU308" s="349"/>
      <c r="BV308" s="349"/>
      <c r="BW308" s="349"/>
      <c r="BX308" s="349"/>
      <c r="BY308" s="349"/>
      <c r="BZ308" s="349"/>
      <c r="CA308" s="349"/>
      <c r="CB308" s="349"/>
      <c r="CC308" s="354"/>
      <c r="CD308" s="354"/>
      <c r="CE308" s="354"/>
      <c r="CF308" s="354"/>
      <c r="CG308" s="354"/>
      <c r="CH308" s="354"/>
      <c r="CI308" s="354"/>
      <c r="CJ308" s="354"/>
      <c r="CK308" s="354"/>
      <c r="CL308" s="354"/>
      <c r="CM308" s="354"/>
      <c r="CN308" s="354"/>
      <c r="CO308" s="354"/>
      <c r="CP308" s="354"/>
      <c r="CQ308" s="354"/>
      <c r="CR308" s="354"/>
      <c r="CS308" s="354"/>
      <c r="CT308" s="354"/>
      <c r="CU308" s="354"/>
      <c r="CV308" s="354"/>
      <c r="CW308" s="354"/>
      <c r="CX308" s="354"/>
      <c r="CY308" s="354"/>
      <c r="CZ308" s="354"/>
      <c r="DA308" s="354"/>
      <c r="DB308" s="354"/>
      <c r="DC308" s="352"/>
      <c r="DJ308" s="58"/>
      <c r="DL308" s="364"/>
    </row>
    <row r="309" spans="1:116" s="59" customFormat="1" ht="18">
      <c r="A309" s="365"/>
      <c r="B309" s="447" t="s">
        <v>303</v>
      </c>
      <c r="C309" s="456">
        <v>32</v>
      </c>
      <c r="D309" s="459"/>
      <c r="E309" s="459"/>
      <c r="F309" s="460"/>
      <c r="G309" s="349"/>
      <c r="H309" s="349"/>
      <c r="I309" s="349"/>
      <c r="J309" s="349"/>
      <c r="K309" s="349"/>
      <c r="L309" s="349"/>
      <c r="M309" s="349"/>
      <c r="N309" s="349"/>
      <c r="O309" s="349"/>
      <c r="P309" s="354"/>
      <c r="Q309" s="354"/>
      <c r="R309" s="354"/>
      <c r="S309" s="354"/>
      <c r="T309" s="352"/>
      <c r="U309" s="353">
        <f>ROUNDUP((21.75*4.7)-BG285,0)</f>
        <v>103</v>
      </c>
      <c r="V309" s="353">
        <f>ROUNDUP((3.55*4.7),0)</f>
        <v>17</v>
      </c>
      <c r="W309" s="353"/>
      <c r="X309" s="349"/>
      <c r="Y309" s="349"/>
      <c r="Z309" s="349">
        <f>ROUNDUP((6*4.7)-BG285,0)</f>
        <v>29</v>
      </c>
      <c r="AA309" s="349">
        <f>ROUNDUP((25.3*4.7)-BG285,0)</f>
        <v>119</v>
      </c>
      <c r="AB309" s="349"/>
      <c r="AC309" s="349"/>
      <c r="AD309" s="349"/>
      <c r="AE309" s="349"/>
      <c r="AF309" s="349"/>
      <c r="AG309" s="349"/>
      <c r="AH309" s="349"/>
      <c r="AI309" s="349"/>
      <c r="AJ309" s="349"/>
      <c r="AK309" s="349"/>
      <c r="AL309" s="349"/>
      <c r="AM309" s="349"/>
      <c r="AN309" s="349">
        <f>BG287</f>
        <v>0</v>
      </c>
      <c r="AO309" s="349"/>
      <c r="AP309" s="354"/>
      <c r="AQ309" s="352">
        <f>BG286</f>
        <v>0</v>
      </c>
      <c r="AR309" s="366">
        <f t="shared" si="116"/>
        <v>32</v>
      </c>
      <c r="AS309" s="349"/>
      <c r="AT309" s="349"/>
      <c r="AU309" s="349"/>
      <c r="AV309" s="352"/>
      <c r="AW309" s="353">
        <f t="shared" si="112"/>
        <v>119</v>
      </c>
      <c r="AX309" s="349">
        <f>Z309</f>
        <v>29</v>
      </c>
      <c r="AY309" s="369">
        <f t="shared" si="114"/>
        <v>32</v>
      </c>
      <c r="AZ309" s="353"/>
      <c r="BA309" s="349"/>
      <c r="BB309" s="349"/>
      <c r="BC309" s="349"/>
      <c r="BD309" s="349"/>
      <c r="BE309" s="349"/>
      <c r="BF309" s="349"/>
      <c r="BG309" s="367">
        <v>1</v>
      </c>
      <c r="BH309" s="349"/>
      <c r="BI309" s="349"/>
      <c r="BJ309" s="349"/>
      <c r="BK309" s="349"/>
      <c r="BL309" s="349"/>
      <c r="BM309" s="349"/>
      <c r="BN309" s="349"/>
      <c r="BO309" s="349"/>
      <c r="BP309" s="349"/>
      <c r="BQ309" s="349"/>
      <c r="BR309" s="349"/>
      <c r="BS309" s="349"/>
      <c r="BT309" s="349"/>
      <c r="BU309" s="349"/>
      <c r="BV309" s="349"/>
      <c r="BW309" s="349"/>
      <c r="BX309" s="349"/>
      <c r="BY309" s="349"/>
      <c r="BZ309" s="349"/>
      <c r="CA309" s="349"/>
      <c r="CB309" s="349"/>
      <c r="CC309" s="354"/>
      <c r="CD309" s="354"/>
      <c r="CE309" s="354"/>
      <c r="CF309" s="354"/>
      <c r="CG309" s="354"/>
      <c r="CH309" s="354"/>
      <c r="CI309" s="354"/>
      <c r="CJ309" s="354"/>
      <c r="CK309" s="354"/>
      <c r="CL309" s="354"/>
      <c r="CM309" s="354"/>
      <c r="CN309" s="354"/>
      <c r="CO309" s="354"/>
      <c r="CP309" s="354"/>
      <c r="CQ309" s="354"/>
      <c r="CR309" s="354"/>
      <c r="CS309" s="354"/>
      <c r="CT309" s="354"/>
      <c r="CU309" s="354"/>
      <c r="CV309" s="354"/>
      <c r="CW309" s="354"/>
      <c r="CX309" s="354"/>
      <c r="CY309" s="354"/>
      <c r="CZ309" s="354"/>
      <c r="DA309" s="354"/>
      <c r="DB309" s="354"/>
      <c r="DC309" s="352"/>
      <c r="DJ309" s="58"/>
      <c r="DL309" s="364"/>
    </row>
    <row r="310" spans="1:116" s="59" customFormat="1" ht="18">
      <c r="A310" s="365"/>
      <c r="B310" s="447" t="s">
        <v>302</v>
      </c>
      <c r="C310" s="456">
        <v>32</v>
      </c>
      <c r="D310" s="459"/>
      <c r="E310" s="459"/>
      <c r="F310" s="460"/>
      <c r="G310" s="349"/>
      <c r="H310" s="349"/>
      <c r="I310" s="349"/>
      <c r="J310" s="349"/>
      <c r="K310" s="349"/>
      <c r="L310" s="349"/>
      <c r="M310" s="349"/>
      <c r="N310" s="349"/>
      <c r="O310" s="349"/>
      <c r="P310" s="354"/>
      <c r="Q310" s="354"/>
      <c r="R310" s="354"/>
      <c r="S310" s="354"/>
      <c r="T310" s="352"/>
      <c r="U310" s="353">
        <f>ROUNDUP((22.2*4.7)-(BG285+CA285),0)</f>
        <v>105</v>
      </c>
      <c r="V310" s="353"/>
      <c r="W310" s="353"/>
      <c r="X310" s="349"/>
      <c r="Y310" s="349"/>
      <c r="Z310" s="349">
        <f>ROUNDUP((7.2*4.7)+(BG285*2),0)</f>
        <v>34</v>
      </c>
      <c r="AA310" s="349">
        <f>U310</f>
        <v>105</v>
      </c>
      <c r="AB310" s="349"/>
      <c r="AC310" s="349"/>
      <c r="AD310" s="349"/>
      <c r="AE310" s="349"/>
      <c r="AF310" s="349"/>
      <c r="AG310" s="349"/>
      <c r="AH310" s="349"/>
      <c r="AI310" s="349"/>
      <c r="AJ310" s="349"/>
      <c r="AK310" s="349"/>
      <c r="AL310" s="349"/>
      <c r="AM310" s="349"/>
      <c r="AN310" s="349">
        <f>ROUNDUP(BG287+CA287,0)</f>
        <v>0</v>
      </c>
      <c r="AO310" s="349"/>
      <c r="AP310" s="354"/>
      <c r="AQ310" s="352">
        <f>ROUNDUP(BG286+CA286,0)</f>
        <v>0</v>
      </c>
      <c r="AR310" s="366">
        <f t="shared" si="116"/>
        <v>32</v>
      </c>
      <c r="AS310" s="349"/>
      <c r="AT310" s="349"/>
      <c r="AU310" s="349"/>
      <c r="AV310" s="352"/>
      <c r="AW310" s="353">
        <f t="shared" si="112"/>
        <v>105</v>
      </c>
      <c r="AX310" s="349">
        <f>Z310</f>
        <v>34</v>
      </c>
      <c r="AY310" s="369">
        <f t="shared" si="114"/>
        <v>32</v>
      </c>
      <c r="AZ310" s="353"/>
      <c r="BA310" s="349"/>
      <c r="BB310" s="349"/>
      <c r="BC310" s="349"/>
      <c r="BD310" s="349"/>
      <c r="BE310" s="349"/>
      <c r="BF310" s="349"/>
      <c r="BG310" s="367">
        <v>1</v>
      </c>
      <c r="BH310" s="349"/>
      <c r="BI310" s="349"/>
      <c r="BJ310" s="349"/>
      <c r="BK310" s="349"/>
      <c r="BL310" s="349"/>
      <c r="BM310" s="349"/>
      <c r="BN310" s="349"/>
      <c r="BO310" s="349"/>
      <c r="BP310" s="349"/>
      <c r="BQ310" s="349"/>
      <c r="BR310" s="349"/>
      <c r="BS310" s="349"/>
      <c r="BT310" s="349"/>
      <c r="BU310" s="349"/>
      <c r="BV310" s="349"/>
      <c r="BW310" s="349"/>
      <c r="BX310" s="349"/>
      <c r="BY310" s="349"/>
      <c r="BZ310" s="349"/>
      <c r="CA310" s="349"/>
      <c r="CB310" s="349"/>
      <c r="CC310" s="354"/>
      <c r="CD310" s="354"/>
      <c r="CE310" s="354"/>
      <c r="CF310" s="354"/>
      <c r="CG310" s="354"/>
      <c r="CH310" s="354"/>
      <c r="CI310" s="354"/>
      <c r="CJ310" s="354"/>
      <c r="CK310" s="354"/>
      <c r="CL310" s="354"/>
      <c r="CM310" s="354"/>
      <c r="CN310" s="354"/>
      <c r="CO310" s="354"/>
      <c r="CP310" s="354"/>
      <c r="CQ310" s="354"/>
      <c r="CR310" s="354"/>
      <c r="CS310" s="354"/>
      <c r="CT310" s="354"/>
      <c r="CU310" s="354"/>
      <c r="CV310" s="354"/>
      <c r="CW310" s="354"/>
      <c r="CX310" s="354"/>
      <c r="CY310" s="354"/>
      <c r="CZ310" s="354"/>
      <c r="DA310" s="354"/>
      <c r="DB310" s="354"/>
      <c r="DC310" s="352"/>
      <c r="DJ310" s="58"/>
      <c r="DL310" s="364"/>
    </row>
    <row r="311" spans="1:116" s="59" customFormat="1" ht="18">
      <c r="A311" s="365"/>
      <c r="B311" s="447" t="s">
        <v>361</v>
      </c>
      <c r="C311" s="456">
        <v>38</v>
      </c>
      <c r="D311" s="460"/>
      <c r="E311" s="459"/>
      <c r="F311" s="460"/>
      <c r="G311" s="349"/>
      <c r="H311" s="367"/>
      <c r="I311" s="349"/>
      <c r="J311" s="349"/>
      <c r="K311" s="349"/>
      <c r="L311" s="349"/>
      <c r="M311" s="349"/>
      <c r="N311" s="349"/>
      <c r="O311" s="349"/>
      <c r="P311" s="354"/>
      <c r="Q311" s="354"/>
      <c r="R311" s="354"/>
      <c r="S311" s="354"/>
      <c r="T311" s="352">
        <f t="shared" ref="T311:T316" si="117">SUM(C311:O311)</f>
        <v>38</v>
      </c>
      <c r="U311" s="353">
        <f>ROUNDUP((((1.4+4.95+4.6+5.6+4+4)*4.7)+(4.6*0.7)+(3.2*1.38))-(BK285+(CD285*2)),0)</f>
        <v>124</v>
      </c>
      <c r="V311" s="353"/>
      <c r="W311" s="353"/>
      <c r="X311" s="349"/>
      <c r="Y311" s="349"/>
      <c r="Z311" s="349"/>
      <c r="AA311" s="349">
        <f>ROUNDUP(((1.4+4.95+4.6+0.3+0.7+5.6+4.1+0.1+4.1+3.9+1.1)*4.7)-(BK285+(CD285*2)),0)</f>
        <v>145</v>
      </c>
      <c r="AB311" s="349"/>
      <c r="AC311" s="349"/>
      <c r="AD311" s="349">
        <f>AA311</f>
        <v>145</v>
      </c>
      <c r="AE311" s="349"/>
      <c r="AF311" s="349"/>
      <c r="AG311" s="349"/>
      <c r="AH311" s="349"/>
      <c r="AI311" s="349"/>
      <c r="AJ311" s="349"/>
      <c r="AK311" s="349"/>
      <c r="AL311" s="349"/>
      <c r="AM311" s="349"/>
      <c r="AN311" s="349">
        <f>ROUNDUP((6*4.7)+BK287+(CD287*2),0)</f>
        <v>29</v>
      </c>
      <c r="AO311" s="349"/>
      <c r="AP311" s="354"/>
      <c r="AQ311" s="352">
        <f>ROUNDUP(BK286+(CD286*2),0)</f>
        <v>0</v>
      </c>
      <c r="AR311" s="353"/>
      <c r="AS311" s="367">
        <f>E311</f>
        <v>0</v>
      </c>
      <c r="AT311" s="349"/>
      <c r="AU311" s="349"/>
      <c r="AV311" s="352"/>
      <c r="AW311" s="353"/>
      <c r="AX311" s="349"/>
      <c r="AY311" s="369">
        <f t="shared" ref="AY311:AY316" si="118">AS311</f>
        <v>0</v>
      </c>
      <c r="AZ311" s="353"/>
      <c r="BA311" s="349"/>
      <c r="BB311" s="349"/>
      <c r="BC311" s="349"/>
      <c r="BD311" s="349"/>
      <c r="BE311" s="349"/>
      <c r="BF311" s="349"/>
      <c r="BG311" s="349"/>
      <c r="BH311" s="349"/>
      <c r="BI311" s="349"/>
      <c r="BJ311" s="349"/>
      <c r="BK311" s="367">
        <v>1</v>
      </c>
      <c r="BL311" s="367"/>
      <c r="BM311" s="349"/>
      <c r="BN311" s="349"/>
      <c r="BO311" s="349"/>
      <c r="BP311" s="349"/>
      <c r="BQ311" s="349"/>
      <c r="BR311" s="349"/>
      <c r="BS311" s="349"/>
      <c r="BT311" s="349"/>
      <c r="BU311" s="349"/>
      <c r="BV311" s="349"/>
      <c r="BW311" s="349"/>
      <c r="BX311" s="349"/>
      <c r="BY311" s="349"/>
      <c r="BZ311" s="349"/>
      <c r="CA311" s="349"/>
      <c r="CB311" s="349"/>
      <c r="CC311" s="354"/>
      <c r="CD311" s="370">
        <v>2</v>
      </c>
      <c r="CE311" s="370"/>
      <c r="CF311" s="354"/>
      <c r="CG311" s="354"/>
      <c r="CH311" s="354"/>
      <c r="CI311" s="354"/>
      <c r="CJ311" s="354"/>
      <c r="CK311" s="354"/>
      <c r="CL311" s="354"/>
      <c r="CM311" s="354"/>
      <c r="CN311" s="354"/>
      <c r="CO311" s="354"/>
      <c r="CP311" s="354"/>
      <c r="CQ311" s="354"/>
      <c r="CR311" s="354"/>
      <c r="CS311" s="354"/>
      <c r="CT311" s="354"/>
      <c r="CU311" s="354"/>
      <c r="CV311" s="354"/>
      <c r="CW311" s="354"/>
      <c r="CX311" s="354"/>
      <c r="CY311" s="354"/>
      <c r="CZ311" s="354"/>
      <c r="DA311" s="354"/>
      <c r="DB311" s="354"/>
      <c r="DC311" s="352"/>
      <c r="DJ311" s="58"/>
      <c r="DL311" s="364"/>
    </row>
    <row r="312" spans="1:116" s="59" customFormat="1" ht="18">
      <c r="A312" s="365"/>
      <c r="B312" s="447" t="s">
        <v>389</v>
      </c>
      <c r="C312" s="456">
        <v>36</v>
      </c>
      <c r="D312" s="460"/>
      <c r="E312" s="459"/>
      <c r="F312" s="460"/>
      <c r="G312" s="349"/>
      <c r="H312" s="367"/>
      <c r="I312" s="349"/>
      <c r="J312" s="349"/>
      <c r="K312" s="349"/>
      <c r="L312" s="349"/>
      <c r="M312" s="349"/>
      <c r="N312" s="349"/>
      <c r="O312" s="349"/>
      <c r="P312" s="354"/>
      <c r="Q312" s="354"/>
      <c r="R312" s="354"/>
      <c r="S312" s="354"/>
      <c r="T312" s="352">
        <f t="shared" si="117"/>
        <v>36</v>
      </c>
      <c r="U312" s="353">
        <f>ROUNDUP((((1.4+4.95+4.6+5.6+4+4+1.7)*4.7)+(4.6*0.7)+(3.2*1.38))-(BK285+(CD285*2)),0)</f>
        <v>132</v>
      </c>
      <c r="V312" s="353"/>
      <c r="W312" s="353"/>
      <c r="X312" s="349"/>
      <c r="Y312" s="349"/>
      <c r="Z312" s="349"/>
      <c r="AA312" s="349">
        <f>ROUNDUP(((1.3+4.95+4.6+0.3+0.7+5.6+0.1+3.2+1.8+0.1+0.7)*4.7)-(BK285+(CD285*2)),0)</f>
        <v>110</v>
      </c>
      <c r="AB312" s="349"/>
      <c r="AC312" s="349"/>
      <c r="AD312" s="349">
        <f>AA312</f>
        <v>110</v>
      </c>
      <c r="AE312" s="349"/>
      <c r="AF312" s="349"/>
      <c r="AG312" s="349"/>
      <c r="AH312" s="349"/>
      <c r="AI312" s="349"/>
      <c r="AJ312" s="349"/>
      <c r="AK312" s="349"/>
      <c r="AL312" s="349"/>
      <c r="AM312" s="349"/>
      <c r="AN312" s="349">
        <f>ROUNDUP((5*4.7)+BK287+(CD287*2),0)</f>
        <v>24</v>
      </c>
      <c r="AO312" s="349"/>
      <c r="AP312" s="354"/>
      <c r="AQ312" s="352">
        <f>ROUNDUP(BK286+(CD286*2),0)</f>
        <v>0</v>
      </c>
      <c r="AR312" s="353"/>
      <c r="AS312" s="367">
        <f t="shared" ref="AS312:AS316" si="119">E312</f>
        <v>0</v>
      </c>
      <c r="AT312" s="349"/>
      <c r="AU312" s="349"/>
      <c r="AV312" s="352"/>
      <c r="AW312" s="353"/>
      <c r="AX312" s="349"/>
      <c r="AY312" s="369">
        <f t="shared" si="118"/>
        <v>0</v>
      </c>
      <c r="AZ312" s="353"/>
      <c r="BA312" s="349"/>
      <c r="BB312" s="349"/>
      <c r="BC312" s="349"/>
      <c r="BD312" s="349"/>
      <c r="BE312" s="349"/>
      <c r="BF312" s="349"/>
      <c r="BG312" s="349"/>
      <c r="BH312" s="349"/>
      <c r="BI312" s="349"/>
      <c r="BJ312" s="349"/>
      <c r="BK312" s="367">
        <v>1</v>
      </c>
      <c r="BL312" s="367"/>
      <c r="BM312" s="349"/>
      <c r="BN312" s="349"/>
      <c r="BO312" s="349"/>
      <c r="BP312" s="349"/>
      <c r="BQ312" s="349"/>
      <c r="BR312" s="349"/>
      <c r="BS312" s="349"/>
      <c r="BT312" s="349"/>
      <c r="BU312" s="349"/>
      <c r="BV312" s="349"/>
      <c r="BW312" s="349"/>
      <c r="BX312" s="349"/>
      <c r="BY312" s="349"/>
      <c r="BZ312" s="349"/>
      <c r="CA312" s="349"/>
      <c r="CB312" s="349"/>
      <c r="CC312" s="354"/>
      <c r="CD312" s="370">
        <v>2</v>
      </c>
      <c r="CE312" s="370"/>
      <c r="CF312" s="354"/>
      <c r="CG312" s="354"/>
      <c r="CH312" s="354"/>
      <c r="CI312" s="354"/>
      <c r="CJ312" s="354"/>
      <c r="CK312" s="354"/>
      <c r="CL312" s="354"/>
      <c r="CM312" s="354"/>
      <c r="CN312" s="354"/>
      <c r="CO312" s="354"/>
      <c r="CP312" s="354"/>
      <c r="CQ312" s="354"/>
      <c r="CR312" s="354"/>
      <c r="CS312" s="354"/>
      <c r="CT312" s="354"/>
      <c r="CU312" s="354"/>
      <c r="CV312" s="354"/>
      <c r="CW312" s="354"/>
      <c r="CX312" s="354"/>
      <c r="CY312" s="354"/>
      <c r="CZ312" s="354"/>
      <c r="DA312" s="354"/>
      <c r="DB312" s="354"/>
      <c r="DC312" s="352"/>
      <c r="DJ312" s="58"/>
      <c r="DL312" s="364"/>
    </row>
    <row r="313" spans="1:116" s="59" customFormat="1" ht="18">
      <c r="A313" s="368"/>
      <c r="B313" s="447" t="s">
        <v>388</v>
      </c>
      <c r="C313" s="456">
        <v>16</v>
      </c>
      <c r="D313" s="460"/>
      <c r="E313" s="459"/>
      <c r="F313" s="460"/>
      <c r="G313" s="349"/>
      <c r="H313" s="367"/>
      <c r="I313" s="349"/>
      <c r="J313" s="349"/>
      <c r="K313" s="349"/>
      <c r="L313" s="349"/>
      <c r="M313" s="349"/>
      <c r="N313" s="349"/>
      <c r="O313" s="349"/>
      <c r="P313" s="354"/>
      <c r="Q313" s="354"/>
      <c r="R313" s="354"/>
      <c r="S313" s="354"/>
      <c r="T313" s="352">
        <f t="shared" si="117"/>
        <v>16</v>
      </c>
      <c r="U313" s="353">
        <f>ROUNDUP((12.83*4.7)-BL285,0)</f>
        <v>61</v>
      </c>
      <c r="V313" s="353"/>
      <c r="W313" s="353"/>
      <c r="X313" s="349"/>
      <c r="Y313" s="349"/>
      <c r="Z313" s="349"/>
      <c r="AA313" s="349">
        <f>U313</f>
        <v>61</v>
      </c>
      <c r="AB313" s="349"/>
      <c r="AC313" s="349"/>
      <c r="AD313" s="349">
        <f>AA313</f>
        <v>61</v>
      </c>
      <c r="AE313" s="349"/>
      <c r="AF313" s="349"/>
      <c r="AG313" s="349"/>
      <c r="AH313" s="349"/>
      <c r="AI313" s="349"/>
      <c r="AJ313" s="349"/>
      <c r="AK313" s="349"/>
      <c r="AL313" s="349"/>
      <c r="AM313" s="349"/>
      <c r="AN313" s="349">
        <f>BL287</f>
        <v>0</v>
      </c>
      <c r="AO313" s="349"/>
      <c r="AP313" s="354"/>
      <c r="AQ313" s="352">
        <f>BL286</f>
        <v>0</v>
      </c>
      <c r="AR313" s="353"/>
      <c r="AS313" s="367">
        <f t="shared" si="119"/>
        <v>0</v>
      </c>
      <c r="AT313" s="349"/>
      <c r="AU313" s="349"/>
      <c r="AV313" s="352"/>
      <c r="AW313" s="353"/>
      <c r="AX313" s="349"/>
      <c r="AY313" s="369">
        <f t="shared" si="118"/>
        <v>0</v>
      </c>
      <c r="AZ313" s="353"/>
      <c r="BA313" s="349"/>
      <c r="BB313" s="349"/>
      <c r="BC313" s="349"/>
      <c r="BD313" s="349"/>
      <c r="BE313" s="349"/>
      <c r="BF313" s="349"/>
      <c r="BG313" s="349"/>
      <c r="BH313" s="349"/>
      <c r="BI313" s="349"/>
      <c r="BJ313" s="349"/>
      <c r="BK313" s="367"/>
      <c r="BL313" s="367">
        <v>1</v>
      </c>
      <c r="BM313" s="349"/>
      <c r="BN313" s="349"/>
      <c r="BO313" s="349"/>
      <c r="BP313" s="349"/>
      <c r="BQ313" s="349"/>
      <c r="BR313" s="349"/>
      <c r="BS313" s="349"/>
      <c r="BT313" s="349"/>
      <c r="BU313" s="349"/>
      <c r="BV313" s="349"/>
      <c r="BW313" s="349"/>
      <c r="BX313" s="349"/>
      <c r="BY313" s="349"/>
      <c r="BZ313" s="349"/>
      <c r="CA313" s="349"/>
      <c r="CB313" s="349"/>
      <c r="CC313" s="354"/>
      <c r="CD313" s="370"/>
      <c r="CE313" s="370"/>
      <c r="CF313" s="354"/>
      <c r="CG313" s="354"/>
      <c r="CH313" s="354"/>
      <c r="CI313" s="354"/>
      <c r="CJ313" s="354"/>
      <c r="CK313" s="354"/>
      <c r="CL313" s="354"/>
      <c r="CM313" s="354"/>
      <c r="CN313" s="354"/>
      <c r="CO313" s="354"/>
      <c r="CP313" s="354"/>
      <c r="CQ313" s="354"/>
      <c r="CR313" s="354"/>
      <c r="CS313" s="354"/>
      <c r="CT313" s="354"/>
      <c r="CU313" s="354"/>
      <c r="CV313" s="354"/>
      <c r="CW313" s="354"/>
      <c r="CX313" s="354"/>
      <c r="CY313" s="354"/>
      <c r="CZ313" s="354"/>
      <c r="DA313" s="354"/>
      <c r="DB313" s="354"/>
      <c r="DC313" s="352"/>
      <c r="DJ313" s="58"/>
      <c r="DL313" s="364"/>
    </row>
    <row r="314" spans="1:116" s="59" customFormat="1" ht="18">
      <c r="A314" s="368"/>
      <c r="B314" s="447" t="s">
        <v>390</v>
      </c>
      <c r="C314" s="456">
        <v>32</v>
      </c>
      <c r="D314" s="460"/>
      <c r="E314" s="459"/>
      <c r="F314" s="460"/>
      <c r="G314" s="349"/>
      <c r="H314" s="367"/>
      <c r="I314" s="349"/>
      <c r="J314" s="349"/>
      <c r="K314" s="349"/>
      <c r="L314" s="349"/>
      <c r="M314" s="349"/>
      <c r="N314" s="349"/>
      <c r="O314" s="349"/>
      <c r="P314" s="354"/>
      <c r="Q314" s="354"/>
      <c r="R314" s="354"/>
      <c r="S314" s="354"/>
      <c r="T314" s="352">
        <f t="shared" si="117"/>
        <v>32</v>
      </c>
      <c r="U314" s="353">
        <f>ROUNDUP(((3+0.61+1.6+5+0.82+1.8+0.2+1.2)*4.7)-(BK285+BM285),0)</f>
        <v>67</v>
      </c>
      <c r="V314" s="353"/>
      <c r="W314" s="353"/>
      <c r="X314" s="349"/>
      <c r="Y314" s="349"/>
      <c r="Z314" s="349"/>
      <c r="AA314" s="349">
        <f>ROUNDUP(((7.16+3.2+0.71+1.7+5+3.52+0.3+1.2)*4.7)-(BK285+BM285),0)</f>
        <v>108</v>
      </c>
      <c r="AB314" s="349"/>
      <c r="AC314" s="349"/>
      <c r="AD314" s="349">
        <f t="shared" ref="AD314:AD316" si="120">AA314</f>
        <v>108</v>
      </c>
      <c r="AE314" s="349"/>
      <c r="AF314" s="349"/>
      <c r="AG314" s="349"/>
      <c r="AH314" s="349"/>
      <c r="AI314" s="349"/>
      <c r="AJ314" s="349"/>
      <c r="AK314" s="349"/>
      <c r="AL314" s="349"/>
      <c r="AM314" s="349"/>
      <c r="AN314" s="349">
        <f>ROUNDUP((8*4.7)+BK287+BM287,0)</f>
        <v>38</v>
      </c>
      <c r="AO314" s="349"/>
      <c r="AP314" s="354"/>
      <c r="AQ314" s="352">
        <f>ROUNDUP(BK286+BM286,0)</f>
        <v>0</v>
      </c>
      <c r="AR314" s="353"/>
      <c r="AS314" s="367">
        <f t="shared" si="119"/>
        <v>0</v>
      </c>
      <c r="AT314" s="349"/>
      <c r="AU314" s="349"/>
      <c r="AV314" s="352"/>
      <c r="AW314" s="353"/>
      <c r="AX314" s="349"/>
      <c r="AY314" s="369">
        <f t="shared" si="118"/>
        <v>0</v>
      </c>
      <c r="AZ314" s="353"/>
      <c r="BA314" s="349"/>
      <c r="BB314" s="349"/>
      <c r="BC314" s="349"/>
      <c r="BD314" s="349"/>
      <c r="BE314" s="349"/>
      <c r="BF314" s="349"/>
      <c r="BG314" s="349"/>
      <c r="BH314" s="349"/>
      <c r="BI314" s="349"/>
      <c r="BJ314" s="349"/>
      <c r="BK314" s="367">
        <v>1</v>
      </c>
      <c r="BL314" s="367"/>
      <c r="BM314" s="349"/>
      <c r="BN314" s="349"/>
      <c r="BO314" s="349"/>
      <c r="BP314" s="349"/>
      <c r="BQ314" s="349"/>
      <c r="BR314" s="349"/>
      <c r="BS314" s="349"/>
      <c r="BT314" s="349"/>
      <c r="BU314" s="349"/>
      <c r="BV314" s="349"/>
      <c r="BW314" s="349"/>
      <c r="BX314" s="349"/>
      <c r="BY314" s="349"/>
      <c r="BZ314" s="349"/>
      <c r="CA314" s="349"/>
      <c r="CB314" s="349"/>
      <c r="CC314" s="354"/>
      <c r="CD314" s="370"/>
      <c r="CE314" s="370"/>
      <c r="CF314" s="354"/>
      <c r="CG314" s="354"/>
      <c r="CH314" s="354"/>
      <c r="CI314" s="354"/>
      <c r="CJ314" s="354"/>
      <c r="CK314" s="354"/>
      <c r="CL314" s="354"/>
      <c r="CM314" s="354"/>
      <c r="CN314" s="354"/>
      <c r="CO314" s="354"/>
      <c r="CP314" s="354"/>
      <c r="CQ314" s="354"/>
      <c r="CR314" s="354"/>
      <c r="CS314" s="354"/>
      <c r="CT314" s="354"/>
      <c r="CU314" s="354"/>
      <c r="CV314" s="354"/>
      <c r="CW314" s="354"/>
      <c r="CX314" s="354"/>
      <c r="CY314" s="354"/>
      <c r="CZ314" s="354"/>
      <c r="DA314" s="354"/>
      <c r="DB314" s="354"/>
      <c r="DC314" s="352"/>
      <c r="DJ314" s="58"/>
      <c r="DL314" s="364"/>
    </row>
    <row r="315" spans="1:116" s="59" customFormat="1" ht="18">
      <c r="A315" s="368"/>
      <c r="B315" s="447" t="s">
        <v>359</v>
      </c>
      <c r="C315" s="456">
        <v>35</v>
      </c>
      <c r="D315" s="460"/>
      <c r="E315" s="459"/>
      <c r="F315" s="460"/>
      <c r="G315" s="349"/>
      <c r="H315" s="367"/>
      <c r="I315" s="349"/>
      <c r="J315" s="349"/>
      <c r="K315" s="349"/>
      <c r="L315" s="349"/>
      <c r="M315" s="349"/>
      <c r="N315" s="349"/>
      <c r="O315" s="349"/>
      <c r="P315" s="354"/>
      <c r="Q315" s="354"/>
      <c r="R315" s="354"/>
      <c r="S315" s="354"/>
      <c r="T315" s="352">
        <f t="shared" si="117"/>
        <v>35</v>
      </c>
      <c r="U315" s="353">
        <f>ROUNDUP((2.25*4.7)-CF285,0)</f>
        <v>11</v>
      </c>
      <c r="V315" s="353"/>
      <c r="W315" s="353"/>
      <c r="X315" s="349"/>
      <c r="Y315" s="349"/>
      <c r="Z315" s="349">
        <f>ROUNDUP(((2.39+0.7)*4.7)-CF285,0)</f>
        <v>15</v>
      </c>
      <c r="AA315" s="349">
        <f>ROUNDUP(((4+1.08+4.25+2.65)*4.7)-(BM285+CF285),0)</f>
        <v>57</v>
      </c>
      <c r="AB315" s="349"/>
      <c r="AC315" s="349"/>
      <c r="AD315" s="349">
        <f t="shared" si="120"/>
        <v>57</v>
      </c>
      <c r="AE315" s="349"/>
      <c r="AF315" s="349"/>
      <c r="AG315" s="349"/>
      <c r="AH315" s="349"/>
      <c r="AI315" s="349"/>
      <c r="AJ315" s="349"/>
      <c r="AK315" s="349"/>
      <c r="AL315" s="349"/>
      <c r="AM315" s="349"/>
      <c r="AN315" s="349"/>
      <c r="AO315" s="349"/>
      <c r="AP315" s="354"/>
      <c r="AQ315" s="352">
        <f>CF286</f>
        <v>0</v>
      </c>
      <c r="AR315" s="353"/>
      <c r="AS315" s="367">
        <f t="shared" si="119"/>
        <v>0</v>
      </c>
      <c r="AT315" s="349"/>
      <c r="AU315" s="349"/>
      <c r="AV315" s="352"/>
      <c r="AW315" s="353"/>
      <c r="AX315" s="349">
        <f>Z315</f>
        <v>15</v>
      </c>
      <c r="AY315" s="369">
        <f t="shared" si="118"/>
        <v>0</v>
      </c>
      <c r="AZ315" s="353"/>
      <c r="BA315" s="349"/>
      <c r="BB315" s="349"/>
      <c r="BC315" s="349"/>
      <c r="BD315" s="349"/>
      <c r="BE315" s="349"/>
      <c r="BF315" s="349"/>
      <c r="BG315" s="349"/>
      <c r="BH315" s="349"/>
      <c r="BI315" s="349"/>
      <c r="BJ315" s="349"/>
      <c r="BK315" s="367"/>
      <c r="BL315" s="367"/>
      <c r="BM315" s="367">
        <v>1</v>
      </c>
      <c r="BN315" s="349"/>
      <c r="BO315" s="349"/>
      <c r="BP315" s="349"/>
      <c r="BQ315" s="349"/>
      <c r="BR315" s="349"/>
      <c r="BS315" s="349"/>
      <c r="BT315" s="349"/>
      <c r="BU315" s="349"/>
      <c r="BV315" s="349"/>
      <c r="BW315" s="349"/>
      <c r="BX315" s="349"/>
      <c r="BY315" s="349"/>
      <c r="BZ315" s="349"/>
      <c r="CA315" s="349"/>
      <c r="CB315" s="349"/>
      <c r="CC315" s="354"/>
      <c r="CD315" s="370"/>
      <c r="CE315" s="370"/>
      <c r="CF315" s="370">
        <v>1</v>
      </c>
      <c r="CG315" s="370"/>
      <c r="CH315" s="354"/>
      <c r="CI315" s="354"/>
      <c r="CJ315" s="354"/>
      <c r="CK315" s="354"/>
      <c r="CL315" s="354"/>
      <c r="CM315" s="354"/>
      <c r="CN315" s="354"/>
      <c r="CO315" s="354"/>
      <c r="CP315" s="354"/>
      <c r="CQ315" s="354"/>
      <c r="CR315" s="354"/>
      <c r="CS315" s="354"/>
      <c r="CT315" s="354"/>
      <c r="CU315" s="354"/>
      <c r="CV315" s="354"/>
      <c r="CW315" s="354"/>
      <c r="CX315" s="354"/>
      <c r="CY315" s="354"/>
      <c r="CZ315" s="354"/>
      <c r="DA315" s="354"/>
      <c r="DB315" s="354"/>
      <c r="DC315" s="352"/>
      <c r="DJ315" s="58"/>
      <c r="DL315" s="364"/>
    </row>
    <row r="316" spans="1:116" s="59" customFormat="1" ht="18">
      <c r="A316" s="368"/>
      <c r="B316" s="447" t="s">
        <v>387</v>
      </c>
      <c r="C316" s="456">
        <v>32</v>
      </c>
      <c r="D316" s="460"/>
      <c r="E316" s="459"/>
      <c r="F316" s="460"/>
      <c r="G316" s="349"/>
      <c r="H316" s="367"/>
      <c r="I316" s="349"/>
      <c r="J316" s="349"/>
      <c r="K316" s="349"/>
      <c r="L316" s="349"/>
      <c r="M316" s="349"/>
      <c r="N316" s="349"/>
      <c r="O316" s="349"/>
      <c r="P316" s="354"/>
      <c r="Q316" s="354"/>
      <c r="R316" s="354"/>
      <c r="S316" s="354"/>
      <c r="T316" s="352">
        <f t="shared" si="117"/>
        <v>32</v>
      </c>
      <c r="U316" s="353">
        <f>ROUNDUP(((1.9+1.4+7.2+5.6+7.2+1.4)*4.7)-(BK285+(CD285*2)),0)</f>
        <v>117</v>
      </c>
      <c r="V316" s="353"/>
      <c r="W316" s="353"/>
      <c r="X316" s="349"/>
      <c r="Y316" s="349"/>
      <c r="Z316" s="349"/>
      <c r="AA316" s="349">
        <f>ROUNDUP(((5.9+10.1+5.6+8.7+0.3+1.4)*4.7)-(BK285+(CD285*2)),0)</f>
        <v>151</v>
      </c>
      <c r="AB316" s="349"/>
      <c r="AC316" s="349"/>
      <c r="AD316" s="349">
        <f t="shared" si="120"/>
        <v>151</v>
      </c>
      <c r="AE316" s="349"/>
      <c r="AF316" s="349"/>
      <c r="AG316" s="349"/>
      <c r="AH316" s="349"/>
      <c r="AI316" s="349"/>
      <c r="AJ316" s="349"/>
      <c r="AK316" s="349"/>
      <c r="AL316" s="349"/>
      <c r="AM316" s="349"/>
      <c r="AN316" s="349">
        <f>ROUNDUP(((3*4.7)+BK287+(CD287*2)),0)</f>
        <v>15</v>
      </c>
      <c r="AO316" s="349"/>
      <c r="AP316" s="354"/>
      <c r="AQ316" s="352">
        <f>ROUNDUP(BK286+(CD286*2),0)</f>
        <v>0</v>
      </c>
      <c r="AR316" s="353"/>
      <c r="AS316" s="367">
        <f t="shared" si="119"/>
        <v>0</v>
      </c>
      <c r="AT316" s="349"/>
      <c r="AU316" s="349"/>
      <c r="AV316" s="352"/>
      <c r="AW316" s="353"/>
      <c r="AX316" s="349"/>
      <c r="AY316" s="369">
        <f t="shared" si="118"/>
        <v>0</v>
      </c>
      <c r="AZ316" s="353"/>
      <c r="BA316" s="349"/>
      <c r="BB316" s="349"/>
      <c r="BC316" s="349"/>
      <c r="BD316" s="349"/>
      <c r="BE316" s="349"/>
      <c r="BF316" s="349"/>
      <c r="BG316" s="349"/>
      <c r="BH316" s="349"/>
      <c r="BI316" s="349"/>
      <c r="BJ316" s="349"/>
      <c r="BK316" s="367">
        <v>1</v>
      </c>
      <c r="BL316" s="367"/>
      <c r="BM316" s="349"/>
      <c r="BN316" s="349"/>
      <c r="BO316" s="349"/>
      <c r="BP316" s="349"/>
      <c r="BQ316" s="349"/>
      <c r="BR316" s="349"/>
      <c r="BS316" s="349"/>
      <c r="BT316" s="349"/>
      <c r="BU316" s="349"/>
      <c r="BV316" s="349"/>
      <c r="BW316" s="349"/>
      <c r="BX316" s="349"/>
      <c r="BY316" s="349"/>
      <c r="BZ316" s="349"/>
      <c r="CA316" s="349"/>
      <c r="CB316" s="349"/>
      <c r="CC316" s="354"/>
      <c r="CD316" s="370">
        <v>2</v>
      </c>
      <c r="CE316" s="370"/>
      <c r="CF316" s="354"/>
      <c r="CG316" s="354"/>
      <c r="CH316" s="354"/>
      <c r="CI316" s="354"/>
      <c r="CJ316" s="354"/>
      <c r="CK316" s="354"/>
      <c r="CL316" s="354"/>
      <c r="CM316" s="354"/>
      <c r="CN316" s="354"/>
      <c r="CO316" s="354"/>
      <c r="CP316" s="354"/>
      <c r="CQ316" s="354"/>
      <c r="CR316" s="354"/>
      <c r="CS316" s="354"/>
      <c r="CT316" s="354"/>
      <c r="CU316" s="354"/>
      <c r="CV316" s="354"/>
      <c r="CW316" s="354"/>
      <c r="CX316" s="354"/>
      <c r="CY316" s="354"/>
      <c r="CZ316" s="354"/>
      <c r="DA316" s="354"/>
      <c r="DB316" s="354"/>
      <c r="DC316" s="352"/>
      <c r="DJ316" s="58"/>
      <c r="DL316" s="364"/>
    </row>
    <row r="317" spans="1:116" s="59" customFormat="1" ht="18">
      <c r="A317" s="368"/>
      <c r="B317" s="447" t="s">
        <v>360</v>
      </c>
      <c r="C317" s="456">
        <v>32</v>
      </c>
      <c r="D317" s="460"/>
      <c r="E317" s="459"/>
      <c r="F317" s="460"/>
      <c r="G317" s="349"/>
      <c r="H317" s="367"/>
      <c r="I317" s="349"/>
      <c r="J317" s="349"/>
      <c r="K317" s="349"/>
      <c r="L317" s="349"/>
      <c r="M317" s="349"/>
      <c r="N317" s="349"/>
      <c r="O317" s="349"/>
      <c r="P317" s="354"/>
      <c r="Q317" s="354"/>
      <c r="R317" s="354"/>
      <c r="S317" s="354"/>
      <c r="T317" s="352"/>
      <c r="U317" s="353"/>
      <c r="V317" s="353"/>
      <c r="W317" s="353"/>
      <c r="X317" s="349"/>
      <c r="Y317" s="349"/>
      <c r="Z317" s="349"/>
      <c r="AA317" s="349"/>
      <c r="AB317" s="349"/>
      <c r="AC317" s="349"/>
      <c r="AD317" s="349"/>
      <c r="AE317" s="349"/>
      <c r="AF317" s="349"/>
      <c r="AG317" s="349"/>
      <c r="AH317" s="349"/>
      <c r="AI317" s="349"/>
      <c r="AJ317" s="349"/>
      <c r="AK317" s="349"/>
      <c r="AL317" s="349"/>
      <c r="AM317" s="349"/>
      <c r="AN317" s="349"/>
      <c r="AO317" s="349"/>
      <c r="AP317" s="354"/>
      <c r="AQ317" s="352"/>
      <c r="AR317" s="353"/>
      <c r="AS317" s="367"/>
      <c r="AT317" s="349"/>
      <c r="AU317" s="349"/>
      <c r="AV317" s="352"/>
      <c r="AW317" s="353"/>
      <c r="AX317" s="349"/>
      <c r="AY317" s="369"/>
      <c r="AZ317" s="353"/>
      <c r="BA317" s="349"/>
      <c r="BB317" s="349"/>
      <c r="BC317" s="349"/>
      <c r="BD317" s="349"/>
      <c r="BE317" s="349"/>
      <c r="BF317" s="349"/>
      <c r="BG317" s="349"/>
      <c r="BH317" s="349"/>
      <c r="BI317" s="349"/>
      <c r="BJ317" s="349"/>
      <c r="BK317" s="367"/>
      <c r="BL317" s="367"/>
      <c r="BM317" s="349"/>
      <c r="BN317" s="349"/>
      <c r="BO317" s="349"/>
      <c r="BP317" s="349"/>
      <c r="BQ317" s="349"/>
      <c r="BR317" s="349"/>
      <c r="BS317" s="349"/>
      <c r="BT317" s="349"/>
      <c r="BU317" s="349"/>
      <c r="BV317" s="349"/>
      <c r="BW317" s="349"/>
      <c r="BX317" s="349"/>
      <c r="BY317" s="349"/>
      <c r="BZ317" s="349"/>
      <c r="CA317" s="349"/>
      <c r="CB317" s="349"/>
      <c r="CC317" s="354"/>
      <c r="CD317" s="370"/>
      <c r="CE317" s="370"/>
      <c r="CF317" s="354"/>
      <c r="CG317" s="354"/>
      <c r="CH317" s="354"/>
      <c r="CI317" s="354"/>
      <c r="CJ317" s="354"/>
      <c r="CK317" s="354"/>
      <c r="CL317" s="354"/>
      <c r="CM317" s="354"/>
      <c r="CN317" s="354"/>
      <c r="CO317" s="354"/>
      <c r="CP317" s="354"/>
      <c r="CQ317" s="354"/>
      <c r="CR317" s="354"/>
      <c r="CS317" s="354"/>
      <c r="CT317" s="354"/>
      <c r="CU317" s="354"/>
      <c r="CV317" s="354"/>
      <c r="CW317" s="354"/>
      <c r="CX317" s="354"/>
      <c r="CY317" s="354"/>
      <c r="CZ317" s="354"/>
      <c r="DA317" s="354"/>
      <c r="DB317" s="354"/>
      <c r="DC317" s="352"/>
      <c r="DJ317" s="58"/>
      <c r="DL317" s="364"/>
    </row>
    <row r="318" spans="1:116" s="59" customFormat="1" ht="18">
      <c r="A318" s="368"/>
      <c r="B318" s="447" t="s">
        <v>304</v>
      </c>
      <c r="C318" s="456">
        <v>15</v>
      </c>
      <c r="D318" s="459"/>
      <c r="E318" s="460"/>
      <c r="F318" s="460"/>
      <c r="G318" s="349"/>
      <c r="H318" s="349"/>
      <c r="I318" s="349"/>
      <c r="J318" s="349"/>
      <c r="K318" s="349"/>
      <c r="L318" s="349"/>
      <c r="M318" s="349"/>
      <c r="N318" s="349"/>
      <c r="O318" s="349"/>
      <c r="P318" s="354"/>
      <c r="Q318" s="354"/>
      <c r="R318" s="354"/>
      <c r="S318" s="354"/>
      <c r="T318" s="352"/>
      <c r="U318" s="353"/>
      <c r="V318" s="353"/>
      <c r="W318" s="353"/>
      <c r="X318" s="349"/>
      <c r="Y318" s="349"/>
      <c r="Z318" s="349"/>
      <c r="AA318" s="349"/>
      <c r="AB318" s="349"/>
      <c r="AC318" s="349"/>
      <c r="AD318" s="349"/>
      <c r="AE318" s="349"/>
      <c r="AF318" s="349"/>
      <c r="AG318" s="349"/>
      <c r="AH318" s="349"/>
      <c r="AI318" s="349"/>
      <c r="AJ318" s="349"/>
      <c r="AK318" s="349"/>
      <c r="AL318" s="349"/>
      <c r="AM318" s="349"/>
      <c r="AN318" s="349"/>
      <c r="AO318" s="349"/>
      <c r="AP318" s="354"/>
      <c r="AQ318" s="352"/>
      <c r="AR318" s="366">
        <f>C318</f>
        <v>15</v>
      </c>
      <c r="AS318" s="349"/>
      <c r="AT318" s="349"/>
      <c r="AU318" s="349"/>
      <c r="AV318" s="352"/>
      <c r="AW318" s="353"/>
      <c r="AX318" s="349"/>
      <c r="AY318" s="369">
        <f>AR318</f>
        <v>15</v>
      </c>
      <c r="AZ318" s="353"/>
      <c r="BA318" s="349"/>
      <c r="BB318" s="349"/>
      <c r="BC318" s="349"/>
      <c r="BD318" s="349"/>
      <c r="BE318" s="349"/>
      <c r="BF318" s="349"/>
      <c r="BG318" s="349"/>
      <c r="BH318" s="349"/>
      <c r="BI318" s="349"/>
      <c r="BJ318" s="349"/>
      <c r="BK318" s="349"/>
      <c r="BL318" s="349"/>
      <c r="BM318" s="349"/>
      <c r="BN318" s="349"/>
      <c r="BO318" s="349"/>
      <c r="BP318" s="349"/>
      <c r="BQ318" s="349"/>
      <c r="BR318" s="349"/>
      <c r="BS318" s="349"/>
      <c r="BT318" s="349"/>
      <c r="BU318" s="349"/>
      <c r="BV318" s="349"/>
      <c r="BW318" s="349"/>
      <c r="BX318" s="349"/>
      <c r="BY318" s="349"/>
      <c r="BZ318" s="349"/>
      <c r="CA318" s="349"/>
      <c r="CB318" s="349"/>
      <c r="CC318" s="354"/>
      <c r="CD318" s="354"/>
      <c r="CE318" s="354"/>
      <c r="CF318" s="354"/>
      <c r="CG318" s="354"/>
      <c r="CH318" s="354"/>
      <c r="CI318" s="354"/>
      <c r="CJ318" s="354"/>
      <c r="CK318" s="354"/>
      <c r="CL318" s="354"/>
      <c r="CM318" s="354"/>
      <c r="CN318" s="354"/>
      <c r="CO318" s="354"/>
      <c r="CP318" s="354"/>
      <c r="CQ318" s="354"/>
      <c r="CR318" s="354"/>
      <c r="CS318" s="354"/>
      <c r="CT318" s="354"/>
      <c r="CU318" s="354"/>
      <c r="CV318" s="354"/>
      <c r="CW318" s="354"/>
      <c r="CX318" s="354"/>
      <c r="CY318" s="354"/>
      <c r="CZ318" s="354"/>
      <c r="DA318" s="354"/>
      <c r="DB318" s="354"/>
      <c r="DC318" s="352"/>
      <c r="DJ318" s="58"/>
      <c r="DL318" s="364"/>
    </row>
    <row r="319" spans="1:116" s="59" customFormat="1" ht="18">
      <c r="A319" s="368"/>
      <c r="B319" s="447" t="s">
        <v>299</v>
      </c>
      <c r="C319" s="456">
        <v>32</v>
      </c>
      <c r="D319" s="459"/>
      <c r="E319" s="460"/>
      <c r="F319" s="460"/>
      <c r="G319" s="349"/>
      <c r="H319" s="349"/>
      <c r="I319" s="349"/>
      <c r="J319" s="349"/>
      <c r="K319" s="349"/>
      <c r="L319" s="349"/>
      <c r="M319" s="349"/>
      <c r="N319" s="349"/>
      <c r="O319" s="349"/>
      <c r="P319" s="354"/>
      <c r="Q319" s="354"/>
      <c r="R319" s="354"/>
      <c r="S319" s="354"/>
      <c r="T319" s="352"/>
      <c r="U319" s="353"/>
      <c r="V319" s="353"/>
      <c r="W319" s="353"/>
      <c r="X319" s="349"/>
      <c r="Y319" s="349"/>
      <c r="Z319" s="349"/>
      <c r="AA319" s="349"/>
      <c r="AB319" s="349"/>
      <c r="AC319" s="349"/>
      <c r="AD319" s="349"/>
      <c r="AE319" s="349"/>
      <c r="AF319" s="349"/>
      <c r="AG319" s="349"/>
      <c r="AH319" s="349"/>
      <c r="AI319" s="349"/>
      <c r="AJ319" s="349"/>
      <c r="AK319" s="349"/>
      <c r="AL319" s="349"/>
      <c r="AM319" s="349"/>
      <c r="AN319" s="349"/>
      <c r="AO319" s="349"/>
      <c r="AP319" s="354"/>
      <c r="AQ319" s="352"/>
      <c r="AR319" s="366"/>
      <c r="AS319" s="349"/>
      <c r="AT319" s="349"/>
      <c r="AU319" s="349"/>
      <c r="AV319" s="352"/>
      <c r="AW319" s="353"/>
      <c r="AX319" s="349"/>
      <c r="AY319" s="369"/>
      <c r="AZ319" s="353"/>
      <c r="BA319" s="349"/>
      <c r="BB319" s="349"/>
      <c r="BC319" s="349"/>
      <c r="BD319" s="349"/>
      <c r="BE319" s="349"/>
      <c r="BF319" s="349"/>
      <c r="BG319" s="349"/>
      <c r="BH319" s="349"/>
      <c r="BI319" s="349"/>
      <c r="BJ319" s="349"/>
      <c r="BK319" s="349"/>
      <c r="BL319" s="349"/>
      <c r="BM319" s="349"/>
      <c r="BN319" s="349"/>
      <c r="BO319" s="349"/>
      <c r="BP319" s="349"/>
      <c r="BQ319" s="349"/>
      <c r="BR319" s="349"/>
      <c r="BS319" s="349"/>
      <c r="BT319" s="349"/>
      <c r="BU319" s="349"/>
      <c r="BV319" s="349"/>
      <c r="BW319" s="349"/>
      <c r="BX319" s="349"/>
      <c r="BY319" s="349"/>
      <c r="BZ319" s="349"/>
      <c r="CA319" s="349"/>
      <c r="CB319" s="349"/>
      <c r="CC319" s="354"/>
      <c r="CD319" s="354"/>
      <c r="CE319" s="354"/>
      <c r="CF319" s="354"/>
      <c r="CG319" s="354"/>
      <c r="CH319" s="354"/>
      <c r="CI319" s="354"/>
      <c r="CJ319" s="354"/>
      <c r="CK319" s="354"/>
      <c r="CL319" s="354"/>
      <c r="CM319" s="354"/>
      <c r="CN319" s="354"/>
      <c r="CO319" s="354"/>
      <c r="CP319" s="354"/>
      <c r="CQ319" s="354"/>
      <c r="CR319" s="354"/>
      <c r="CS319" s="354"/>
      <c r="CT319" s="354"/>
      <c r="CU319" s="354"/>
      <c r="CV319" s="354"/>
      <c r="CW319" s="354"/>
      <c r="CX319" s="354"/>
      <c r="CY319" s="354"/>
      <c r="CZ319" s="354"/>
      <c r="DA319" s="354"/>
      <c r="DB319" s="354"/>
      <c r="DC319" s="352"/>
      <c r="DJ319" s="58"/>
      <c r="DL319" s="364"/>
    </row>
    <row r="320" spans="1:116" s="59" customFormat="1" ht="18">
      <c r="A320" s="365"/>
      <c r="B320" s="447" t="s">
        <v>305</v>
      </c>
      <c r="C320" s="456">
        <v>50</v>
      </c>
      <c r="D320" s="460"/>
      <c r="E320" s="460"/>
      <c r="F320" s="460"/>
      <c r="G320" s="349"/>
      <c r="H320" s="349"/>
      <c r="I320" s="367"/>
      <c r="J320" s="349"/>
      <c r="K320" s="349"/>
      <c r="L320" s="349"/>
      <c r="M320" s="349"/>
      <c r="N320" s="349"/>
      <c r="O320" s="349"/>
      <c r="P320" s="354"/>
      <c r="Q320" s="354"/>
      <c r="R320" s="354"/>
      <c r="S320" s="354"/>
      <c r="T320" s="352"/>
      <c r="U320" s="353"/>
      <c r="V320" s="353"/>
      <c r="W320" s="353"/>
      <c r="X320" s="349"/>
      <c r="Y320" s="349"/>
      <c r="Z320" s="349"/>
      <c r="AA320" s="349"/>
      <c r="AB320" s="349"/>
      <c r="AC320" s="349"/>
      <c r="AD320" s="349"/>
      <c r="AE320" s="349"/>
      <c r="AF320" s="349"/>
      <c r="AG320" s="349"/>
      <c r="AH320" s="349"/>
      <c r="AI320" s="349"/>
      <c r="AJ320" s="349"/>
      <c r="AK320" s="349"/>
      <c r="AL320" s="349"/>
      <c r="AM320" s="349"/>
      <c r="AN320" s="349"/>
      <c r="AO320" s="349"/>
      <c r="AP320" s="354"/>
      <c r="AQ320" s="352"/>
      <c r="AR320" s="366">
        <f>C320</f>
        <v>50</v>
      </c>
      <c r="AS320" s="349"/>
      <c r="AT320" s="349"/>
      <c r="AU320" s="349"/>
      <c r="AV320" s="352"/>
      <c r="AW320" s="353"/>
      <c r="AX320" s="349"/>
      <c r="AY320" s="369">
        <f>AR320</f>
        <v>50</v>
      </c>
      <c r="AZ320" s="353"/>
      <c r="BA320" s="349"/>
      <c r="BB320" s="349"/>
      <c r="BC320" s="349"/>
      <c r="BD320" s="349"/>
      <c r="BE320" s="349"/>
      <c r="BF320" s="349"/>
      <c r="BG320" s="349"/>
      <c r="BH320" s="349"/>
      <c r="BI320" s="349"/>
      <c r="BJ320" s="349"/>
      <c r="BK320" s="349"/>
      <c r="BL320" s="349"/>
      <c r="BM320" s="349"/>
      <c r="BN320" s="349"/>
      <c r="BO320" s="349"/>
      <c r="BP320" s="349"/>
      <c r="BQ320" s="349"/>
      <c r="BR320" s="349"/>
      <c r="BS320" s="349"/>
      <c r="BT320" s="349"/>
      <c r="BU320" s="349"/>
      <c r="BV320" s="349"/>
      <c r="BW320" s="349"/>
      <c r="BX320" s="349"/>
      <c r="BY320" s="349"/>
      <c r="BZ320" s="349"/>
      <c r="CA320" s="349"/>
      <c r="CB320" s="349"/>
      <c r="CC320" s="354"/>
      <c r="CD320" s="354"/>
      <c r="CE320" s="354"/>
      <c r="CF320" s="354"/>
      <c r="CG320" s="354"/>
      <c r="CH320" s="354"/>
      <c r="CI320" s="354"/>
      <c r="CJ320" s="354"/>
      <c r="CK320" s="354"/>
      <c r="CL320" s="354"/>
      <c r="CM320" s="354"/>
      <c r="CN320" s="354"/>
      <c r="CO320" s="354"/>
      <c r="CP320" s="354"/>
      <c r="CQ320" s="354"/>
      <c r="CR320" s="354"/>
      <c r="CS320" s="354"/>
      <c r="CT320" s="354"/>
      <c r="CU320" s="354"/>
      <c r="CV320" s="354"/>
      <c r="CW320" s="354"/>
      <c r="CX320" s="354"/>
      <c r="CY320" s="354"/>
      <c r="CZ320" s="354"/>
      <c r="DA320" s="354"/>
      <c r="DB320" s="354"/>
      <c r="DC320" s="352"/>
      <c r="DJ320" s="58"/>
      <c r="DL320" s="364"/>
    </row>
    <row r="321" spans="1:116" s="59" customFormat="1" ht="18">
      <c r="A321" s="368"/>
      <c r="B321" s="447" t="s">
        <v>306</v>
      </c>
      <c r="C321" s="456">
        <v>50</v>
      </c>
      <c r="D321" s="460"/>
      <c r="E321" s="460"/>
      <c r="F321" s="460"/>
      <c r="G321" s="349"/>
      <c r="H321" s="349"/>
      <c r="I321" s="349"/>
      <c r="J321" s="349"/>
      <c r="K321" s="349"/>
      <c r="L321" s="349"/>
      <c r="M321" s="349"/>
      <c r="N321" s="349"/>
      <c r="O321" s="349"/>
      <c r="P321" s="354"/>
      <c r="Q321" s="354"/>
      <c r="R321" s="354"/>
      <c r="S321" s="354"/>
      <c r="T321" s="352"/>
      <c r="U321" s="353">
        <f>ROUNDUP((30.48*2.9)-(BI285+BM285+CF285),0)</f>
        <v>89</v>
      </c>
      <c r="V321" s="353"/>
      <c r="W321" s="353"/>
      <c r="X321" s="349"/>
      <c r="Y321" s="349"/>
      <c r="Z321" s="349">
        <f>ROUNDUP((8.4*3.8)-CF285,0)</f>
        <v>32</v>
      </c>
      <c r="AA321" s="349">
        <f>U321</f>
        <v>89</v>
      </c>
      <c r="AB321" s="349"/>
      <c r="AC321" s="349"/>
      <c r="AD321" s="349"/>
      <c r="AE321" s="349"/>
      <c r="AF321" s="349"/>
      <c r="AG321" s="349"/>
      <c r="AH321" s="349"/>
      <c r="AI321" s="349"/>
      <c r="AJ321" s="349"/>
      <c r="AK321" s="349"/>
      <c r="AL321" s="349"/>
      <c r="AM321" s="349"/>
      <c r="AN321" s="349">
        <f>ROUNDUP(BI287+BM287+CF287,0)</f>
        <v>0</v>
      </c>
      <c r="AO321" s="349"/>
      <c r="AP321" s="354"/>
      <c r="AQ321" s="352">
        <f>ROUNDUP(BI286+CF286+BM286,0)</f>
        <v>0</v>
      </c>
      <c r="AR321" s="366">
        <f>C321</f>
        <v>50</v>
      </c>
      <c r="AS321" s="349"/>
      <c r="AT321" s="349"/>
      <c r="AU321" s="349"/>
      <c r="AV321" s="352"/>
      <c r="AW321" s="353">
        <f>AA321</f>
        <v>89</v>
      </c>
      <c r="AX321" s="349">
        <f>Z321</f>
        <v>32</v>
      </c>
      <c r="AY321" s="369">
        <f>AR321</f>
        <v>50</v>
      </c>
      <c r="AZ321" s="353"/>
      <c r="BA321" s="349"/>
      <c r="BB321" s="349"/>
      <c r="BC321" s="349"/>
      <c r="BD321" s="349"/>
      <c r="BE321" s="349"/>
      <c r="BF321" s="349"/>
      <c r="BG321" s="349"/>
      <c r="BH321" s="349"/>
      <c r="BI321" s="349">
        <v>1</v>
      </c>
      <c r="BJ321" s="349"/>
      <c r="BK321" s="349"/>
      <c r="BL321" s="349"/>
      <c r="BM321" s="349">
        <v>1</v>
      </c>
      <c r="BN321" s="349"/>
      <c r="BO321" s="349"/>
      <c r="BP321" s="349"/>
      <c r="BQ321" s="349"/>
      <c r="BR321" s="349"/>
      <c r="BS321" s="349"/>
      <c r="BT321" s="349"/>
      <c r="BU321" s="349"/>
      <c r="BV321" s="349"/>
      <c r="BW321" s="349"/>
      <c r="BX321" s="349"/>
      <c r="BY321" s="349"/>
      <c r="BZ321" s="349"/>
      <c r="CA321" s="349"/>
      <c r="CB321" s="349"/>
      <c r="CC321" s="354"/>
      <c r="CD321" s="354"/>
      <c r="CE321" s="354"/>
      <c r="CF321" s="354">
        <v>1</v>
      </c>
      <c r="CG321" s="354"/>
      <c r="CH321" s="354"/>
      <c r="CI321" s="354"/>
      <c r="CJ321" s="354"/>
      <c r="CK321" s="354"/>
      <c r="CL321" s="354"/>
      <c r="CM321" s="354"/>
      <c r="CN321" s="354"/>
      <c r="CO321" s="354"/>
      <c r="CP321" s="354"/>
      <c r="CQ321" s="354"/>
      <c r="CR321" s="354"/>
      <c r="CS321" s="354"/>
      <c r="CT321" s="354"/>
      <c r="CU321" s="354"/>
      <c r="CV321" s="354"/>
      <c r="CW321" s="354"/>
      <c r="CX321" s="354"/>
      <c r="CY321" s="354"/>
      <c r="CZ321" s="354"/>
      <c r="DA321" s="354"/>
      <c r="DB321" s="354"/>
      <c r="DC321" s="352"/>
      <c r="DJ321" s="58"/>
      <c r="DL321" s="364"/>
    </row>
    <row r="322" spans="1:116" s="59" customFormat="1" ht="18">
      <c r="A322" s="368"/>
      <c r="B322" s="447" t="s">
        <v>295</v>
      </c>
      <c r="C322" s="456"/>
      <c r="D322" s="460"/>
      <c r="E322" s="456">
        <v>38</v>
      </c>
      <c r="F322" s="460"/>
      <c r="G322" s="349"/>
      <c r="H322" s="349"/>
      <c r="I322" s="349"/>
      <c r="J322" s="349"/>
      <c r="K322" s="349"/>
      <c r="L322" s="349"/>
      <c r="M322" s="349"/>
      <c r="N322" s="349"/>
      <c r="O322" s="349"/>
      <c r="P322" s="354"/>
      <c r="Q322" s="354"/>
      <c r="R322" s="354"/>
      <c r="S322" s="354"/>
      <c r="T322" s="352"/>
      <c r="U322" s="353"/>
      <c r="V322" s="353"/>
      <c r="W322" s="353"/>
      <c r="X322" s="349"/>
      <c r="Y322" s="349"/>
      <c r="Z322" s="349"/>
      <c r="AA322" s="349"/>
      <c r="AB322" s="349"/>
      <c r="AC322" s="349"/>
      <c r="AD322" s="349"/>
      <c r="AE322" s="349"/>
      <c r="AF322" s="349"/>
      <c r="AG322" s="349"/>
      <c r="AH322" s="349"/>
      <c r="AI322" s="349"/>
      <c r="AJ322" s="349"/>
      <c r="AK322" s="349"/>
      <c r="AL322" s="349"/>
      <c r="AM322" s="349"/>
      <c r="AN322" s="349"/>
      <c r="AO322" s="349"/>
      <c r="AP322" s="354"/>
      <c r="AQ322" s="352"/>
      <c r="AR322" s="353"/>
      <c r="AS322" s="349"/>
      <c r="AT322" s="349"/>
      <c r="AU322" s="349"/>
      <c r="AV322" s="352"/>
      <c r="AW322" s="353"/>
      <c r="AX322" s="349"/>
      <c r="AY322" s="352"/>
      <c r="AZ322" s="353"/>
      <c r="BA322" s="349"/>
      <c r="BB322" s="349"/>
      <c r="BC322" s="349"/>
      <c r="BD322" s="349"/>
      <c r="BE322" s="349"/>
      <c r="BF322" s="349"/>
      <c r="BG322" s="349"/>
      <c r="BH322" s="349"/>
      <c r="BI322" s="349"/>
      <c r="BJ322" s="349"/>
      <c r="BK322" s="349"/>
      <c r="BL322" s="349"/>
      <c r="BM322" s="349"/>
      <c r="BN322" s="349"/>
      <c r="BO322" s="349"/>
      <c r="BP322" s="349"/>
      <c r="BQ322" s="349"/>
      <c r="BR322" s="349"/>
      <c r="BS322" s="349"/>
      <c r="BT322" s="349"/>
      <c r="BU322" s="349"/>
      <c r="BV322" s="349"/>
      <c r="BW322" s="349"/>
      <c r="BX322" s="349"/>
      <c r="BY322" s="349"/>
      <c r="BZ322" s="349"/>
      <c r="CA322" s="349"/>
      <c r="CB322" s="349"/>
      <c r="CC322" s="354"/>
      <c r="CD322" s="354"/>
      <c r="CE322" s="354"/>
      <c r="CF322" s="354"/>
      <c r="CG322" s="354"/>
      <c r="CH322" s="354"/>
      <c r="CI322" s="354"/>
      <c r="CJ322" s="354"/>
      <c r="CK322" s="354"/>
      <c r="CL322" s="354"/>
      <c r="CM322" s="354"/>
      <c r="CN322" s="354"/>
      <c r="CO322" s="354"/>
      <c r="CP322" s="354"/>
      <c r="CQ322" s="354"/>
      <c r="CR322" s="354"/>
      <c r="CS322" s="354"/>
      <c r="CT322" s="354"/>
      <c r="CU322" s="354"/>
      <c r="CV322" s="354"/>
      <c r="CW322" s="354"/>
      <c r="CX322" s="354"/>
      <c r="CY322" s="354"/>
      <c r="CZ322" s="354"/>
      <c r="DA322" s="354"/>
      <c r="DB322" s="354"/>
      <c r="DC322" s="352"/>
      <c r="DJ322" s="58"/>
      <c r="DL322" s="364"/>
    </row>
    <row r="323" spans="1:116" s="59" customFormat="1" ht="18">
      <c r="A323" s="368"/>
      <c r="B323" s="447" t="s">
        <v>296</v>
      </c>
      <c r="C323" s="456"/>
      <c r="D323" s="460"/>
      <c r="E323" s="456">
        <v>38</v>
      </c>
      <c r="F323" s="460"/>
      <c r="G323" s="349"/>
      <c r="H323" s="349"/>
      <c r="I323" s="349"/>
      <c r="J323" s="349"/>
      <c r="K323" s="349"/>
      <c r="L323" s="349"/>
      <c r="M323" s="349"/>
      <c r="N323" s="349"/>
      <c r="O323" s="349"/>
      <c r="P323" s="354"/>
      <c r="Q323" s="354"/>
      <c r="R323" s="354"/>
      <c r="S323" s="354"/>
      <c r="T323" s="352"/>
      <c r="U323" s="353"/>
      <c r="V323" s="353"/>
      <c r="W323" s="353"/>
      <c r="X323" s="349"/>
      <c r="Y323" s="349"/>
      <c r="Z323" s="349"/>
      <c r="AA323" s="349"/>
      <c r="AB323" s="349"/>
      <c r="AC323" s="349"/>
      <c r="AD323" s="349"/>
      <c r="AE323" s="349"/>
      <c r="AF323" s="349"/>
      <c r="AG323" s="349"/>
      <c r="AH323" s="349"/>
      <c r="AI323" s="349"/>
      <c r="AJ323" s="349"/>
      <c r="AK323" s="349"/>
      <c r="AL323" s="349"/>
      <c r="AM323" s="349"/>
      <c r="AN323" s="349"/>
      <c r="AO323" s="349"/>
      <c r="AP323" s="354"/>
      <c r="AQ323" s="352"/>
      <c r="AR323" s="353"/>
      <c r="AS323" s="349"/>
      <c r="AT323" s="349"/>
      <c r="AU323" s="349"/>
      <c r="AV323" s="352"/>
      <c r="AW323" s="353"/>
      <c r="AX323" s="349"/>
      <c r="AY323" s="352"/>
      <c r="AZ323" s="353"/>
      <c r="BA323" s="349"/>
      <c r="BB323" s="349"/>
      <c r="BC323" s="349"/>
      <c r="BD323" s="349"/>
      <c r="BE323" s="349"/>
      <c r="BF323" s="349"/>
      <c r="BG323" s="349"/>
      <c r="BH323" s="349"/>
      <c r="BI323" s="349"/>
      <c r="BJ323" s="349"/>
      <c r="BK323" s="349"/>
      <c r="BL323" s="349"/>
      <c r="BM323" s="349"/>
      <c r="BN323" s="349"/>
      <c r="BO323" s="349"/>
      <c r="BP323" s="349"/>
      <c r="BQ323" s="349"/>
      <c r="BR323" s="349"/>
      <c r="BS323" s="349"/>
      <c r="BT323" s="349"/>
      <c r="BU323" s="349"/>
      <c r="BV323" s="349"/>
      <c r="BW323" s="349"/>
      <c r="BX323" s="349"/>
      <c r="BY323" s="349"/>
      <c r="BZ323" s="349"/>
      <c r="CA323" s="349"/>
      <c r="CB323" s="349"/>
      <c r="CC323" s="354"/>
      <c r="CD323" s="354"/>
      <c r="CE323" s="354"/>
      <c r="CF323" s="354"/>
      <c r="CG323" s="354"/>
      <c r="CH323" s="354"/>
      <c r="CI323" s="354"/>
      <c r="CJ323" s="354"/>
      <c r="CK323" s="354"/>
      <c r="CL323" s="354"/>
      <c r="CM323" s="354"/>
      <c r="CN323" s="354"/>
      <c r="CO323" s="354"/>
      <c r="CP323" s="354"/>
      <c r="CQ323" s="354"/>
      <c r="CR323" s="354"/>
      <c r="CS323" s="354"/>
      <c r="CT323" s="354"/>
      <c r="CU323" s="354"/>
      <c r="CV323" s="354"/>
      <c r="CW323" s="354"/>
      <c r="CX323" s="354"/>
      <c r="CY323" s="354"/>
      <c r="CZ323" s="354"/>
      <c r="DA323" s="354"/>
      <c r="DB323" s="354"/>
      <c r="DC323" s="352"/>
      <c r="DJ323" s="58"/>
      <c r="DL323" s="364"/>
    </row>
    <row r="324" spans="1:116" s="59" customFormat="1" ht="18">
      <c r="A324" s="368"/>
      <c r="B324" s="447" t="s">
        <v>358</v>
      </c>
      <c r="C324" s="456"/>
      <c r="D324" s="456">
        <v>68</v>
      </c>
      <c r="E324" s="460"/>
      <c r="F324" s="460"/>
      <c r="G324" s="349"/>
      <c r="H324" s="349"/>
      <c r="I324" s="349"/>
      <c r="J324" s="349"/>
      <c r="K324" s="349"/>
      <c r="L324" s="349"/>
      <c r="M324" s="349"/>
      <c r="N324" s="349"/>
      <c r="O324" s="349"/>
      <c r="P324" s="354"/>
      <c r="Q324" s="354"/>
      <c r="R324" s="354"/>
      <c r="S324" s="354"/>
      <c r="T324" s="352"/>
      <c r="U324" s="353"/>
      <c r="V324" s="353"/>
      <c r="W324" s="353"/>
      <c r="X324" s="349"/>
      <c r="Y324" s="349"/>
      <c r="Z324" s="349"/>
      <c r="AA324" s="349"/>
      <c r="AB324" s="349"/>
      <c r="AC324" s="349"/>
      <c r="AD324" s="349"/>
      <c r="AE324" s="349"/>
      <c r="AF324" s="349"/>
      <c r="AG324" s="349"/>
      <c r="AH324" s="349"/>
      <c r="AI324" s="349"/>
      <c r="AJ324" s="349"/>
      <c r="AK324" s="349"/>
      <c r="AL324" s="349"/>
      <c r="AM324" s="349"/>
      <c r="AN324" s="349"/>
      <c r="AO324" s="349"/>
      <c r="AP324" s="354"/>
      <c r="AQ324" s="352"/>
      <c r="AR324" s="353"/>
      <c r="AS324" s="349"/>
      <c r="AT324" s="349"/>
      <c r="AU324" s="349"/>
      <c r="AV324" s="352"/>
      <c r="AW324" s="353"/>
      <c r="AX324" s="349"/>
      <c r="AY324" s="352"/>
      <c r="AZ324" s="353"/>
      <c r="BA324" s="349"/>
      <c r="BB324" s="349"/>
      <c r="BC324" s="349"/>
      <c r="BD324" s="349"/>
      <c r="BE324" s="349"/>
      <c r="BF324" s="349"/>
      <c r="BG324" s="349"/>
      <c r="BH324" s="349"/>
      <c r="BI324" s="349"/>
      <c r="BJ324" s="349"/>
      <c r="BK324" s="349"/>
      <c r="BL324" s="349"/>
      <c r="BM324" s="349"/>
      <c r="BN324" s="349"/>
      <c r="BO324" s="349"/>
      <c r="BP324" s="349"/>
      <c r="BQ324" s="349"/>
      <c r="BR324" s="349"/>
      <c r="BS324" s="349"/>
      <c r="BT324" s="349"/>
      <c r="BU324" s="349"/>
      <c r="BV324" s="349"/>
      <c r="BW324" s="349"/>
      <c r="BX324" s="349"/>
      <c r="BY324" s="349"/>
      <c r="BZ324" s="349"/>
      <c r="CA324" s="349"/>
      <c r="CB324" s="349"/>
      <c r="CC324" s="354"/>
      <c r="CD324" s="354"/>
      <c r="CE324" s="354"/>
      <c r="CF324" s="354"/>
      <c r="CG324" s="354"/>
      <c r="CH324" s="354"/>
      <c r="CI324" s="354"/>
      <c r="CJ324" s="354"/>
      <c r="CK324" s="354"/>
      <c r="CL324" s="354"/>
      <c r="CM324" s="354"/>
      <c r="CN324" s="354"/>
      <c r="CO324" s="354"/>
      <c r="CP324" s="354"/>
      <c r="CQ324" s="354"/>
      <c r="CR324" s="354"/>
      <c r="CS324" s="354"/>
      <c r="CT324" s="354"/>
      <c r="CU324" s="354"/>
      <c r="CV324" s="354"/>
      <c r="CW324" s="354"/>
      <c r="CX324" s="354"/>
      <c r="CY324" s="354"/>
      <c r="CZ324" s="354"/>
      <c r="DA324" s="354"/>
      <c r="DB324" s="354"/>
      <c r="DC324" s="352"/>
      <c r="DJ324" s="58"/>
      <c r="DL324" s="364"/>
    </row>
    <row r="325" spans="1:116" s="59" customFormat="1" ht="18">
      <c r="A325" s="365"/>
      <c r="B325" s="447" t="s">
        <v>362</v>
      </c>
      <c r="C325" s="456"/>
      <c r="D325" s="456">
        <v>200</v>
      </c>
      <c r="E325" s="460"/>
      <c r="F325" s="460"/>
      <c r="G325" s="349"/>
      <c r="H325" s="349"/>
      <c r="I325" s="349"/>
      <c r="J325" s="349"/>
      <c r="K325" s="349"/>
      <c r="L325" s="349"/>
      <c r="M325" s="349"/>
      <c r="N325" s="349"/>
      <c r="O325" s="349"/>
      <c r="P325" s="354"/>
      <c r="Q325" s="354"/>
      <c r="R325" s="354"/>
      <c r="S325" s="354"/>
      <c r="T325" s="352"/>
      <c r="U325" s="353"/>
      <c r="V325" s="353"/>
      <c r="W325" s="353"/>
      <c r="X325" s="349"/>
      <c r="Y325" s="349"/>
      <c r="Z325" s="349"/>
      <c r="AA325" s="349"/>
      <c r="AB325" s="349"/>
      <c r="AC325" s="349"/>
      <c r="AD325" s="349"/>
      <c r="AE325" s="349"/>
      <c r="AF325" s="349"/>
      <c r="AG325" s="349"/>
      <c r="AH325" s="349"/>
      <c r="AI325" s="349"/>
      <c r="AJ325" s="349"/>
      <c r="AK325" s="349"/>
      <c r="AL325" s="349"/>
      <c r="AM325" s="349"/>
      <c r="AN325" s="349"/>
      <c r="AO325" s="349"/>
      <c r="AP325" s="354"/>
      <c r="AQ325" s="352"/>
      <c r="AR325" s="353"/>
      <c r="AS325" s="349"/>
      <c r="AT325" s="349"/>
      <c r="AU325" s="349"/>
      <c r="AV325" s="352"/>
      <c r="AW325" s="353"/>
      <c r="AX325" s="349"/>
      <c r="AY325" s="352"/>
      <c r="AZ325" s="353"/>
      <c r="BA325" s="349"/>
      <c r="BB325" s="349"/>
      <c r="BC325" s="349"/>
      <c r="BD325" s="349"/>
      <c r="BE325" s="349"/>
      <c r="BF325" s="349"/>
      <c r="BG325" s="349"/>
      <c r="BH325" s="349"/>
      <c r="BI325" s="349"/>
      <c r="BJ325" s="349"/>
      <c r="BK325" s="349"/>
      <c r="BL325" s="349"/>
      <c r="BM325" s="349"/>
      <c r="BN325" s="349"/>
      <c r="BO325" s="349"/>
      <c r="BP325" s="349"/>
      <c r="BQ325" s="349"/>
      <c r="BR325" s="349"/>
      <c r="BS325" s="349"/>
      <c r="BT325" s="349"/>
      <c r="BU325" s="349"/>
      <c r="BV325" s="349"/>
      <c r="BW325" s="349"/>
      <c r="BX325" s="349"/>
      <c r="BY325" s="349"/>
      <c r="BZ325" s="349"/>
      <c r="CA325" s="349"/>
      <c r="CB325" s="349"/>
      <c r="CC325" s="354"/>
      <c r="CD325" s="354"/>
      <c r="CE325" s="354"/>
      <c r="CF325" s="354"/>
      <c r="CG325" s="354"/>
      <c r="CH325" s="354"/>
      <c r="CI325" s="354"/>
      <c r="CJ325" s="354"/>
      <c r="CK325" s="354"/>
      <c r="CL325" s="354"/>
      <c r="CM325" s="354"/>
      <c r="CN325" s="354"/>
      <c r="CO325" s="354"/>
      <c r="CP325" s="354"/>
      <c r="CQ325" s="354"/>
      <c r="CR325" s="354"/>
      <c r="CS325" s="354"/>
      <c r="CT325" s="354"/>
      <c r="CU325" s="354"/>
      <c r="CV325" s="354"/>
      <c r="CW325" s="354"/>
      <c r="CX325" s="354"/>
      <c r="CY325" s="354"/>
      <c r="CZ325" s="354"/>
      <c r="DA325" s="354"/>
      <c r="DB325" s="354"/>
      <c r="DC325" s="352"/>
      <c r="DJ325" s="58"/>
      <c r="DL325" s="364"/>
    </row>
    <row r="326" spans="1:116" s="59" customFormat="1" ht="18">
      <c r="A326" s="365"/>
      <c r="B326" s="447" t="s">
        <v>366</v>
      </c>
      <c r="C326" s="456"/>
      <c r="D326" s="456">
        <v>200</v>
      </c>
      <c r="E326" s="460"/>
      <c r="F326" s="460"/>
      <c r="G326" s="349"/>
      <c r="H326" s="349"/>
      <c r="I326" s="349"/>
      <c r="J326" s="349"/>
      <c r="K326" s="349"/>
      <c r="L326" s="349"/>
      <c r="M326" s="349"/>
      <c r="N326" s="349"/>
      <c r="O326" s="349"/>
      <c r="P326" s="354"/>
      <c r="Q326" s="354"/>
      <c r="R326" s="354"/>
      <c r="S326" s="354"/>
      <c r="T326" s="352"/>
      <c r="U326" s="353"/>
      <c r="V326" s="353"/>
      <c r="W326" s="353"/>
      <c r="X326" s="349"/>
      <c r="Y326" s="349"/>
      <c r="Z326" s="349"/>
      <c r="AA326" s="349"/>
      <c r="AB326" s="349"/>
      <c r="AC326" s="349"/>
      <c r="AD326" s="349"/>
      <c r="AE326" s="349"/>
      <c r="AF326" s="349"/>
      <c r="AG326" s="349"/>
      <c r="AH326" s="349"/>
      <c r="AI326" s="349"/>
      <c r="AJ326" s="349"/>
      <c r="AK326" s="349"/>
      <c r="AL326" s="349"/>
      <c r="AM326" s="349"/>
      <c r="AN326" s="349"/>
      <c r="AO326" s="349"/>
      <c r="AP326" s="354"/>
      <c r="AQ326" s="352"/>
      <c r="AR326" s="353"/>
      <c r="AS326" s="349"/>
      <c r="AT326" s="349"/>
      <c r="AU326" s="349"/>
      <c r="AV326" s="352"/>
      <c r="AW326" s="353"/>
      <c r="AX326" s="349"/>
      <c r="AY326" s="352"/>
      <c r="AZ326" s="353"/>
      <c r="BA326" s="349"/>
      <c r="BB326" s="349"/>
      <c r="BC326" s="349"/>
      <c r="BD326" s="349"/>
      <c r="BE326" s="349"/>
      <c r="BF326" s="349"/>
      <c r="BG326" s="349"/>
      <c r="BH326" s="349"/>
      <c r="BI326" s="349"/>
      <c r="BJ326" s="349"/>
      <c r="BK326" s="349"/>
      <c r="BL326" s="349"/>
      <c r="BM326" s="349"/>
      <c r="BN326" s="349"/>
      <c r="BO326" s="349"/>
      <c r="BP326" s="349"/>
      <c r="BQ326" s="349"/>
      <c r="BR326" s="349"/>
      <c r="BS326" s="349"/>
      <c r="BT326" s="349"/>
      <c r="BU326" s="349"/>
      <c r="BV326" s="349"/>
      <c r="BW326" s="349"/>
      <c r="BX326" s="349"/>
      <c r="BY326" s="349"/>
      <c r="BZ326" s="349"/>
      <c r="CA326" s="349"/>
      <c r="CB326" s="349"/>
      <c r="CC326" s="354"/>
      <c r="CD326" s="354"/>
      <c r="CE326" s="354"/>
      <c r="CF326" s="354"/>
      <c r="CG326" s="354"/>
      <c r="CH326" s="354"/>
      <c r="CI326" s="354"/>
      <c r="CJ326" s="354"/>
      <c r="CK326" s="354"/>
      <c r="CL326" s="354"/>
      <c r="CM326" s="354"/>
      <c r="CN326" s="354"/>
      <c r="CO326" s="354"/>
      <c r="CP326" s="354"/>
      <c r="CQ326" s="354"/>
      <c r="CR326" s="354"/>
      <c r="CS326" s="354"/>
      <c r="CT326" s="354"/>
      <c r="CU326" s="354"/>
      <c r="CV326" s="354"/>
      <c r="CW326" s="354"/>
      <c r="CX326" s="354"/>
      <c r="CY326" s="354"/>
      <c r="CZ326" s="354"/>
      <c r="DA326" s="354"/>
      <c r="DB326" s="354"/>
      <c r="DC326" s="352"/>
      <c r="DJ326" s="58"/>
      <c r="DL326" s="364"/>
    </row>
    <row r="327" spans="1:116" s="59" customFormat="1" ht="18">
      <c r="A327" s="365"/>
      <c r="B327" s="447" t="s">
        <v>298</v>
      </c>
      <c r="C327" s="456">
        <v>15</v>
      </c>
      <c r="D327" s="460"/>
      <c r="E327" s="460"/>
      <c r="F327" s="460"/>
      <c r="G327" s="349"/>
      <c r="H327" s="349"/>
      <c r="I327" s="349"/>
      <c r="J327" s="349"/>
      <c r="K327" s="349"/>
      <c r="L327" s="349"/>
      <c r="M327" s="349"/>
      <c r="N327" s="349"/>
      <c r="O327" s="349"/>
      <c r="P327" s="354"/>
      <c r="Q327" s="354"/>
      <c r="R327" s="354"/>
      <c r="S327" s="354"/>
      <c r="T327" s="352"/>
      <c r="U327" s="353"/>
      <c r="V327" s="353"/>
      <c r="W327" s="353"/>
      <c r="X327" s="349"/>
      <c r="Y327" s="349"/>
      <c r="Z327" s="349"/>
      <c r="AA327" s="349"/>
      <c r="AB327" s="349"/>
      <c r="AC327" s="349"/>
      <c r="AD327" s="349"/>
      <c r="AE327" s="349"/>
      <c r="AF327" s="349"/>
      <c r="AG327" s="349"/>
      <c r="AH327" s="349"/>
      <c r="AI327" s="349"/>
      <c r="AJ327" s="349"/>
      <c r="AK327" s="349"/>
      <c r="AL327" s="349"/>
      <c r="AM327" s="349"/>
      <c r="AN327" s="349"/>
      <c r="AO327" s="349"/>
      <c r="AP327" s="354"/>
      <c r="AQ327" s="352"/>
      <c r="AR327" s="353"/>
      <c r="AS327" s="349"/>
      <c r="AT327" s="349"/>
      <c r="AU327" s="349"/>
      <c r="AV327" s="352"/>
      <c r="AW327" s="353"/>
      <c r="AX327" s="349"/>
      <c r="AY327" s="352"/>
      <c r="AZ327" s="353"/>
      <c r="BA327" s="349"/>
      <c r="BB327" s="349"/>
      <c r="BC327" s="349"/>
      <c r="BD327" s="349"/>
      <c r="BE327" s="349"/>
      <c r="BF327" s="349"/>
      <c r="BG327" s="349"/>
      <c r="BH327" s="349"/>
      <c r="BI327" s="349"/>
      <c r="BJ327" s="349"/>
      <c r="BK327" s="349"/>
      <c r="BL327" s="349"/>
      <c r="BM327" s="349"/>
      <c r="BN327" s="349"/>
      <c r="BO327" s="349"/>
      <c r="BP327" s="349"/>
      <c r="BQ327" s="349"/>
      <c r="BR327" s="349"/>
      <c r="BS327" s="349"/>
      <c r="BT327" s="349"/>
      <c r="BU327" s="349"/>
      <c r="BV327" s="349"/>
      <c r="BW327" s="349"/>
      <c r="BX327" s="349"/>
      <c r="BY327" s="349"/>
      <c r="BZ327" s="349"/>
      <c r="CA327" s="349"/>
      <c r="CB327" s="349"/>
      <c r="CC327" s="354"/>
      <c r="CD327" s="354"/>
      <c r="CE327" s="354"/>
      <c r="CF327" s="354"/>
      <c r="CG327" s="354"/>
      <c r="CH327" s="354"/>
      <c r="CI327" s="354"/>
      <c r="CJ327" s="354"/>
      <c r="CK327" s="354"/>
      <c r="CL327" s="354"/>
      <c r="CM327" s="354"/>
      <c r="CN327" s="354"/>
      <c r="CO327" s="354"/>
      <c r="CP327" s="354"/>
      <c r="CQ327" s="354"/>
      <c r="CR327" s="354"/>
      <c r="CS327" s="354"/>
      <c r="CT327" s="354"/>
      <c r="CU327" s="354"/>
      <c r="CV327" s="354"/>
      <c r="CW327" s="354"/>
      <c r="CX327" s="354"/>
      <c r="CY327" s="354"/>
      <c r="CZ327" s="354"/>
      <c r="DA327" s="354"/>
      <c r="DB327" s="354"/>
      <c r="DC327" s="352"/>
      <c r="DJ327" s="58"/>
      <c r="DL327" s="364"/>
    </row>
    <row r="328" spans="1:116" s="59" customFormat="1" ht="18">
      <c r="A328" s="448"/>
      <c r="B328" s="447" t="s">
        <v>385</v>
      </c>
      <c r="C328" s="456">
        <v>10</v>
      </c>
      <c r="D328" s="460"/>
      <c r="E328" s="460"/>
      <c r="F328" s="460"/>
      <c r="G328" s="349"/>
      <c r="H328" s="349"/>
      <c r="I328" s="349"/>
      <c r="J328" s="349"/>
      <c r="K328" s="349"/>
      <c r="L328" s="349"/>
      <c r="M328" s="349"/>
      <c r="N328" s="349"/>
      <c r="O328" s="349"/>
      <c r="P328" s="354"/>
      <c r="Q328" s="354"/>
      <c r="R328" s="354"/>
      <c r="S328" s="354"/>
      <c r="T328" s="352"/>
      <c r="U328" s="449"/>
      <c r="V328" s="449"/>
      <c r="W328" s="449"/>
      <c r="X328" s="349"/>
      <c r="Y328" s="349"/>
      <c r="Z328" s="349"/>
      <c r="AA328" s="349"/>
      <c r="AB328" s="349"/>
      <c r="AC328" s="349"/>
      <c r="AD328" s="349"/>
      <c r="AE328" s="349"/>
      <c r="AF328" s="349"/>
      <c r="AG328" s="349"/>
      <c r="AH328" s="349"/>
      <c r="AI328" s="349"/>
      <c r="AJ328" s="349"/>
      <c r="AK328" s="349"/>
      <c r="AL328" s="349"/>
      <c r="AM328" s="349"/>
      <c r="AN328" s="349"/>
      <c r="AO328" s="349"/>
      <c r="AP328" s="354"/>
      <c r="AQ328" s="352"/>
      <c r="AR328" s="449"/>
      <c r="AS328" s="349"/>
      <c r="AT328" s="349"/>
      <c r="AU328" s="349"/>
      <c r="AV328" s="352"/>
      <c r="AW328" s="449"/>
      <c r="AX328" s="349"/>
      <c r="AY328" s="352"/>
      <c r="AZ328" s="449"/>
      <c r="BA328" s="349"/>
      <c r="BB328" s="349"/>
      <c r="BC328" s="349"/>
      <c r="BD328" s="349"/>
      <c r="BE328" s="349"/>
      <c r="BF328" s="349"/>
      <c r="BG328" s="349"/>
      <c r="BH328" s="349"/>
      <c r="BI328" s="349"/>
      <c r="BJ328" s="349"/>
      <c r="BK328" s="349"/>
      <c r="BL328" s="349"/>
      <c r="BM328" s="349"/>
      <c r="BN328" s="349"/>
      <c r="BO328" s="349"/>
      <c r="BP328" s="349"/>
      <c r="BQ328" s="349"/>
      <c r="BR328" s="349"/>
      <c r="BS328" s="349"/>
      <c r="BT328" s="349"/>
      <c r="BU328" s="349"/>
      <c r="BV328" s="349"/>
      <c r="BW328" s="349"/>
      <c r="BX328" s="349"/>
      <c r="BY328" s="349"/>
      <c r="BZ328" s="349"/>
      <c r="CA328" s="349"/>
      <c r="CB328" s="349"/>
      <c r="CC328" s="354"/>
      <c r="CD328" s="354"/>
      <c r="CE328" s="354"/>
      <c r="CF328" s="354"/>
      <c r="CG328" s="354"/>
      <c r="CH328" s="354"/>
      <c r="CI328" s="354"/>
      <c r="CJ328" s="354"/>
      <c r="CK328" s="354"/>
      <c r="CL328" s="354"/>
      <c r="CM328" s="354"/>
      <c r="CN328" s="354"/>
      <c r="CO328" s="354"/>
      <c r="CP328" s="354"/>
      <c r="CQ328" s="354"/>
      <c r="CR328" s="354"/>
      <c r="CS328" s="354"/>
      <c r="CT328" s="354"/>
      <c r="CU328" s="354"/>
      <c r="CV328" s="354"/>
      <c r="CW328" s="354"/>
      <c r="CX328" s="354"/>
      <c r="CY328" s="354"/>
      <c r="CZ328" s="354"/>
      <c r="DA328" s="354"/>
      <c r="DB328" s="354"/>
      <c r="DC328" s="352"/>
      <c r="DJ328" s="58"/>
      <c r="DL328" s="364"/>
    </row>
    <row r="329" spans="1:116" s="59" customFormat="1" ht="18">
      <c r="A329" s="450"/>
      <c r="B329" s="447" t="s">
        <v>367</v>
      </c>
      <c r="C329" s="456"/>
      <c r="D329" s="456">
        <v>166</v>
      </c>
      <c r="E329" s="460"/>
      <c r="F329" s="460"/>
      <c r="G329" s="349"/>
      <c r="H329" s="349"/>
      <c r="I329" s="349"/>
      <c r="J329" s="349"/>
      <c r="K329" s="349"/>
      <c r="L329" s="349"/>
      <c r="M329" s="349"/>
      <c r="N329" s="349"/>
      <c r="O329" s="349"/>
      <c r="P329" s="354"/>
      <c r="Q329" s="354"/>
      <c r="R329" s="354"/>
      <c r="S329" s="354"/>
      <c r="T329" s="352"/>
      <c r="U329" s="449"/>
      <c r="V329" s="449"/>
      <c r="W329" s="449"/>
      <c r="X329" s="349"/>
      <c r="Y329" s="349"/>
      <c r="Z329" s="349"/>
      <c r="AA329" s="349"/>
      <c r="AB329" s="349"/>
      <c r="AC329" s="349"/>
      <c r="AD329" s="349"/>
      <c r="AE329" s="349"/>
      <c r="AF329" s="349"/>
      <c r="AG329" s="349"/>
      <c r="AH329" s="349"/>
      <c r="AI329" s="349"/>
      <c r="AJ329" s="349"/>
      <c r="AK329" s="349"/>
      <c r="AL329" s="349"/>
      <c r="AM329" s="349"/>
      <c r="AN329" s="349"/>
      <c r="AO329" s="349"/>
      <c r="AP329" s="354"/>
      <c r="AQ329" s="352"/>
      <c r="AR329" s="449"/>
      <c r="AS329" s="349"/>
      <c r="AT329" s="349"/>
      <c r="AU329" s="349"/>
      <c r="AV329" s="352"/>
      <c r="AW329" s="449"/>
      <c r="AX329" s="349"/>
      <c r="AY329" s="352"/>
      <c r="AZ329" s="449"/>
      <c r="BA329" s="349"/>
      <c r="BB329" s="349"/>
      <c r="BC329" s="349"/>
      <c r="BD329" s="349"/>
      <c r="BE329" s="349"/>
      <c r="BF329" s="349"/>
      <c r="BG329" s="349"/>
      <c r="BH329" s="349"/>
      <c r="BI329" s="349"/>
      <c r="BJ329" s="349"/>
      <c r="BK329" s="349"/>
      <c r="BL329" s="349"/>
      <c r="BM329" s="349"/>
      <c r="BN329" s="349"/>
      <c r="BO329" s="349"/>
      <c r="BP329" s="349"/>
      <c r="BQ329" s="349"/>
      <c r="BR329" s="349"/>
      <c r="BS329" s="349"/>
      <c r="BT329" s="349"/>
      <c r="BU329" s="349"/>
      <c r="BV329" s="349"/>
      <c r="BW329" s="349"/>
      <c r="BX329" s="349"/>
      <c r="BY329" s="349"/>
      <c r="BZ329" s="349"/>
      <c r="CA329" s="349"/>
      <c r="CB329" s="349"/>
      <c r="CC329" s="354"/>
      <c r="CD329" s="354"/>
      <c r="CE329" s="354"/>
      <c r="CF329" s="354"/>
      <c r="CG329" s="354"/>
      <c r="CH329" s="354"/>
      <c r="CI329" s="354"/>
      <c r="CJ329" s="354"/>
      <c r="CK329" s="354"/>
      <c r="CL329" s="354"/>
      <c r="CM329" s="354"/>
      <c r="CN329" s="354"/>
      <c r="CO329" s="354"/>
      <c r="CP329" s="354"/>
      <c r="CQ329" s="354"/>
      <c r="CR329" s="354"/>
      <c r="CS329" s="354"/>
      <c r="CT329" s="354"/>
      <c r="CU329" s="354"/>
      <c r="CV329" s="354"/>
      <c r="CW329" s="354"/>
      <c r="CX329" s="354"/>
      <c r="CY329" s="354"/>
      <c r="CZ329" s="354"/>
      <c r="DA329" s="354"/>
      <c r="DB329" s="354"/>
      <c r="DC329" s="352"/>
      <c r="DJ329" s="58"/>
      <c r="DL329" s="364"/>
    </row>
    <row r="330" spans="1:116" s="59" customFormat="1" ht="18">
      <c r="A330" s="450"/>
      <c r="B330" s="447" t="s">
        <v>368</v>
      </c>
      <c r="C330" s="456"/>
      <c r="D330" s="456">
        <v>166</v>
      </c>
      <c r="E330" s="460"/>
      <c r="F330" s="460"/>
      <c r="G330" s="349"/>
      <c r="H330" s="349"/>
      <c r="I330" s="349"/>
      <c r="J330" s="349"/>
      <c r="K330" s="349"/>
      <c r="L330" s="349"/>
      <c r="M330" s="349"/>
      <c r="N330" s="349"/>
      <c r="O330" s="349"/>
      <c r="P330" s="354"/>
      <c r="Q330" s="354"/>
      <c r="R330" s="354"/>
      <c r="S330" s="354"/>
      <c r="T330" s="352"/>
      <c r="U330" s="449"/>
      <c r="V330" s="449"/>
      <c r="W330" s="449"/>
      <c r="X330" s="349"/>
      <c r="Y330" s="349"/>
      <c r="Z330" s="349"/>
      <c r="AA330" s="349"/>
      <c r="AB330" s="349"/>
      <c r="AC330" s="349"/>
      <c r="AD330" s="349"/>
      <c r="AE330" s="349"/>
      <c r="AF330" s="349"/>
      <c r="AG330" s="349"/>
      <c r="AH330" s="349"/>
      <c r="AI330" s="349"/>
      <c r="AJ330" s="349"/>
      <c r="AK330" s="349"/>
      <c r="AL330" s="349"/>
      <c r="AM330" s="349"/>
      <c r="AN330" s="349"/>
      <c r="AO330" s="349"/>
      <c r="AP330" s="354"/>
      <c r="AQ330" s="352"/>
      <c r="AR330" s="449"/>
      <c r="AS330" s="349"/>
      <c r="AT330" s="349"/>
      <c r="AU330" s="349"/>
      <c r="AV330" s="352"/>
      <c r="AW330" s="449"/>
      <c r="AX330" s="349"/>
      <c r="AY330" s="352"/>
      <c r="AZ330" s="449"/>
      <c r="BA330" s="349"/>
      <c r="BB330" s="349"/>
      <c r="BC330" s="349"/>
      <c r="BD330" s="349"/>
      <c r="BE330" s="349"/>
      <c r="BF330" s="349"/>
      <c r="BG330" s="349"/>
      <c r="BH330" s="349"/>
      <c r="BI330" s="349"/>
      <c r="BJ330" s="349"/>
      <c r="BK330" s="349"/>
      <c r="BL330" s="349"/>
      <c r="BM330" s="349"/>
      <c r="BN330" s="349"/>
      <c r="BO330" s="349"/>
      <c r="BP330" s="349"/>
      <c r="BQ330" s="349"/>
      <c r="BR330" s="349"/>
      <c r="BS330" s="349"/>
      <c r="BT330" s="349"/>
      <c r="BU330" s="349"/>
      <c r="BV330" s="349"/>
      <c r="BW330" s="349"/>
      <c r="BX330" s="349"/>
      <c r="BY330" s="349"/>
      <c r="BZ330" s="349"/>
      <c r="CA330" s="349"/>
      <c r="CB330" s="349"/>
      <c r="CC330" s="354"/>
      <c r="CD330" s="354"/>
      <c r="CE330" s="354"/>
      <c r="CF330" s="354"/>
      <c r="CG330" s="354"/>
      <c r="CH330" s="354"/>
      <c r="CI330" s="354"/>
      <c r="CJ330" s="354"/>
      <c r="CK330" s="354"/>
      <c r="CL330" s="354"/>
      <c r="CM330" s="354"/>
      <c r="CN330" s="354"/>
      <c r="CO330" s="354"/>
      <c r="CP330" s="354"/>
      <c r="CQ330" s="354"/>
      <c r="CR330" s="354"/>
      <c r="CS330" s="354"/>
      <c r="CT330" s="354"/>
      <c r="CU330" s="354"/>
      <c r="CV330" s="354"/>
      <c r="CW330" s="354"/>
      <c r="CX330" s="354"/>
      <c r="CY330" s="354"/>
      <c r="CZ330" s="354"/>
      <c r="DA330" s="354"/>
      <c r="DB330" s="354"/>
      <c r="DC330" s="352"/>
      <c r="DJ330" s="58"/>
      <c r="DL330" s="364"/>
    </row>
    <row r="331" spans="1:116" s="59" customFormat="1" ht="18">
      <c r="A331" s="450"/>
      <c r="B331" s="447" t="s">
        <v>369</v>
      </c>
      <c r="C331" s="456"/>
      <c r="D331" s="456">
        <v>166</v>
      </c>
      <c r="E331" s="460"/>
      <c r="F331" s="460"/>
      <c r="G331" s="349"/>
      <c r="H331" s="349"/>
      <c r="I331" s="349"/>
      <c r="J331" s="349"/>
      <c r="K331" s="349"/>
      <c r="L331" s="349"/>
      <c r="M331" s="349"/>
      <c r="N331" s="349"/>
      <c r="O331" s="349"/>
      <c r="P331" s="354"/>
      <c r="Q331" s="354"/>
      <c r="R331" s="354"/>
      <c r="S331" s="354"/>
      <c r="T331" s="352"/>
      <c r="U331" s="449"/>
      <c r="V331" s="449"/>
      <c r="W331" s="449"/>
      <c r="X331" s="349"/>
      <c r="Y331" s="349"/>
      <c r="Z331" s="349"/>
      <c r="AA331" s="349"/>
      <c r="AB331" s="349"/>
      <c r="AC331" s="349"/>
      <c r="AD331" s="349"/>
      <c r="AE331" s="349"/>
      <c r="AF331" s="349"/>
      <c r="AG331" s="349"/>
      <c r="AH331" s="349"/>
      <c r="AI331" s="349"/>
      <c r="AJ331" s="349"/>
      <c r="AK331" s="349"/>
      <c r="AL331" s="349"/>
      <c r="AM331" s="349"/>
      <c r="AN331" s="349"/>
      <c r="AO331" s="349"/>
      <c r="AP331" s="354"/>
      <c r="AQ331" s="352"/>
      <c r="AR331" s="449"/>
      <c r="AS331" s="349"/>
      <c r="AT331" s="349"/>
      <c r="AU331" s="349"/>
      <c r="AV331" s="352"/>
      <c r="AW331" s="449"/>
      <c r="AX331" s="349"/>
      <c r="AY331" s="352"/>
      <c r="AZ331" s="449"/>
      <c r="BA331" s="349"/>
      <c r="BB331" s="349"/>
      <c r="BC331" s="349"/>
      <c r="BD331" s="349"/>
      <c r="BE331" s="349"/>
      <c r="BF331" s="349"/>
      <c r="BG331" s="349"/>
      <c r="BH331" s="349"/>
      <c r="BI331" s="349"/>
      <c r="BJ331" s="349"/>
      <c r="BK331" s="349"/>
      <c r="BL331" s="349"/>
      <c r="BM331" s="349"/>
      <c r="BN331" s="349"/>
      <c r="BO331" s="349"/>
      <c r="BP331" s="349"/>
      <c r="BQ331" s="349"/>
      <c r="BR331" s="349"/>
      <c r="BS331" s="349"/>
      <c r="BT331" s="349"/>
      <c r="BU331" s="349"/>
      <c r="BV331" s="349"/>
      <c r="BW331" s="349"/>
      <c r="BX331" s="349"/>
      <c r="BY331" s="349"/>
      <c r="BZ331" s="349"/>
      <c r="CA331" s="349"/>
      <c r="CB331" s="349"/>
      <c r="CC331" s="354"/>
      <c r="CD331" s="354"/>
      <c r="CE331" s="354"/>
      <c r="CF331" s="354"/>
      <c r="CG331" s="354"/>
      <c r="CH331" s="354"/>
      <c r="CI331" s="354"/>
      <c r="CJ331" s="354"/>
      <c r="CK331" s="354"/>
      <c r="CL331" s="354"/>
      <c r="CM331" s="354"/>
      <c r="CN331" s="354"/>
      <c r="CO331" s="354"/>
      <c r="CP331" s="354"/>
      <c r="CQ331" s="354"/>
      <c r="CR331" s="354"/>
      <c r="CS331" s="354"/>
      <c r="CT331" s="354"/>
      <c r="CU331" s="354"/>
      <c r="CV331" s="354"/>
      <c r="CW331" s="354"/>
      <c r="CX331" s="354"/>
      <c r="CY331" s="354"/>
      <c r="CZ331" s="354"/>
      <c r="DA331" s="354"/>
      <c r="DB331" s="354"/>
      <c r="DC331" s="352"/>
      <c r="DJ331" s="58"/>
      <c r="DL331" s="364"/>
    </row>
    <row r="332" spans="1:116" s="59" customFormat="1" ht="18">
      <c r="A332" s="450"/>
      <c r="B332" s="447" t="s">
        <v>370</v>
      </c>
      <c r="C332" s="456"/>
      <c r="D332" s="456">
        <v>166</v>
      </c>
      <c r="E332" s="460"/>
      <c r="F332" s="460"/>
      <c r="G332" s="349"/>
      <c r="H332" s="349"/>
      <c r="I332" s="349"/>
      <c r="J332" s="349"/>
      <c r="K332" s="349"/>
      <c r="L332" s="349"/>
      <c r="M332" s="349"/>
      <c r="N332" s="349"/>
      <c r="O332" s="349"/>
      <c r="P332" s="354"/>
      <c r="Q332" s="354"/>
      <c r="R332" s="354"/>
      <c r="S332" s="354"/>
      <c r="T332" s="352"/>
      <c r="U332" s="449"/>
      <c r="V332" s="449"/>
      <c r="W332" s="449"/>
      <c r="X332" s="349"/>
      <c r="Y332" s="349"/>
      <c r="Z332" s="349"/>
      <c r="AA332" s="349"/>
      <c r="AB332" s="349"/>
      <c r="AC332" s="349"/>
      <c r="AD332" s="349"/>
      <c r="AE332" s="349"/>
      <c r="AF332" s="349"/>
      <c r="AG332" s="349"/>
      <c r="AH332" s="349"/>
      <c r="AI332" s="349"/>
      <c r="AJ332" s="349"/>
      <c r="AK332" s="349"/>
      <c r="AL332" s="349"/>
      <c r="AM332" s="349"/>
      <c r="AN332" s="349"/>
      <c r="AO332" s="349"/>
      <c r="AP332" s="354"/>
      <c r="AQ332" s="352"/>
      <c r="AR332" s="449"/>
      <c r="AS332" s="349"/>
      <c r="AT332" s="349"/>
      <c r="AU332" s="349"/>
      <c r="AV332" s="352"/>
      <c r="AW332" s="449"/>
      <c r="AX332" s="349"/>
      <c r="AY332" s="352"/>
      <c r="AZ332" s="449"/>
      <c r="BA332" s="349"/>
      <c r="BB332" s="349"/>
      <c r="BC332" s="349"/>
      <c r="BD332" s="349"/>
      <c r="BE332" s="349"/>
      <c r="BF332" s="349"/>
      <c r="BG332" s="349"/>
      <c r="BH332" s="349"/>
      <c r="BI332" s="349"/>
      <c r="BJ332" s="349"/>
      <c r="BK332" s="349"/>
      <c r="BL332" s="349"/>
      <c r="BM332" s="349"/>
      <c r="BN332" s="349"/>
      <c r="BO332" s="349"/>
      <c r="BP332" s="349"/>
      <c r="BQ332" s="349"/>
      <c r="BR332" s="349"/>
      <c r="BS332" s="349"/>
      <c r="BT332" s="349"/>
      <c r="BU332" s="349"/>
      <c r="BV332" s="349"/>
      <c r="BW332" s="349"/>
      <c r="BX332" s="349"/>
      <c r="BY332" s="349"/>
      <c r="BZ332" s="349"/>
      <c r="CA332" s="349"/>
      <c r="CB332" s="349"/>
      <c r="CC332" s="354"/>
      <c r="CD332" s="354"/>
      <c r="CE332" s="354"/>
      <c r="CF332" s="354"/>
      <c r="CG332" s="354"/>
      <c r="CH332" s="354"/>
      <c r="CI332" s="354"/>
      <c r="CJ332" s="354"/>
      <c r="CK332" s="354"/>
      <c r="CL332" s="354"/>
      <c r="CM332" s="354"/>
      <c r="CN332" s="354"/>
      <c r="CO332" s="354"/>
      <c r="CP332" s="354"/>
      <c r="CQ332" s="354"/>
      <c r="CR332" s="354"/>
      <c r="CS332" s="354"/>
      <c r="CT332" s="354"/>
      <c r="CU332" s="354"/>
      <c r="CV332" s="354"/>
      <c r="CW332" s="354"/>
      <c r="CX332" s="354"/>
      <c r="CY332" s="354"/>
      <c r="CZ332" s="354"/>
      <c r="DA332" s="354"/>
      <c r="DB332" s="354"/>
      <c r="DC332" s="352"/>
      <c r="DJ332" s="58"/>
      <c r="DL332" s="364"/>
    </row>
    <row r="333" spans="1:116" s="59" customFormat="1" ht="18">
      <c r="A333" s="450"/>
      <c r="B333" s="447" t="s">
        <v>371</v>
      </c>
      <c r="C333" s="456"/>
      <c r="D333" s="456">
        <v>166</v>
      </c>
      <c r="E333" s="460"/>
      <c r="F333" s="460"/>
      <c r="G333" s="349"/>
      <c r="H333" s="349"/>
      <c r="I333" s="349"/>
      <c r="J333" s="349"/>
      <c r="K333" s="349"/>
      <c r="L333" s="349"/>
      <c r="M333" s="349"/>
      <c r="N333" s="349"/>
      <c r="O333" s="349"/>
      <c r="P333" s="354"/>
      <c r="Q333" s="354"/>
      <c r="R333" s="354"/>
      <c r="S333" s="354"/>
      <c r="T333" s="352"/>
      <c r="U333" s="449"/>
      <c r="V333" s="449"/>
      <c r="W333" s="449"/>
      <c r="X333" s="349"/>
      <c r="Y333" s="349"/>
      <c r="Z333" s="349"/>
      <c r="AA333" s="349"/>
      <c r="AB333" s="349"/>
      <c r="AC333" s="349"/>
      <c r="AD333" s="349"/>
      <c r="AE333" s="349"/>
      <c r="AF333" s="349"/>
      <c r="AG333" s="349"/>
      <c r="AH333" s="349"/>
      <c r="AI333" s="349"/>
      <c r="AJ333" s="349"/>
      <c r="AK333" s="349"/>
      <c r="AL333" s="349"/>
      <c r="AM333" s="349"/>
      <c r="AN333" s="349"/>
      <c r="AO333" s="349"/>
      <c r="AP333" s="354"/>
      <c r="AQ333" s="352"/>
      <c r="AR333" s="449"/>
      <c r="AS333" s="349"/>
      <c r="AT333" s="349"/>
      <c r="AU333" s="349"/>
      <c r="AV333" s="352"/>
      <c r="AW333" s="449"/>
      <c r="AX333" s="349"/>
      <c r="AY333" s="352"/>
      <c r="AZ333" s="449"/>
      <c r="BA333" s="349"/>
      <c r="BB333" s="349"/>
      <c r="BC333" s="349"/>
      <c r="BD333" s="349"/>
      <c r="BE333" s="349"/>
      <c r="BF333" s="349"/>
      <c r="BG333" s="349"/>
      <c r="BH333" s="349"/>
      <c r="BI333" s="349"/>
      <c r="BJ333" s="349"/>
      <c r="BK333" s="349"/>
      <c r="BL333" s="349"/>
      <c r="BM333" s="349"/>
      <c r="BN333" s="349"/>
      <c r="BO333" s="349"/>
      <c r="BP333" s="349"/>
      <c r="BQ333" s="349"/>
      <c r="BR333" s="349"/>
      <c r="BS333" s="349"/>
      <c r="BT333" s="349"/>
      <c r="BU333" s="349"/>
      <c r="BV333" s="349"/>
      <c r="BW333" s="349"/>
      <c r="BX333" s="349"/>
      <c r="BY333" s="349"/>
      <c r="BZ333" s="349"/>
      <c r="CA333" s="349"/>
      <c r="CB333" s="349"/>
      <c r="CC333" s="354"/>
      <c r="CD333" s="354"/>
      <c r="CE333" s="354"/>
      <c r="CF333" s="354"/>
      <c r="CG333" s="354"/>
      <c r="CH333" s="354"/>
      <c r="CI333" s="354"/>
      <c r="CJ333" s="354"/>
      <c r="CK333" s="354"/>
      <c r="CL333" s="354"/>
      <c r="CM333" s="354"/>
      <c r="CN333" s="354"/>
      <c r="CO333" s="354"/>
      <c r="CP333" s="354"/>
      <c r="CQ333" s="354"/>
      <c r="CR333" s="354"/>
      <c r="CS333" s="354"/>
      <c r="CT333" s="354"/>
      <c r="CU333" s="354"/>
      <c r="CV333" s="354"/>
      <c r="CW333" s="354"/>
      <c r="CX333" s="354"/>
      <c r="CY333" s="354"/>
      <c r="CZ333" s="354"/>
      <c r="DA333" s="354"/>
      <c r="DB333" s="354"/>
      <c r="DC333" s="352"/>
      <c r="DJ333" s="58"/>
      <c r="DL333" s="364"/>
    </row>
    <row r="334" spans="1:116" s="59" customFormat="1" ht="18">
      <c r="A334" s="450"/>
      <c r="B334" s="447" t="s">
        <v>372</v>
      </c>
      <c r="C334" s="456"/>
      <c r="D334" s="456">
        <v>166</v>
      </c>
      <c r="E334" s="460"/>
      <c r="F334" s="460"/>
      <c r="G334" s="349"/>
      <c r="H334" s="349"/>
      <c r="I334" s="349"/>
      <c r="J334" s="349"/>
      <c r="K334" s="349"/>
      <c r="L334" s="349"/>
      <c r="M334" s="349"/>
      <c r="N334" s="349"/>
      <c r="O334" s="349"/>
      <c r="P334" s="354"/>
      <c r="Q334" s="354"/>
      <c r="R334" s="354"/>
      <c r="S334" s="354"/>
      <c r="T334" s="352"/>
      <c r="U334" s="449"/>
      <c r="V334" s="449"/>
      <c r="W334" s="449"/>
      <c r="X334" s="349"/>
      <c r="Y334" s="349"/>
      <c r="Z334" s="349"/>
      <c r="AA334" s="349"/>
      <c r="AB334" s="349"/>
      <c r="AC334" s="349"/>
      <c r="AD334" s="349"/>
      <c r="AE334" s="349"/>
      <c r="AF334" s="349"/>
      <c r="AG334" s="349"/>
      <c r="AH334" s="349"/>
      <c r="AI334" s="349"/>
      <c r="AJ334" s="349"/>
      <c r="AK334" s="349"/>
      <c r="AL334" s="349"/>
      <c r="AM334" s="349"/>
      <c r="AN334" s="349"/>
      <c r="AO334" s="349"/>
      <c r="AP334" s="354"/>
      <c r="AQ334" s="352"/>
      <c r="AR334" s="449"/>
      <c r="AS334" s="349"/>
      <c r="AT334" s="349"/>
      <c r="AU334" s="349"/>
      <c r="AV334" s="352"/>
      <c r="AW334" s="449"/>
      <c r="AX334" s="349"/>
      <c r="AY334" s="352"/>
      <c r="AZ334" s="449"/>
      <c r="BA334" s="349"/>
      <c r="BB334" s="349"/>
      <c r="BC334" s="349"/>
      <c r="BD334" s="349"/>
      <c r="BE334" s="349"/>
      <c r="BF334" s="349"/>
      <c r="BG334" s="349"/>
      <c r="BH334" s="349"/>
      <c r="BI334" s="349"/>
      <c r="BJ334" s="349"/>
      <c r="BK334" s="349"/>
      <c r="BL334" s="349"/>
      <c r="BM334" s="349"/>
      <c r="BN334" s="349"/>
      <c r="BO334" s="349"/>
      <c r="BP334" s="349"/>
      <c r="BQ334" s="349"/>
      <c r="BR334" s="349"/>
      <c r="BS334" s="349"/>
      <c r="BT334" s="349"/>
      <c r="BU334" s="349"/>
      <c r="BV334" s="349"/>
      <c r="BW334" s="349"/>
      <c r="BX334" s="349"/>
      <c r="BY334" s="349"/>
      <c r="BZ334" s="349"/>
      <c r="CA334" s="349"/>
      <c r="CB334" s="349"/>
      <c r="CC334" s="354"/>
      <c r="CD334" s="354"/>
      <c r="CE334" s="354"/>
      <c r="CF334" s="354"/>
      <c r="CG334" s="354"/>
      <c r="CH334" s="354"/>
      <c r="CI334" s="354"/>
      <c r="CJ334" s="354"/>
      <c r="CK334" s="354"/>
      <c r="CL334" s="354"/>
      <c r="CM334" s="354"/>
      <c r="CN334" s="354"/>
      <c r="CO334" s="354"/>
      <c r="CP334" s="354"/>
      <c r="CQ334" s="354"/>
      <c r="CR334" s="354"/>
      <c r="CS334" s="354"/>
      <c r="CT334" s="354"/>
      <c r="CU334" s="354"/>
      <c r="CV334" s="354"/>
      <c r="CW334" s="354"/>
      <c r="CX334" s="354"/>
      <c r="CY334" s="354"/>
      <c r="CZ334" s="354"/>
      <c r="DA334" s="354"/>
      <c r="DB334" s="354"/>
      <c r="DC334" s="352"/>
      <c r="DJ334" s="58"/>
      <c r="DL334" s="364"/>
    </row>
    <row r="335" spans="1:116" s="59" customFormat="1" ht="18">
      <c r="A335" s="450"/>
      <c r="B335" s="447" t="s">
        <v>373</v>
      </c>
      <c r="C335" s="456"/>
      <c r="D335" s="456">
        <v>166</v>
      </c>
      <c r="E335" s="460"/>
      <c r="F335" s="460"/>
      <c r="G335" s="349"/>
      <c r="H335" s="349"/>
      <c r="I335" s="349"/>
      <c r="J335" s="349"/>
      <c r="K335" s="349"/>
      <c r="L335" s="349"/>
      <c r="M335" s="349"/>
      <c r="N335" s="349"/>
      <c r="O335" s="349"/>
      <c r="P335" s="354"/>
      <c r="Q335" s="354"/>
      <c r="R335" s="354"/>
      <c r="S335" s="354"/>
      <c r="T335" s="352"/>
      <c r="U335" s="449"/>
      <c r="V335" s="449"/>
      <c r="W335" s="449"/>
      <c r="X335" s="349"/>
      <c r="Y335" s="349"/>
      <c r="Z335" s="349"/>
      <c r="AA335" s="349"/>
      <c r="AB335" s="349"/>
      <c r="AC335" s="349"/>
      <c r="AD335" s="349"/>
      <c r="AE335" s="349"/>
      <c r="AF335" s="349"/>
      <c r="AG335" s="349"/>
      <c r="AH335" s="349"/>
      <c r="AI335" s="349"/>
      <c r="AJ335" s="349"/>
      <c r="AK335" s="349"/>
      <c r="AL335" s="349"/>
      <c r="AM335" s="349"/>
      <c r="AN335" s="349"/>
      <c r="AO335" s="349"/>
      <c r="AP335" s="354"/>
      <c r="AQ335" s="352"/>
      <c r="AR335" s="449"/>
      <c r="AS335" s="349"/>
      <c r="AT335" s="349"/>
      <c r="AU335" s="349"/>
      <c r="AV335" s="352"/>
      <c r="AW335" s="449"/>
      <c r="AX335" s="349"/>
      <c r="AY335" s="352"/>
      <c r="AZ335" s="449"/>
      <c r="BA335" s="349"/>
      <c r="BB335" s="349"/>
      <c r="BC335" s="349"/>
      <c r="BD335" s="349"/>
      <c r="BE335" s="349"/>
      <c r="BF335" s="349"/>
      <c r="BG335" s="349"/>
      <c r="BH335" s="349"/>
      <c r="BI335" s="349"/>
      <c r="BJ335" s="349"/>
      <c r="BK335" s="349"/>
      <c r="BL335" s="349"/>
      <c r="BM335" s="349"/>
      <c r="BN335" s="349"/>
      <c r="BO335" s="349"/>
      <c r="BP335" s="349"/>
      <c r="BQ335" s="349"/>
      <c r="BR335" s="349"/>
      <c r="BS335" s="349"/>
      <c r="BT335" s="349"/>
      <c r="BU335" s="349"/>
      <c r="BV335" s="349"/>
      <c r="BW335" s="349"/>
      <c r="BX335" s="349"/>
      <c r="BY335" s="349"/>
      <c r="BZ335" s="349"/>
      <c r="CA335" s="349"/>
      <c r="CB335" s="349"/>
      <c r="CC335" s="354"/>
      <c r="CD335" s="354"/>
      <c r="CE335" s="354"/>
      <c r="CF335" s="354"/>
      <c r="CG335" s="354"/>
      <c r="CH335" s="354"/>
      <c r="CI335" s="354"/>
      <c r="CJ335" s="354"/>
      <c r="CK335" s="354"/>
      <c r="CL335" s="354"/>
      <c r="CM335" s="354"/>
      <c r="CN335" s="354"/>
      <c r="CO335" s="354"/>
      <c r="CP335" s="354"/>
      <c r="CQ335" s="354"/>
      <c r="CR335" s="354"/>
      <c r="CS335" s="354"/>
      <c r="CT335" s="354"/>
      <c r="CU335" s="354"/>
      <c r="CV335" s="354"/>
      <c r="CW335" s="354"/>
      <c r="CX335" s="354"/>
      <c r="CY335" s="354"/>
      <c r="CZ335" s="354"/>
      <c r="DA335" s="354"/>
      <c r="DB335" s="354"/>
      <c r="DC335" s="352"/>
      <c r="DJ335" s="58"/>
      <c r="DL335" s="364"/>
    </row>
    <row r="336" spans="1:116" s="59" customFormat="1" ht="18">
      <c r="A336" s="450"/>
      <c r="B336" s="447" t="s">
        <v>374</v>
      </c>
      <c r="C336" s="456"/>
      <c r="D336" s="456">
        <v>166</v>
      </c>
      <c r="E336" s="460"/>
      <c r="F336" s="460"/>
      <c r="G336" s="349"/>
      <c r="H336" s="349"/>
      <c r="I336" s="349"/>
      <c r="J336" s="349"/>
      <c r="K336" s="349"/>
      <c r="L336" s="349"/>
      <c r="M336" s="349"/>
      <c r="N336" s="349"/>
      <c r="O336" s="349"/>
      <c r="P336" s="354"/>
      <c r="Q336" s="354"/>
      <c r="R336" s="354"/>
      <c r="S336" s="354"/>
      <c r="T336" s="352"/>
      <c r="U336" s="449"/>
      <c r="V336" s="449"/>
      <c r="W336" s="449"/>
      <c r="X336" s="349"/>
      <c r="Y336" s="349"/>
      <c r="Z336" s="349"/>
      <c r="AA336" s="349"/>
      <c r="AB336" s="349"/>
      <c r="AC336" s="349"/>
      <c r="AD336" s="349"/>
      <c r="AE336" s="349"/>
      <c r="AF336" s="349"/>
      <c r="AG336" s="349"/>
      <c r="AH336" s="349"/>
      <c r="AI336" s="349"/>
      <c r="AJ336" s="349"/>
      <c r="AK336" s="349"/>
      <c r="AL336" s="349"/>
      <c r="AM336" s="349"/>
      <c r="AN336" s="349"/>
      <c r="AO336" s="349"/>
      <c r="AP336" s="354"/>
      <c r="AQ336" s="352"/>
      <c r="AR336" s="449"/>
      <c r="AS336" s="349"/>
      <c r="AT336" s="349"/>
      <c r="AU336" s="349"/>
      <c r="AV336" s="352"/>
      <c r="AW336" s="449"/>
      <c r="AX336" s="349"/>
      <c r="AY336" s="352"/>
      <c r="AZ336" s="449"/>
      <c r="BA336" s="349"/>
      <c r="BB336" s="349"/>
      <c r="BC336" s="349"/>
      <c r="BD336" s="349"/>
      <c r="BE336" s="349"/>
      <c r="BF336" s="349"/>
      <c r="BG336" s="349"/>
      <c r="BH336" s="349"/>
      <c r="BI336" s="349"/>
      <c r="BJ336" s="349"/>
      <c r="BK336" s="349"/>
      <c r="BL336" s="349"/>
      <c r="BM336" s="349"/>
      <c r="BN336" s="349"/>
      <c r="BO336" s="349"/>
      <c r="BP336" s="349"/>
      <c r="BQ336" s="349"/>
      <c r="BR336" s="349"/>
      <c r="BS336" s="349"/>
      <c r="BT336" s="349"/>
      <c r="BU336" s="349"/>
      <c r="BV336" s="349"/>
      <c r="BW336" s="349"/>
      <c r="BX336" s="349"/>
      <c r="BY336" s="349"/>
      <c r="BZ336" s="349"/>
      <c r="CA336" s="349"/>
      <c r="CB336" s="349"/>
      <c r="CC336" s="354"/>
      <c r="CD336" s="354"/>
      <c r="CE336" s="354"/>
      <c r="CF336" s="354"/>
      <c r="CG336" s="354"/>
      <c r="CH336" s="354"/>
      <c r="CI336" s="354"/>
      <c r="CJ336" s="354"/>
      <c r="CK336" s="354"/>
      <c r="CL336" s="354"/>
      <c r="CM336" s="354"/>
      <c r="CN336" s="354"/>
      <c r="CO336" s="354"/>
      <c r="CP336" s="354"/>
      <c r="CQ336" s="354"/>
      <c r="CR336" s="354"/>
      <c r="CS336" s="354"/>
      <c r="CT336" s="354"/>
      <c r="CU336" s="354"/>
      <c r="CV336" s="354"/>
      <c r="CW336" s="354"/>
      <c r="CX336" s="354"/>
      <c r="CY336" s="354"/>
      <c r="CZ336" s="354"/>
      <c r="DA336" s="354"/>
      <c r="DB336" s="354"/>
      <c r="DC336" s="352"/>
      <c r="DJ336" s="58"/>
      <c r="DL336" s="364"/>
    </row>
    <row r="337" spans="1:116" s="59" customFormat="1" ht="18">
      <c r="A337" s="365"/>
      <c r="B337" s="447" t="s">
        <v>297</v>
      </c>
      <c r="C337" s="456">
        <v>15</v>
      </c>
      <c r="D337" s="460"/>
      <c r="E337" s="460"/>
      <c r="F337" s="460"/>
      <c r="G337" s="349"/>
      <c r="H337" s="349"/>
      <c r="I337" s="349"/>
      <c r="J337" s="349"/>
      <c r="K337" s="349"/>
      <c r="L337" s="349"/>
      <c r="M337" s="349"/>
      <c r="N337" s="349"/>
      <c r="O337" s="349"/>
      <c r="P337" s="349"/>
      <c r="Q337" s="349"/>
      <c r="R337" s="354"/>
      <c r="S337" s="354"/>
      <c r="T337" s="352"/>
      <c r="U337" s="353"/>
      <c r="V337" s="353"/>
      <c r="W337" s="353"/>
      <c r="X337" s="349"/>
      <c r="Y337" s="349"/>
      <c r="Z337" s="349"/>
      <c r="AA337" s="349"/>
      <c r="AB337" s="349"/>
      <c r="AC337" s="349"/>
      <c r="AD337" s="349"/>
      <c r="AE337" s="349"/>
      <c r="AF337" s="349"/>
      <c r="AG337" s="349"/>
      <c r="AH337" s="349"/>
      <c r="AI337" s="349"/>
      <c r="AJ337" s="349"/>
      <c r="AK337" s="349"/>
      <c r="AL337" s="349"/>
      <c r="AM337" s="349"/>
      <c r="AN337" s="349"/>
      <c r="AO337" s="349"/>
      <c r="AP337" s="354"/>
      <c r="AQ337" s="352"/>
      <c r="AR337" s="353"/>
      <c r="AS337" s="349"/>
      <c r="AT337" s="349"/>
      <c r="AU337" s="349"/>
      <c r="AV337" s="352"/>
      <c r="AW337" s="353"/>
      <c r="AX337" s="349"/>
      <c r="AY337" s="352"/>
      <c r="AZ337" s="372"/>
      <c r="BA337" s="349"/>
      <c r="BB337" s="373"/>
      <c r="BC337" s="373"/>
      <c r="BD337" s="373"/>
      <c r="BE337" s="373"/>
      <c r="BF337" s="373"/>
      <c r="BG337" s="373"/>
      <c r="BH337" s="373"/>
      <c r="BI337" s="373"/>
      <c r="BJ337" s="373"/>
      <c r="BK337" s="373"/>
      <c r="BL337" s="373"/>
      <c r="BM337" s="373"/>
      <c r="BN337" s="373"/>
      <c r="BO337" s="373"/>
      <c r="BP337" s="373"/>
      <c r="BQ337" s="373"/>
      <c r="BR337" s="373"/>
      <c r="BS337" s="373"/>
      <c r="BT337" s="373"/>
      <c r="BU337" s="373"/>
      <c r="BV337" s="373"/>
      <c r="BW337" s="373"/>
      <c r="BX337" s="373"/>
      <c r="BY337" s="373"/>
      <c r="BZ337" s="373"/>
      <c r="CA337" s="373"/>
      <c r="CB337" s="373"/>
      <c r="CC337" s="374"/>
      <c r="CD337" s="374"/>
      <c r="CE337" s="374"/>
      <c r="CF337" s="374"/>
      <c r="CG337" s="374"/>
      <c r="CH337" s="374"/>
      <c r="CI337" s="374"/>
      <c r="CJ337" s="374"/>
      <c r="CK337" s="374"/>
      <c r="CL337" s="374"/>
      <c r="CM337" s="374"/>
      <c r="CN337" s="374"/>
      <c r="CO337" s="374"/>
      <c r="CP337" s="374"/>
      <c r="CQ337" s="374"/>
      <c r="CR337" s="374"/>
      <c r="CS337" s="374"/>
      <c r="CT337" s="374"/>
      <c r="CU337" s="374"/>
      <c r="CV337" s="374"/>
      <c r="CW337" s="374"/>
      <c r="CX337" s="374"/>
      <c r="CY337" s="374"/>
      <c r="CZ337" s="374"/>
      <c r="DA337" s="374"/>
      <c r="DB337" s="374"/>
      <c r="DC337" s="375"/>
      <c r="DJ337" s="58"/>
      <c r="DL337" s="364"/>
    </row>
    <row r="338" spans="1:116" s="59" customFormat="1">
      <c r="A338" s="365"/>
      <c r="B338" s="447" t="s">
        <v>301</v>
      </c>
      <c r="C338" s="349"/>
      <c r="D338" s="349"/>
      <c r="E338" s="349"/>
      <c r="F338" s="349"/>
      <c r="G338" s="349">
        <f>ROUNDUP(2587.2+25.77,0)</f>
        <v>2613</v>
      </c>
      <c r="H338" s="349"/>
      <c r="I338" s="349"/>
      <c r="J338" s="349"/>
      <c r="K338" s="349"/>
      <c r="L338" s="349"/>
      <c r="M338" s="349"/>
      <c r="N338" s="349"/>
      <c r="O338" s="349"/>
      <c r="P338" s="354"/>
      <c r="Q338" s="349"/>
      <c r="R338" s="354"/>
      <c r="S338" s="354"/>
      <c r="T338" s="352"/>
      <c r="U338" s="353"/>
      <c r="V338" s="353"/>
      <c r="W338" s="353"/>
      <c r="X338" s="349"/>
      <c r="Y338" s="349"/>
      <c r="Z338" s="349"/>
      <c r="AA338" s="349"/>
      <c r="AB338" s="349"/>
      <c r="AC338" s="349"/>
      <c r="AD338" s="349"/>
      <c r="AE338" s="349"/>
      <c r="AF338" s="349"/>
      <c r="AG338" s="349"/>
      <c r="AH338" s="349"/>
      <c r="AI338" s="349"/>
      <c r="AJ338" s="349"/>
      <c r="AK338" s="349"/>
      <c r="AL338" s="349"/>
      <c r="AM338" s="349"/>
      <c r="AN338" s="349"/>
      <c r="AO338" s="349"/>
      <c r="AP338" s="354"/>
      <c r="AQ338" s="352"/>
      <c r="AR338" s="353"/>
      <c r="AS338" s="349"/>
      <c r="AT338" s="349"/>
      <c r="AU338" s="349"/>
      <c r="AV338" s="352"/>
      <c r="AW338" s="353"/>
      <c r="AX338" s="349"/>
      <c r="AY338" s="352"/>
      <c r="AZ338" s="372"/>
      <c r="BA338" s="349"/>
      <c r="BB338" s="373"/>
      <c r="BC338" s="373"/>
      <c r="BD338" s="373"/>
      <c r="BE338" s="373"/>
      <c r="BF338" s="373"/>
      <c r="BG338" s="373"/>
      <c r="BH338" s="373"/>
      <c r="BI338" s="373"/>
      <c r="BJ338" s="373"/>
      <c r="BK338" s="373"/>
      <c r="BL338" s="373"/>
      <c r="BM338" s="373"/>
      <c r="BN338" s="373"/>
      <c r="BO338" s="373"/>
      <c r="BP338" s="373"/>
      <c r="BQ338" s="373"/>
      <c r="BR338" s="373"/>
      <c r="BS338" s="373"/>
      <c r="BT338" s="373"/>
      <c r="BU338" s="373"/>
      <c r="BV338" s="373"/>
      <c r="BW338" s="373"/>
      <c r="BX338" s="373"/>
      <c r="BY338" s="373"/>
      <c r="BZ338" s="373"/>
      <c r="CA338" s="373"/>
      <c r="CB338" s="373"/>
      <c r="CC338" s="374"/>
      <c r="CD338" s="374"/>
      <c r="CE338" s="374"/>
      <c r="CF338" s="374"/>
      <c r="CG338" s="374"/>
      <c r="CH338" s="374"/>
      <c r="CI338" s="374"/>
      <c r="CJ338" s="374"/>
      <c r="CK338" s="374"/>
      <c r="CL338" s="374"/>
      <c r="CM338" s="374"/>
      <c r="CN338" s="374"/>
      <c r="CO338" s="374"/>
      <c r="CP338" s="374"/>
      <c r="CQ338" s="374"/>
      <c r="CR338" s="374"/>
      <c r="CS338" s="374"/>
      <c r="CT338" s="374"/>
      <c r="CU338" s="374"/>
      <c r="CV338" s="374"/>
      <c r="CW338" s="374"/>
      <c r="CX338" s="374"/>
      <c r="CY338" s="374"/>
      <c r="CZ338" s="374"/>
      <c r="DA338" s="374"/>
      <c r="DB338" s="374"/>
      <c r="DC338" s="375"/>
      <c r="DJ338" s="58"/>
      <c r="DL338" s="364"/>
    </row>
    <row r="339" spans="1:116" s="59" customFormat="1">
      <c r="A339" s="365"/>
      <c r="B339" s="353"/>
      <c r="C339" s="349"/>
      <c r="D339" s="349"/>
      <c r="E339" s="349"/>
      <c r="F339" s="349"/>
      <c r="G339" s="349"/>
      <c r="H339" s="349"/>
      <c r="I339" s="349"/>
      <c r="J339" s="349"/>
      <c r="K339" s="349"/>
      <c r="L339" s="349"/>
      <c r="M339" s="349"/>
      <c r="N339" s="349"/>
      <c r="O339" s="349"/>
      <c r="P339" s="354"/>
      <c r="Q339" s="354"/>
      <c r="R339" s="349"/>
      <c r="S339" s="354"/>
      <c r="T339" s="352"/>
      <c r="U339" s="353"/>
      <c r="V339" s="353"/>
      <c r="W339" s="353"/>
      <c r="X339" s="349"/>
      <c r="Y339" s="349"/>
      <c r="Z339" s="349"/>
      <c r="AA339" s="349"/>
      <c r="AB339" s="349"/>
      <c r="AC339" s="349"/>
      <c r="AD339" s="349"/>
      <c r="AE339" s="349"/>
      <c r="AF339" s="349"/>
      <c r="AG339" s="349"/>
      <c r="AH339" s="349"/>
      <c r="AI339" s="349"/>
      <c r="AJ339" s="349"/>
      <c r="AK339" s="349"/>
      <c r="AL339" s="349"/>
      <c r="AM339" s="349"/>
      <c r="AN339" s="349"/>
      <c r="AO339" s="349"/>
      <c r="AP339" s="354"/>
      <c r="AQ339" s="352"/>
      <c r="AR339" s="353"/>
      <c r="AS339" s="349"/>
      <c r="AT339" s="349"/>
      <c r="AU339" s="349"/>
      <c r="AV339" s="352"/>
      <c r="AW339" s="353"/>
      <c r="AX339" s="349"/>
      <c r="AY339" s="352"/>
      <c r="AZ339" s="372"/>
      <c r="BA339" s="373"/>
      <c r="BB339" s="373"/>
      <c r="BC339" s="373"/>
      <c r="BD339" s="373"/>
      <c r="BE339" s="373"/>
      <c r="BF339" s="373"/>
      <c r="BG339" s="373"/>
      <c r="BH339" s="373"/>
      <c r="BI339" s="373"/>
      <c r="BJ339" s="373"/>
      <c r="BK339" s="373"/>
      <c r="BL339" s="373"/>
      <c r="BM339" s="373"/>
      <c r="BN339" s="373"/>
      <c r="BO339" s="373"/>
      <c r="BP339" s="373"/>
      <c r="BQ339" s="373"/>
      <c r="BR339" s="373"/>
      <c r="BS339" s="373"/>
      <c r="BT339" s="373"/>
      <c r="BU339" s="373"/>
      <c r="BV339" s="373"/>
      <c r="BW339" s="373"/>
      <c r="BX339" s="373"/>
      <c r="BY339" s="373"/>
      <c r="BZ339" s="373"/>
      <c r="CA339" s="373"/>
      <c r="CB339" s="373"/>
      <c r="CC339" s="374"/>
      <c r="CD339" s="374"/>
      <c r="CE339" s="374"/>
      <c r="CF339" s="374"/>
      <c r="CG339" s="374"/>
      <c r="CH339" s="374"/>
      <c r="CI339" s="374"/>
      <c r="CJ339" s="374"/>
      <c r="CK339" s="374"/>
      <c r="CL339" s="374"/>
      <c r="CM339" s="374"/>
      <c r="CN339" s="374"/>
      <c r="CO339" s="374"/>
      <c r="CP339" s="374"/>
      <c r="CQ339" s="374"/>
      <c r="CR339" s="374"/>
      <c r="CS339" s="374"/>
      <c r="CT339" s="374"/>
      <c r="CU339" s="374"/>
      <c r="CV339" s="374"/>
      <c r="CW339" s="374"/>
      <c r="CX339" s="374"/>
      <c r="CY339" s="374"/>
      <c r="CZ339" s="374"/>
      <c r="DA339" s="374"/>
      <c r="DB339" s="374"/>
      <c r="DC339" s="375"/>
      <c r="DJ339" s="58"/>
      <c r="DL339" s="364"/>
    </row>
    <row r="340" spans="1:116" s="59" customFormat="1">
      <c r="A340" s="365"/>
      <c r="B340" s="353"/>
      <c r="C340" s="349"/>
      <c r="D340" s="349"/>
      <c r="E340" s="349"/>
      <c r="F340" s="349"/>
      <c r="G340" s="349"/>
      <c r="H340" s="349"/>
      <c r="I340" s="349"/>
      <c r="J340" s="349"/>
      <c r="K340" s="349"/>
      <c r="L340" s="349"/>
      <c r="M340" s="349"/>
      <c r="N340" s="349"/>
      <c r="O340" s="349"/>
      <c r="P340" s="354"/>
      <c r="Q340" s="354"/>
      <c r="R340" s="354"/>
      <c r="S340" s="349"/>
      <c r="T340" s="352"/>
      <c r="U340" s="353"/>
      <c r="V340" s="353"/>
      <c r="W340" s="353"/>
      <c r="X340" s="349"/>
      <c r="Y340" s="349"/>
      <c r="Z340" s="349"/>
      <c r="AA340" s="349"/>
      <c r="AB340" s="349"/>
      <c r="AC340" s="349"/>
      <c r="AD340" s="349"/>
      <c r="AE340" s="349"/>
      <c r="AF340" s="349"/>
      <c r="AG340" s="349"/>
      <c r="AH340" s="349"/>
      <c r="AI340" s="349"/>
      <c r="AJ340" s="349"/>
      <c r="AK340" s="349"/>
      <c r="AL340" s="349"/>
      <c r="AM340" s="349"/>
      <c r="AN340" s="349"/>
      <c r="AO340" s="349"/>
      <c r="AP340" s="354"/>
      <c r="AQ340" s="352"/>
      <c r="AR340" s="353"/>
      <c r="AS340" s="349"/>
      <c r="AT340" s="349"/>
      <c r="AU340" s="349"/>
      <c r="AV340" s="352"/>
      <c r="AW340" s="353"/>
      <c r="AX340" s="349"/>
      <c r="AY340" s="352"/>
      <c r="AZ340" s="372"/>
      <c r="BA340" s="373"/>
      <c r="BB340" s="373"/>
      <c r="BC340" s="373"/>
      <c r="BD340" s="373"/>
      <c r="BE340" s="373"/>
      <c r="BF340" s="373"/>
      <c r="BG340" s="373"/>
      <c r="BH340" s="373"/>
      <c r="BI340" s="373"/>
      <c r="BJ340" s="373"/>
      <c r="BK340" s="373"/>
      <c r="BL340" s="373"/>
      <c r="BM340" s="373"/>
      <c r="BN340" s="373"/>
      <c r="BO340" s="373"/>
      <c r="BP340" s="373"/>
      <c r="BQ340" s="373"/>
      <c r="BR340" s="373"/>
      <c r="BS340" s="373"/>
      <c r="BT340" s="373"/>
      <c r="BU340" s="373"/>
      <c r="BV340" s="373"/>
      <c r="BW340" s="373"/>
      <c r="BX340" s="373"/>
      <c r="BY340" s="373"/>
      <c r="BZ340" s="373"/>
      <c r="CA340" s="373"/>
      <c r="CB340" s="373"/>
      <c r="CC340" s="374"/>
      <c r="CD340" s="374"/>
      <c r="CE340" s="374"/>
      <c r="CF340" s="374"/>
      <c r="CG340" s="374"/>
      <c r="CH340" s="374"/>
      <c r="CI340" s="374"/>
      <c r="CJ340" s="374"/>
      <c r="CK340" s="374"/>
      <c r="CL340" s="374"/>
      <c r="CM340" s="374"/>
      <c r="CN340" s="374"/>
      <c r="CO340" s="374"/>
      <c r="CP340" s="374"/>
      <c r="CQ340" s="374"/>
      <c r="CR340" s="374"/>
      <c r="CS340" s="374"/>
      <c r="CT340" s="374"/>
      <c r="CU340" s="374"/>
      <c r="CV340" s="374"/>
      <c r="CW340" s="374"/>
      <c r="CX340" s="374"/>
      <c r="CY340" s="374"/>
      <c r="CZ340" s="374"/>
      <c r="DA340" s="374"/>
      <c r="DB340" s="374"/>
      <c r="DC340" s="375"/>
      <c r="DJ340" s="58"/>
      <c r="DL340" s="364"/>
    </row>
    <row r="341" spans="1:116" s="59" customFormat="1">
      <c r="A341" s="365"/>
      <c r="B341" s="353"/>
      <c r="C341" s="349"/>
      <c r="D341" s="349"/>
      <c r="E341" s="349"/>
      <c r="F341" s="349"/>
      <c r="G341" s="349"/>
      <c r="H341" s="349"/>
      <c r="I341" s="349"/>
      <c r="J341" s="349"/>
      <c r="K341" s="349"/>
      <c r="L341" s="349"/>
      <c r="M341" s="349"/>
      <c r="N341" s="349"/>
      <c r="O341" s="349"/>
      <c r="P341" s="354"/>
      <c r="Q341" s="354"/>
      <c r="R341" s="354"/>
      <c r="S341" s="354"/>
      <c r="T341" s="352"/>
      <c r="U341" s="353"/>
      <c r="V341" s="353"/>
      <c r="W341" s="353"/>
      <c r="X341" s="349"/>
      <c r="Y341" s="349"/>
      <c r="Z341" s="349"/>
      <c r="AA341" s="349"/>
      <c r="AB341" s="349"/>
      <c r="AC341" s="349"/>
      <c r="AD341" s="349"/>
      <c r="AE341" s="349"/>
      <c r="AF341" s="349"/>
      <c r="AG341" s="349"/>
      <c r="AH341" s="349"/>
      <c r="AI341" s="349"/>
      <c r="AJ341" s="349"/>
      <c r="AK341" s="349"/>
      <c r="AL341" s="349"/>
      <c r="AM341" s="349"/>
      <c r="AN341" s="349"/>
      <c r="AO341" s="349"/>
      <c r="AP341" s="354"/>
      <c r="AQ341" s="352"/>
      <c r="AR341" s="353"/>
      <c r="AS341" s="349"/>
      <c r="AT341" s="349"/>
      <c r="AU341" s="349"/>
      <c r="AV341" s="352"/>
      <c r="AW341" s="353"/>
      <c r="AX341" s="349"/>
      <c r="AY341" s="352"/>
      <c r="AZ341" s="372"/>
      <c r="BA341" s="373"/>
      <c r="BB341" s="373"/>
      <c r="BC341" s="373"/>
      <c r="BD341" s="373"/>
      <c r="BE341" s="373"/>
      <c r="BF341" s="373"/>
      <c r="BG341" s="373"/>
      <c r="BH341" s="373"/>
      <c r="BI341" s="373"/>
      <c r="BJ341" s="373"/>
      <c r="BK341" s="373"/>
      <c r="BL341" s="373"/>
      <c r="BM341" s="373"/>
      <c r="BN341" s="373"/>
      <c r="BO341" s="373"/>
      <c r="BP341" s="373"/>
      <c r="BQ341" s="373"/>
      <c r="BR341" s="373"/>
      <c r="BS341" s="373"/>
      <c r="BT341" s="373"/>
      <c r="BU341" s="373"/>
      <c r="BV341" s="373"/>
      <c r="BW341" s="373"/>
      <c r="BX341" s="373"/>
      <c r="BY341" s="373"/>
      <c r="BZ341" s="373"/>
      <c r="CA341" s="373"/>
      <c r="CB341" s="373"/>
      <c r="CC341" s="374"/>
      <c r="CD341" s="374"/>
      <c r="CE341" s="374"/>
      <c r="CF341" s="374"/>
      <c r="CG341" s="374"/>
      <c r="CH341" s="374"/>
      <c r="CI341" s="374"/>
      <c r="CJ341" s="374"/>
      <c r="CK341" s="374"/>
      <c r="CL341" s="374"/>
      <c r="CM341" s="374"/>
      <c r="CN341" s="374"/>
      <c r="CO341" s="374"/>
      <c r="CP341" s="374"/>
      <c r="CQ341" s="374"/>
      <c r="CR341" s="374"/>
      <c r="CS341" s="374"/>
      <c r="CT341" s="374"/>
      <c r="CU341" s="374"/>
      <c r="CV341" s="374"/>
      <c r="CW341" s="374"/>
      <c r="CX341" s="374"/>
      <c r="CY341" s="374"/>
      <c r="CZ341" s="374"/>
      <c r="DA341" s="374"/>
      <c r="DB341" s="374"/>
      <c r="DC341" s="375"/>
      <c r="DJ341" s="58"/>
      <c r="DL341" s="364"/>
    </row>
    <row r="342" spans="1:116" s="59" customFormat="1">
      <c r="A342" s="365"/>
      <c r="B342" s="353"/>
      <c r="C342" s="349"/>
      <c r="D342" s="349"/>
      <c r="E342" s="349"/>
      <c r="F342" s="349"/>
      <c r="G342" s="349"/>
      <c r="H342" s="349"/>
      <c r="I342" s="349"/>
      <c r="J342" s="349"/>
      <c r="K342" s="349"/>
      <c r="L342" s="349"/>
      <c r="M342" s="349"/>
      <c r="N342" s="349"/>
      <c r="O342" s="349"/>
      <c r="P342" s="354"/>
      <c r="Q342" s="354"/>
      <c r="R342" s="354"/>
      <c r="S342" s="354"/>
      <c r="T342" s="352"/>
      <c r="U342" s="353"/>
      <c r="V342" s="353"/>
      <c r="W342" s="353"/>
      <c r="X342" s="349"/>
      <c r="Y342" s="349"/>
      <c r="Z342" s="349"/>
      <c r="AA342" s="349"/>
      <c r="AB342" s="349"/>
      <c r="AC342" s="349"/>
      <c r="AD342" s="349"/>
      <c r="AE342" s="349"/>
      <c r="AF342" s="349"/>
      <c r="AG342" s="349"/>
      <c r="AH342" s="349"/>
      <c r="AI342" s="349"/>
      <c r="AJ342" s="349"/>
      <c r="AK342" s="349"/>
      <c r="AL342" s="349"/>
      <c r="AM342" s="349"/>
      <c r="AN342" s="349"/>
      <c r="AO342" s="349"/>
      <c r="AP342" s="354"/>
      <c r="AQ342" s="352"/>
      <c r="AR342" s="353"/>
      <c r="AS342" s="349"/>
      <c r="AT342" s="349"/>
      <c r="AU342" s="349"/>
      <c r="AV342" s="352"/>
      <c r="AW342" s="353"/>
      <c r="AX342" s="349"/>
      <c r="AY342" s="352"/>
      <c r="AZ342" s="372"/>
      <c r="BA342" s="373"/>
      <c r="BB342" s="373"/>
      <c r="BC342" s="373"/>
      <c r="BD342" s="373"/>
      <c r="BE342" s="373"/>
      <c r="BF342" s="373"/>
      <c r="BG342" s="373"/>
      <c r="BH342" s="373"/>
      <c r="BI342" s="373"/>
      <c r="BJ342" s="373"/>
      <c r="BK342" s="373"/>
      <c r="BL342" s="373"/>
      <c r="BM342" s="373"/>
      <c r="BN342" s="373"/>
      <c r="BO342" s="373"/>
      <c r="BP342" s="373"/>
      <c r="BQ342" s="373"/>
      <c r="BR342" s="373"/>
      <c r="BS342" s="373"/>
      <c r="BT342" s="373"/>
      <c r="BU342" s="373"/>
      <c r="BV342" s="373"/>
      <c r="BW342" s="373"/>
      <c r="BX342" s="373"/>
      <c r="BY342" s="373"/>
      <c r="BZ342" s="373"/>
      <c r="CA342" s="373"/>
      <c r="CB342" s="373"/>
      <c r="CC342" s="374"/>
      <c r="CD342" s="374"/>
      <c r="CE342" s="374"/>
      <c r="CF342" s="374"/>
      <c r="CG342" s="374"/>
      <c r="CH342" s="374"/>
      <c r="CI342" s="374"/>
      <c r="CJ342" s="374"/>
      <c r="CK342" s="374"/>
      <c r="CL342" s="374"/>
      <c r="CM342" s="374"/>
      <c r="CN342" s="374"/>
      <c r="CO342" s="374"/>
      <c r="CP342" s="374"/>
      <c r="CQ342" s="374"/>
      <c r="CR342" s="374"/>
      <c r="CS342" s="374"/>
      <c r="CT342" s="374"/>
      <c r="CU342" s="374"/>
      <c r="CV342" s="374"/>
      <c r="CW342" s="374"/>
      <c r="CX342" s="374"/>
      <c r="CY342" s="374"/>
      <c r="CZ342" s="374"/>
      <c r="DA342" s="374"/>
      <c r="DB342" s="374"/>
      <c r="DC342" s="375"/>
    </row>
    <row r="343" spans="1:116" s="59" customFormat="1">
      <c r="A343" s="365"/>
      <c r="B343" s="353"/>
      <c r="C343" s="349"/>
      <c r="D343" s="349"/>
      <c r="E343" s="349"/>
      <c r="F343" s="349"/>
      <c r="G343" s="349"/>
      <c r="H343" s="349"/>
      <c r="I343" s="349"/>
      <c r="J343" s="349"/>
      <c r="K343" s="349"/>
      <c r="L343" s="349"/>
      <c r="M343" s="349"/>
      <c r="N343" s="349"/>
      <c r="O343" s="349"/>
      <c r="P343" s="354"/>
      <c r="Q343" s="354"/>
      <c r="R343" s="354"/>
      <c r="S343" s="354"/>
      <c r="T343" s="352"/>
      <c r="U343" s="353"/>
      <c r="V343" s="353"/>
      <c r="W343" s="353"/>
      <c r="X343" s="349"/>
      <c r="Y343" s="349"/>
      <c r="Z343" s="349"/>
      <c r="AA343" s="349"/>
      <c r="AB343" s="349"/>
      <c r="AC343" s="349"/>
      <c r="AD343" s="349"/>
      <c r="AE343" s="349"/>
      <c r="AF343" s="349"/>
      <c r="AG343" s="349"/>
      <c r="AH343" s="349"/>
      <c r="AI343" s="349"/>
      <c r="AJ343" s="349"/>
      <c r="AK343" s="349"/>
      <c r="AL343" s="349"/>
      <c r="AM343" s="349"/>
      <c r="AN343" s="349"/>
      <c r="AO343" s="349"/>
      <c r="AP343" s="354"/>
      <c r="AQ343" s="352"/>
      <c r="AR343" s="353"/>
      <c r="AS343" s="349"/>
      <c r="AT343" s="349"/>
      <c r="AU343" s="349"/>
      <c r="AV343" s="352"/>
      <c r="AW343" s="353"/>
      <c r="AX343" s="349"/>
      <c r="AY343" s="352"/>
      <c r="AZ343" s="372"/>
      <c r="BA343" s="373"/>
      <c r="BB343" s="373"/>
      <c r="BC343" s="373"/>
      <c r="BD343" s="373"/>
      <c r="BE343" s="373"/>
      <c r="BF343" s="373"/>
      <c r="BG343" s="373"/>
      <c r="BH343" s="373"/>
      <c r="BI343" s="373"/>
      <c r="BJ343" s="373"/>
      <c r="BK343" s="373"/>
      <c r="BL343" s="373"/>
      <c r="BM343" s="373"/>
      <c r="BN343" s="373"/>
      <c r="BO343" s="373"/>
      <c r="BP343" s="373"/>
      <c r="BQ343" s="373"/>
      <c r="BR343" s="373"/>
      <c r="BS343" s="373"/>
      <c r="BT343" s="373"/>
      <c r="BU343" s="373"/>
      <c r="BV343" s="373"/>
      <c r="BW343" s="373"/>
      <c r="BX343" s="373"/>
      <c r="BY343" s="373"/>
      <c r="BZ343" s="373"/>
      <c r="CA343" s="373"/>
      <c r="CB343" s="373"/>
      <c r="CC343" s="374"/>
      <c r="CD343" s="374"/>
      <c r="CE343" s="374"/>
      <c r="CF343" s="374"/>
      <c r="CG343" s="374"/>
      <c r="CH343" s="374"/>
      <c r="CI343" s="374"/>
      <c r="CJ343" s="374"/>
      <c r="CK343" s="374"/>
      <c r="CL343" s="374"/>
      <c r="CM343" s="374"/>
      <c r="CN343" s="374"/>
      <c r="CO343" s="374"/>
      <c r="CP343" s="374"/>
      <c r="CQ343" s="374"/>
      <c r="CR343" s="374"/>
      <c r="CS343" s="374"/>
      <c r="CT343" s="374"/>
      <c r="CU343" s="374"/>
      <c r="CV343" s="374"/>
      <c r="CW343" s="374"/>
      <c r="CX343" s="374"/>
      <c r="CY343" s="374"/>
      <c r="CZ343" s="374"/>
      <c r="DA343" s="374"/>
      <c r="DB343" s="374"/>
      <c r="DC343" s="375"/>
    </row>
    <row r="344" spans="1:116" s="59" customFormat="1">
      <c r="A344" s="365"/>
      <c r="B344" s="353"/>
      <c r="C344" s="349"/>
      <c r="D344" s="349"/>
      <c r="E344" s="349"/>
      <c r="F344" s="349"/>
      <c r="G344" s="349"/>
      <c r="H344" s="349"/>
      <c r="I344" s="349"/>
      <c r="J344" s="349"/>
      <c r="K344" s="349"/>
      <c r="L344" s="349"/>
      <c r="M344" s="349"/>
      <c r="N344" s="349"/>
      <c r="O344" s="349"/>
      <c r="P344" s="354"/>
      <c r="Q344" s="354"/>
      <c r="R344" s="354"/>
      <c r="S344" s="354"/>
      <c r="T344" s="352"/>
      <c r="U344" s="353"/>
      <c r="V344" s="353"/>
      <c r="W344" s="353"/>
      <c r="X344" s="349"/>
      <c r="Y344" s="349"/>
      <c r="Z344" s="349"/>
      <c r="AA344" s="349"/>
      <c r="AB344" s="349"/>
      <c r="AC344" s="349"/>
      <c r="AD344" s="349"/>
      <c r="AE344" s="349"/>
      <c r="AF344" s="349"/>
      <c r="AG344" s="349"/>
      <c r="AH344" s="349"/>
      <c r="AI344" s="349"/>
      <c r="AJ344" s="349"/>
      <c r="AK344" s="349"/>
      <c r="AL344" s="349"/>
      <c r="AM344" s="349"/>
      <c r="AN344" s="349"/>
      <c r="AO344" s="349"/>
      <c r="AP344" s="354"/>
      <c r="AQ344" s="352"/>
      <c r="AR344" s="353"/>
      <c r="AS344" s="349"/>
      <c r="AT344" s="349"/>
      <c r="AU344" s="349"/>
      <c r="AV344" s="352"/>
      <c r="AW344" s="353"/>
      <c r="AX344" s="349"/>
      <c r="AY344" s="352"/>
      <c r="AZ344" s="372"/>
      <c r="BA344" s="373"/>
      <c r="BB344" s="373"/>
      <c r="BC344" s="373"/>
      <c r="BD344" s="373"/>
      <c r="BE344" s="373"/>
      <c r="BF344" s="373"/>
      <c r="BG344" s="373"/>
      <c r="BH344" s="373"/>
      <c r="BI344" s="373"/>
      <c r="BJ344" s="373"/>
      <c r="BK344" s="373"/>
      <c r="BL344" s="373"/>
      <c r="BM344" s="373"/>
      <c r="BN344" s="373"/>
      <c r="BO344" s="373"/>
      <c r="BP344" s="373"/>
      <c r="BQ344" s="373"/>
      <c r="BR344" s="373"/>
      <c r="BS344" s="373"/>
      <c r="BT344" s="373"/>
      <c r="BU344" s="373"/>
      <c r="BV344" s="373"/>
      <c r="BW344" s="373"/>
      <c r="BX344" s="373"/>
      <c r="BY344" s="373"/>
      <c r="BZ344" s="373"/>
      <c r="CA344" s="373"/>
      <c r="CB344" s="373"/>
      <c r="CC344" s="374"/>
      <c r="CD344" s="374"/>
      <c r="CE344" s="374"/>
      <c r="CF344" s="374"/>
      <c r="CG344" s="374"/>
      <c r="CH344" s="374"/>
      <c r="CI344" s="374"/>
      <c r="CJ344" s="374"/>
      <c r="CK344" s="374"/>
      <c r="CL344" s="374"/>
      <c r="CM344" s="374"/>
      <c r="CN344" s="374"/>
      <c r="CO344" s="374"/>
      <c r="CP344" s="374"/>
      <c r="CQ344" s="374"/>
      <c r="CR344" s="374"/>
      <c r="CS344" s="374"/>
      <c r="CT344" s="374"/>
      <c r="CU344" s="374"/>
      <c r="CV344" s="374"/>
      <c r="CW344" s="374"/>
      <c r="CX344" s="374"/>
      <c r="CY344" s="374"/>
      <c r="CZ344" s="374"/>
      <c r="DA344" s="374"/>
      <c r="DB344" s="374"/>
      <c r="DC344" s="375"/>
    </row>
    <row r="345" spans="1:116" s="59" customFormat="1">
      <c r="A345" s="365"/>
      <c r="B345" s="353"/>
      <c r="C345" s="349"/>
      <c r="D345" s="349"/>
      <c r="E345" s="349"/>
      <c r="F345" s="349"/>
      <c r="G345" s="349"/>
      <c r="H345" s="349"/>
      <c r="I345" s="349"/>
      <c r="J345" s="349"/>
      <c r="K345" s="349"/>
      <c r="L345" s="349"/>
      <c r="M345" s="349"/>
      <c r="N345" s="349"/>
      <c r="O345" s="349"/>
      <c r="P345" s="354"/>
      <c r="Q345" s="354"/>
      <c r="R345" s="354"/>
      <c r="S345" s="354"/>
      <c r="T345" s="352"/>
      <c r="U345" s="353"/>
      <c r="V345" s="353"/>
      <c r="W345" s="353"/>
      <c r="X345" s="349"/>
      <c r="Y345" s="349"/>
      <c r="Z345" s="349"/>
      <c r="AA345" s="349"/>
      <c r="AB345" s="349"/>
      <c r="AC345" s="349"/>
      <c r="AD345" s="349"/>
      <c r="AE345" s="349"/>
      <c r="AF345" s="349"/>
      <c r="AG345" s="349"/>
      <c r="AH345" s="349"/>
      <c r="AI345" s="349"/>
      <c r="AJ345" s="349"/>
      <c r="AK345" s="349"/>
      <c r="AL345" s="349"/>
      <c r="AM345" s="349"/>
      <c r="AN345" s="349"/>
      <c r="AO345" s="349"/>
      <c r="AP345" s="354"/>
      <c r="AQ345" s="352"/>
      <c r="AR345" s="353"/>
      <c r="AS345" s="349"/>
      <c r="AT345" s="349"/>
      <c r="AU345" s="349"/>
      <c r="AV345" s="352"/>
      <c r="AW345" s="353"/>
      <c r="AX345" s="349"/>
      <c r="AY345" s="352"/>
      <c r="AZ345" s="372"/>
      <c r="BA345" s="373"/>
      <c r="BB345" s="373"/>
      <c r="BC345" s="373"/>
      <c r="BD345" s="373"/>
      <c r="BE345" s="373"/>
      <c r="BF345" s="373"/>
      <c r="BG345" s="373"/>
      <c r="BH345" s="373"/>
      <c r="BI345" s="373"/>
      <c r="BJ345" s="373"/>
      <c r="BK345" s="373"/>
      <c r="BL345" s="373"/>
      <c r="BM345" s="373"/>
      <c r="BN345" s="373"/>
      <c r="BO345" s="373"/>
      <c r="BP345" s="373"/>
      <c r="BQ345" s="373"/>
      <c r="BR345" s="373"/>
      <c r="BS345" s="373"/>
      <c r="BT345" s="373"/>
      <c r="BU345" s="373"/>
      <c r="BV345" s="373"/>
      <c r="BW345" s="373"/>
      <c r="BX345" s="373"/>
      <c r="BY345" s="373"/>
      <c r="BZ345" s="373"/>
      <c r="CA345" s="373"/>
      <c r="CB345" s="373"/>
      <c r="CC345" s="374"/>
      <c r="CD345" s="374"/>
      <c r="CE345" s="374"/>
      <c r="CF345" s="374"/>
      <c r="CG345" s="374"/>
      <c r="CH345" s="374"/>
      <c r="CI345" s="374"/>
      <c r="CJ345" s="374"/>
      <c r="CK345" s="374"/>
      <c r="CL345" s="374"/>
      <c r="CM345" s="374"/>
      <c r="CN345" s="374"/>
      <c r="CO345" s="374"/>
      <c r="CP345" s="374"/>
      <c r="CQ345" s="374"/>
      <c r="CR345" s="374"/>
      <c r="CS345" s="374"/>
      <c r="CT345" s="374"/>
      <c r="CU345" s="374"/>
      <c r="CV345" s="374"/>
      <c r="CW345" s="374"/>
      <c r="CX345" s="374"/>
      <c r="CY345" s="374"/>
      <c r="CZ345" s="374"/>
      <c r="DA345" s="374"/>
      <c r="DB345" s="374"/>
      <c r="DC345" s="375"/>
    </row>
    <row r="346" spans="1:116">
      <c r="A346" s="376"/>
      <c r="B346" s="353"/>
      <c r="C346" s="349"/>
      <c r="D346" s="349"/>
      <c r="E346" s="349"/>
      <c r="F346" s="349"/>
      <c r="G346" s="349"/>
      <c r="H346" s="349"/>
      <c r="I346" s="349"/>
      <c r="J346" s="349"/>
      <c r="K346" s="349"/>
      <c r="L346" s="349"/>
      <c r="M346" s="349"/>
      <c r="N346" s="349"/>
      <c r="O346" s="349"/>
      <c r="P346" s="354"/>
      <c r="Q346" s="354"/>
      <c r="R346" s="354"/>
      <c r="S346" s="354"/>
      <c r="T346" s="352">
        <f t="shared" ref="T346" si="121">SUM(C346:O346)</f>
        <v>0</v>
      </c>
      <c r="U346" s="353"/>
      <c r="V346" s="353"/>
      <c r="W346" s="353"/>
      <c r="X346" s="349"/>
      <c r="Y346" s="349"/>
      <c r="Z346" s="349"/>
      <c r="AA346" s="349"/>
      <c r="AB346" s="349"/>
      <c r="AC346" s="349"/>
      <c r="AD346" s="349"/>
      <c r="AE346" s="349"/>
      <c r="AF346" s="349"/>
      <c r="AG346" s="349"/>
      <c r="AH346" s="349"/>
      <c r="AI346" s="349"/>
      <c r="AJ346" s="349"/>
      <c r="AK346" s="349"/>
      <c r="AL346" s="349"/>
      <c r="AM346" s="349"/>
      <c r="AN346" s="349"/>
      <c r="AO346" s="349"/>
      <c r="AP346" s="354"/>
      <c r="AQ346" s="352"/>
      <c r="AR346" s="353"/>
      <c r="AS346" s="349"/>
      <c r="AT346" s="349"/>
      <c r="AU346" s="349"/>
      <c r="AV346" s="352"/>
      <c r="AW346" s="353"/>
      <c r="AX346" s="349"/>
      <c r="AY346" s="352"/>
      <c r="AZ346" s="372"/>
      <c r="BA346" s="373"/>
      <c r="BB346" s="373"/>
      <c r="BC346" s="373"/>
      <c r="BD346" s="373"/>
      <c r="BE346" s="373"/>
      <c r="BF346" s="373"/>
      <c r="BG346" s="373"/>
      <c r="BH346" s="373"/>
      <c r="BI346" s="373"/>
      <c r="BJ346" s="373"/>
      <c r="BK346" s="373"/>
      <c r="BL346" s="373"/>
      <c r="BM346" s="373"/>
      <c r="BN346" s="373"/>
      <c r="BO346" s="373"/>
      <c r="BP346" s="373"/>
      <c r="BQ346" s="373"/>
      <c r="BR346" s="373"/>
      <c r="BS346" s="373"/>
      <c r="BT346" s="373"/>
      <c r="BU346" s="373"/>
      <c r="BV346" s="373"/>
      <c r="BW346" s="373"/>
      <c r="BX346" s="373"/>
      <c r="BY346" s="373"/>
      <c r="BZ346" s="373"/>
      <c r="CA346" s="373"/>
      <c r="CB346" s="373"/>
      <c r="CC346" s="374"/>
      <c r="CD346" s="374"/>
      <c r="CE346" s="374"/>
      <c r="CF346" s="374"/>
      <c r="CG346" s="374"/>
      <c r="CH346" s="374"/>
      <c r="CI346" s="374"/>
      <c r="CJ346" s="374"/>
      <c r="CK346" s="374"/>
      <c r="CL346" s="374"/>
      <c r="CM346" s="374"/>
      <c r="CN346" s="374"/>
      <c r="CO346" s="374"/>
      <c r="CP346" s="374"/>
      <c r="CQ346" s="374"/>
      <c r="CR346" s="374"/>
      <c r="CS346" s="374"/>
      <c r="CT346" s="374"/>
      <c r="CU346" s="374"/>
      <c r="CV346" s="374"/>
      <c r="CW346" s="374"/>
      <c r="CX346" s="374"/>
      <c r="CY346" s="374"/>
      <c r="CZ346" s="374"/>
      <c r="DA346" s="374"/>
      <c r="DB346" s="374"/>
      <c r="DC346" s="375"/>
    </row>
    <row r="347" spans="1:116" ht="18.75">
      <c r="A347" s="376"/>
      <c r="B347" s="377" t="s">
        <v>171</v>
      </c>
      <c r="C347" s="378">
        <f>SUM(C299:C346)</f>
        <v>2834</v>
      </c>
      <c r="D347" s="378">
        <f t="shared" ref="D347:BQ347" si="122">SUM(D299:D346)</f>
        <v>1924</v>
      </c>
      <c r="E347" s="378">
        <f t="shared" si="122"/>
        <v>146</v>
      </c>
      <c r="F347" s="378">
        <f t="shared" si="122"/>
        <v>21</v>
      </c>
      <c r="G347" s="378">
        <f t="shared" si="122"/>
        <v>2613</v>
      </c>
      <c r="H347" s="378">
        <f t="shared" si="122"/>
        <v>0</v>
      </c>
      <c r="I347" s="378">
        <f t="shared" si="122"/>
        <v>0</v>
      </c>
      <c r="J347" s="378">
        <f t="shared" si="122"/>
        <v>0</v>
      </c>
      <c r="K347" s="378">
        <f t="shared" si="122"/>
        <v>0</v>
      </c>
      <c r="L347" s="378">
        <f t="shared" si="122"/>
        <v>0</v>
      </c>
      <c r="M347" s="378">
        <f t="shared" si="122"/>
        <v>0</v>
      </c>
      <c r="N347" s="378">
        <f t="shared" si="122"/>
        <v>0</v>
      </c>
      <c r="O347" s="378">
        <f t="shared" si="122"/>
        <v>0</v>
      </c>
      <c r="P347" s="378">
        <f t="shared" si="122"/>
        <v>0</v>
      </c>
      <c r="Q347" s="378">
        <f t="shared" si="122"/>
        <v>0</v>
      </c>
      <c r="R347" s="378">
        <f t="shared" si="122"/>
        <v>0</v>
      </c>
      <c r="S347" s="378">
        <f t="shared" si="122"/>
        <v>0</v>
      </c>
      <c r="T347" s="378">
        <f t="shared" si="122"/>
        <v>189</v>
      </c>
      <c r="U347" s="378">
        <f t="shared" si="122"/>
        <v>2254</v>
      </c>
      <c r="V347" s="378">
        <f t="shared" si="122"/>
        <v>67</v>
      </c>
      <c r="W347" s="378">
        <f t="shared" si="122"/>
        <v>0</v>
      </c>
      <c r="X347" s="378">
        <f t="shared" si="122"/>
        <v>0</v>
      </c>
      <c r="Y347" s="378">
        <f t="shared" si="122"/>
        <v>0</v>
      </c>
      <c r="Z347" s="378">
        <f t="shared" si="122"/>
        <v>1003</v>
      </c>
      <c r="AA347" s="378">
        <f t="shared" si="122"/>
        <v>2886</v>
      </c>
      <c r="AB347" s="378">
        <f t="shared" si="122"/>
        <v>0</v>
      </c>
      <c r="AC347" s="378">
        <f t="shared" si="122"/>
        <v>0</v>
      </c>
      <c r="AD347" s="378">
        <f t="shared" si="122"/>
        <v>632</v>
      </c>
      <c r="AE347" s="378">
        <f t="shared" si="122"/>
        <v>0</v>
      </c>
      <c r="AF347" s="378">
        <f t="shared" si="122"/>
        <v>0</v>
      </c>
      <c r="AG347" s="378">
        <f t="shared" si="122"/>
        <v>0</v>
      </c>
      <c r="AH347" s="378">
        <f t="shared" si="122"/>
        <v>0</v>
      </c>
      <c r="AI347" s="378">
        <f t="shared" si="122"/>
        <v>0</v>
      </c>
      <c r="AJ347" s="378">
        <f t="shared" si="122"/>
        <v>0</v>
      </c>
      <c r="AK347" s="378">
        <f t="shared" si="122"/>
        <v>0</v>
      </c>
      <c r="AL347" s="378">
        <f t="shared" si="122"/>
        <v>0</v>
      </c>
      <c r="AM347" s="378">
        <f t="shared" si="122"/>
        <v>0</v>
      </c>
      <c r="AN347" s="378">
        <f t="shared" si="122"/>
        <v>121</v>
      </c>
      <c r="AO347" s="378">
        <f t="shared" si="122"/>
        <v>4.8</v>
      </c>
      <c r="AP347" s="378">
        <f t="shared" si="122"/>
        <v>0</v>
      </c>
      <c r="AQ347" s="378">
        <f t="shared" si="122"/>
        <v>0</v>
      </c>
      <c r="AR347" s="378">
        <f t="shared" si="122"/>
        <v>243</v>
      </c>
      <c r="AS347" s="378">
        <f t="shared" si="122"/>
        <v>0</v>
      </c>
      <c r="AT347" s="378">
        <f t="shared" si="122"/>
        <v>24</v>
      </c>
      <c r="AU347" s="378">
        <f t="shared" si="122"/>
        <v>0</v>
      </c>
      <c r="AV347" s="378">
        <f t="shared" si="122"/>
        <v>0</v>
      </c>
      <c r="AW347" s="378">
        <f t="shared" si="122"/>
        <v>2254</v>
      </c>
      <c r="AX347" s="378">
        <f t="shared" si="122"/>
        <v>1003</v>
      </c>
      <c r="AY347" s="378">
        <f t="shared" si="122"/>
        <v>243</v>
      </c>
      <c r="AZ347" s="378">
        <f t="shared" si="122"/>
        <v>1</v>
      </c>
      <c r="BA347" s="378">
        <f t="shared" si="122"/>
        <v>3</v>
      </c>
      <c r="BB347" s="378">
        <f t="shared" si="122"/>
        <v>1</v>
      </c>
      <c r="BC347" s="378">
        <f t="shared" si="122"/>
        <v>1</v>
      </c>
      <c r="BD347" s="378">
        <f t="shared" si="122"/>
        <v>0</v>
      </c>
      <c r="BE347" s="378">
        <f t="shared" si="122"/>
        <v>0</v>
      </c>
      <c r="BF347" s="378">
        <f t="shared" si="122"/>
        <v>0</v>
      </c>
      <c r="BG347" s="378">
        <f t="shared" si="122"/>
        <v>5</v>
      </c>
      <c r="BH347" s="378">
        <f t="shared" si="122"/>
        <v>1</v>
      </c>
      <c r="BI347" s="378">
        <f t="shared" si="122"/>
        <v>1</v>
      </c>
      <c r="BJ347" s="378">
        <f t="shared" si="122"/>
        <v>1</v>
      </c>
      <c r="BK347" s="378">
        <f t="shared" si="122"/>
        <v>4</v>
      </c>
      <c r="BL347" s="378">
        <f t="shared" si="122"/>
        <v>1</v>
      </c>
      <c r="BM347" s="378">
        <f t="shared" si="122"/>
        <v>2</v>
      </c>
      <c r="BN347" s="378">
        <f t="shared" si="122"/>
        <v>0</v>
      </c>
      <c r="BO347" s="378">
        <f t="shared" si="122"/>
        <v>0</v>
      </c>
      <c r="BP347" s="378">
        <f t="shared" si="122"/>
        <v>0</v>
      </c>
      <c r="BQ347" s="378">
        <f t="shared" si="122"/>
        <v>0</v>
      </c>
      <c r="BR347" s="378">
        <f t="shared" ref="BR347:BW347" si="123">SUM(BR299:BR346)</f>
        <v>0</v>
      </c>
      <c r="BS347" s="378">
        <f t="shared" si="123"/>
        <v>0</v>
      </c>
      <c r="BT347" s="378">
        <f t="shared" si="123"/>
        <v>0</v>
      </c>
      <c r="BU347" s="378">
        <f t="shared" si="123"/>
        <v>0</v>
      </c>
      <c r="BV347" s="378">
        <f t="shared" si="123"/>
        <v>0</v>
      </c>
      <c r="BW347" s="378">
        <f t="shared" si="123"/>
        <v>12</v>
      </c>
      <c r="BX347" s="378"/>
      <c r="BY347" s="378">
        <f t="shared" ref="BY347:DC347" si="124">SUM(BY299:BY346)</f>
        <v>5</v>
      </c>
      <c r="BZ347" s="378">
        <f t="shared" si="124"/>
        <v>1</v>
      </c>
      <c r="CA347" s="378">
        <f t="shared" si="124"/>
        <v>0</v>
      </c>
      <c r="CB347" s="378">
        <f t="shared" si="124"/>
        <v>0</v>
      </c>
      <c r="CC347" s="378"/>
      <c r="CD347" s="378">
        <f t="shared" si="124"/>
        <v>6</v>
      </c>
      <c r="CE347" s="378"/>
      <c r="CF347" s="378">
        <f t="shared" si="124"/>
        <v>2</v>
      </c>
      <c r="CG347" s="378"/>
      <c r="CH347" s="378">
        <f t="shared" si="124"/>
        <v>0</v>
      </c>
      <c r="CI347" s="378">
        <f t="shared" si="124"/>
        <v>0</v>
      </c>
      <c r="CJ347" s="378">
        <f t="shared" si="124"/>
        <v>0</v>
      </c>
      <c r="CK347" s="378"/>
      <c r="CL347" s="378"/>
      <c r="CM347" s="378">
        <f t="shared" si="124"/>
        <v>0</v>
      </c>
      <c r="CN347" s="378">
        <f t="shared" si="124"/>
        <v>0</v>
      </c>
      <c r="CO347" s="378">
        <f t="shared" si="124"/>
        <v>0</v>
      </c>
      <c r="CP347" s="378">
        <f t="shared" si="124"/>
        <v>0</v>
      </c>
      <c r="CQ347" s="378">
        <f t="shared" si="124"/>
        <v>0</v>
      </c>
      <c r="CR347" s="378">
        <f t="shared" si="124"/>
        <v>0</v>
      </c>
      <c r="CS347" s="378">
        <f t="shared" si="124"/>
        <v>0</v>
      </c>
      <c r="CT347" s="378">
        <f t="shared" si="124"/>
        <v>0</v>
      </c>
      <c r="CU347" s="378">
        <f t="shared" si="124"/>
        <v>0</v>
      </c>
      <c r="CV347" s="378">
        <f t="shared" si="124"/>
        <v>0</v>
      </c>
      <c r="CW347" s="378">
        <f t="shared" si="124"/>
        <v>0</v>
      </c>
      <c r="CX347" s="378">
        <f t="shared" si="124"/>
        <v>0</v>
      </c>
      <c r="CY347" s="378">
        <f t="shared" si="124"/>
        <v>0</v>
      </c>
      <c r="CZ347" s="378">
        <f t="shared" si="124"/>
        <v>0</v>
      </c>
      <c r="DA347" s="378">
        <f t="shared" si="124"/>
        <v>0</v>
      </c>
      <c r="DB347" s="378">
        <f t="shared" si="124"/>
        <v>0</v>
      </c>
      <c r="DC347" s="378">
        <f t="shared" si="124"/>
        <v>0</v>
      </c>
    </row>
    <row r="348" spans="1:116" ht="18.75">
      <c r="A348" s="376"/>
      <c r="B348" s="377"/>
      <c r="C348" s="378"/>
      <c r="D348" s="378"/>
      <c r="E348" s="378"/>
      <c r="F348" s="378"/>
      <c r="G348" s="378"/>
      <c r="H348" s="378"/>
      <c r="I348" s="378"/>
      <c r="J348" s="378"/>
      <c r="K348" s="378"/>
      <c r="L348" s="378"/>
      <c r="M348" s="378"/>
      <c r="N348" s="378"/>
      <c r="O348" s="378"/>
      <c r="P348" s="379"/>
      <c r="Q348" s="379"/>
      <c r="R348" s="379"/>
      <c r="S348" s="379"/>
      <c r="T348" s="380"/>
      <c r="U348" s="381"/>
      <c r="V348" s="381"/>
      <c r="W348" s="381"/>
      <c r="X348" s="378"/>
      <c r="Y348" s="378"/>
      <c r="Z348" s="378"/>
      <c r="AA348" s="378"/>
      <c r="AB348" s="378"/>
      <c r="AC348" s="378"/>
      <c r="AD348" s="378"/>
      <c r="AE348" s="378"/>
      <c r="AF348" s="378"/>
      <c r="AG348" s="378"/>
      <c r="AH348" s="378"/>
      <c r="AI348" s="378"/>
      <c r="AJ348" s="378"/>
      <c r="AK348" s="378"/>
      <c r="AL348" s="378"/>
      <c r="AM348" s="378"/>
      <c r="AN348" s="378"/>
      <c r="AO348" s="378"/>
      <c r="AP348" s="379"/>
      <c r="AQ348" s="380"/>
      <c r="AR348" s="381"/>
      <c r="AS348" s="378"/>
      <c r="AT348" s="378"/>
      <c r="AU348" s="379"/>
      <c r="AV348" s="380"/>
      <c r="AW348" s="381"/>
      <c r="AX348" s="378"/>
      <c r="AY348" s="380"/>
      <c r="AZ348" s="382"/>
      <c r="BA348" s="383"/>
      <c r="BB348" s="383"/>
      <c r="BC348" s="383"/>
      <c r="BD348" s="383"/>
      <c r="BE348" s="383"/>
      <c r="BF348" s="383"/>
      <c r="BG348" s="383"/>
      <c r="BH348" s="383"/>
      <c r="BI348" s="383"/>
      <c r="BJ348" s="383"/>
      <c r="BK348" s="383"/>
      <c r="BL348" s="383"/>
      <c r="BM348" s="383"/>
      <c r="BN348" s="383"/>
      <c r="BO348" s="383"/>
      <c r="BP348" s="383"/>
      <c r="BQ348" s="383"/>
      <c r="BR348" s="383"/>
      <c r="BS348" s="383"/>
      <c r="BT348" s="383"/>
      <c r="BU348" s="383"/>
      <c r="BV348" s="383"/>
      <c r="BW348" s="383"/>
      <c r="BX348" s="383"/>
      <c r="BY348" s="383"/>
      <c r="BZ348" s="383"/>
      <c r="CA348" s="383"/>
      <c r="CB348" s="383"/>
      <c r="CC348" s="384"/>
      <c r="CD348" s="384"/>
      <c r="CE348" s="384"/>
      <c r="CF348" s="384"/>
      <c r="CG348" s="384"/>
      <c r="CH348" s="384"/>
      <c r="CI348" s="384"/>
      <c r="CJ348" s="384"/>
      <c r="CK348" s="384"/>
      <c r="CL348" s="384"/>
      <c r="CM348" s="384"/>
      <c r="CN348" s="384"/>
      <c r="CO348" s="384"/>
      <c r="CP348" s="384"/>
      <c r="CQ348" s="384"/>
      <c r="CR348" s="384"/>
      <c r="CS348" s="384"/>
      <c r="CT348" s="384"/>
      <c r="CU348" s="384"/>
      <c r="CV348" s="384"/>
      <c r="CW348" s="384"/>
      <c r="CX348" s="384"/>
      <c r="CY348" s="384"/>
      <c r="CZ348" s="384"/>
      <c r="DA348" s="384"/>
      <c r="DB348" s="384"/>
      <c r="DC348" s="385"/>
    </row>
    <row r="349" spans="1:116">
      <c r="A349" s="376"/>
      <c r="B349" s="386" t="s">
        <v>173</v>
      </c>
      <c r="C349" s="349"/>
      <c r="D349" s="349"/>
      <c r="E349" s="349"/>
      <c r="F349" s="349"/>
      <c r="G349" s="349"/>
      <c r="H349" s="349"/>
      <c r="I349" s="349"/>
      <c r="J349" s="349"/>
      <c r="K349" s="349"/>
      <c r="L349" s="349"/>
      <c r="M349" s="349"/>
      <c r="N349" s="349"/>
      <c r="O349" s="349"/>
      <c r="P349" s="354"/>
      <c r="Q349" s="354"/>
      <c r="R349" s="354"/>
      <c r="S349" s="354"/>
      <c r="T349" s="359"/>
      <c r="U349" s="353"/>
      <c r="V349" s="353"/>
      <c r="W349" s="353"/>
      <c r="X349" s="349"/>
      <c r="Y349" s="349"/>
      <c r="Z349" s="349"/>
      <c r="AA349" s="349"/>
      <c r="AB349" s="349"/>
      <c r="AC349" s="349"/>
      <c r="AD349" s="349"/>
      <c r="AE349" s="349"/>
      <c r="AF349" s="349"/>
      <c r="AG349" s="349"/>
      <c r="AH349" s="349"/>
      <c r="AI349" s="349"/>
      <c r="AJ349" s="349"/>
      <c r="AK349" s="349"/>
      <c r="AL349" s="349"/>
      <c r="AM349" s="349"/>
      <c r="AN349" s="349"/>
      <c r="AO349" s="349"/>
      <c r="AP349" s="354"/>
      <c r="AQ349" s="352"/>
      <c r="AR349" s="355"/>
      <c r="AS349" s="356"/>
      <c r="AT349" s="356"/>
      <c r="AU349" s="387"/>
      <c r="AV349" s="357"/>
      <c r="AW349" s="353"/>
      <c r="AX349" s="349"/>
      <c r="AY349" s="352"/>
      <c r="AZ349" s="372"/>
      <c r="BA349" s="373"/>
      <c r="BB349" s="373"/>
      <c r="BC349" s="373"/>
      <c r="BD349" s="373"/>
      <c r="BE349" s="373"/>
      <c r="BF349" s="373"/>
      <c r="BG349" s="373"/>
      <c r="BH349" s="373"/>
      <c r="BI349" s="373"/>
      <c r="BJ349" s="373"/>
      <c r="BK349" s="373"/>
      <c r="BL349" s="373"/>
      <c r="BM349" s="373"/>
      <c r="BN349" s="373"/>
      <c r="BO349" s="373"/>
      <c r="BP349" s="373"/>
      <c r="BQ349" s="373"/>
      <c r="BR349" s="373"/>
      <c r="BS349" s="373"/>
      <c r="BT349" s="373"/>
      <c r="BU349" s="373"/>
      <c r="BV349" s="373"/>
      <c r="BW349" s="373"/>
      <c r="BX349" s="373"/>
      <c r="BY349" s="373"/>
      <c r="BZ349" s="373"/>
      <c r="CA349" s="373"/>
      <c r="CB349" s="373"/>
      <c r="CC349" s="374"/>
      <c r="CD349" s="374"/>
      <c r="CE349" s="374"/>
      <c r="CF349" s="374"/>
      <c r="CG349" s="374"/>
      <c r="CH349" s="374"/>
      <c r="CI349" s="374"/>
      <c r="CJ349" s="374"/>
      <c r="CK349" s="374"/>
      <c r="CL349" s="374"/>
      <c r="CM349" s="374"/>
      <c r="CN349" s="374"/>
      <c r="CO349" s="374"/>
      <c r="CP349" s="374"/>
      <c r="CQ349" s="374"/>
      <c r="CR349" s="374"/>
      <c r="CS349" s="374"/>
      <c r="CT349" s="374"/>
      <c r="CU349" s="374"/>
      <c r="CV349" s="374"/>
      <c r="CW349" s="374"/>
      <c r="CX349" s="374"/>
      <c r="CY349" s="374"/>
      <c r="CZ349" s="374"/>
      <c r="DA349" s="374"/>
      <c r="DB349" s="374"/>
      <c r="DC349" s="375"/>
    </row>
    <row r="350" spans="1:116" s="60" customFormat="1">
      <c r="A350" s="388"/>
      <c r="B350" s="358"/>
      <c r="C350" s="349"/>
      <c r="D350" s="349"/>
      <c r="E350" s="349"/>
      <c r="F350" s="349"/>
      <c r="G350" s="349"/>
      <c r="H350" s="349"/>
      <c r="I350" s="349"/>
      <c r="J350" s="349"/>
      <c r="K350" s="349"/>
      <c r="L350" s="349"/>
      <c r="M350" s="349"/>
      <c r="N350" s="349"/>
      <c r="O350" s="349"/>
      <c r="P350" s="354"/>
      <c r="Q350" s="354"/>
      <c r="R350" s="354"/>
      <c r="S350" s="354"/>
      <c r="T350" s="352"/>
      <c r="U350" s="353"/>
      <c r="V350" s="353"/>
      <c r="W350" s="353"/>
      <c r="X350" s="349"/>
      <c r="Y350" s="349"/>
      <c r="Z350" s="349"/>
      <c r="AA350" s="349"/>
      <c r="AB350" s="349"/>
      <c r="AC350" s="349"/>
      <c r="AD350" s="349"/>
      <c r="AE350" s="349"/>
      <c r="AF350" s="349"/>
      <c r="AG350" s="349"/>
      <c r="AH350" s="349"/>
      <c r="AI350" s="349"/>
      <c r="AJ350" s="349"/>
      <c r="AK350" s="349"/>
      <c r="AL350" s="349"/>
      <c r="AM350" s="349"/>
      <c r="AN350" s="349"/>
      <c r="AO350" s="349"/>
      <c r="AP350" s="354"/>
      <c r="AQ350" s="352"/>
      <c r="AR350" s="389"/>
      <c r="AS350" s="362"/>
      <c r="AT350" s="362"/>
      <c r="AU350" s="390"/>
      <c r="AV350" s="391"/>
      <c r="AW350" s="353"/>
      <c r="AX350" s="349"/>
      <c r="AY350" s="352"/>
      <c r="AZ350" s="363"/>
      <c r="BA350" s="361"/>
      <c r="BB350" s="361"/>
      <c r="BC350" s="361"/>
      <c r="BD350" s="361"/>
      <c r="BE350" s="361"/>
      <c r="BF350" s="361"/>
      <c r="BG350" s="361"/>
      <c r="BH350" s="361"/>
      <c r="BI350" s="361"/>
      <c r="BJ350" s="361"/>
      <c r="BK350" s="361"/>
      <c r="BL350" s="361"/>
      <c r="BM350" s="361"/>
      <c r="BN350" s="361"/>
      <c r="BO350" s="361"/>
      <c r="BP350" s="361"/>
      <c r="BQ350" s="361"/>
      <c r="BR350" s="361"/>
      <c r="BS350" s="361"/>
      <c r="BT350" s="361"/>
      <c r="BU350" s="361"/>
      <c r="BV350" s="361"/>
      <c r="BW350" s="361"/>
      <c r="BX350" s="361"/>
      <c r="BY350" s="361"/>
      <c r="BZ350" s="361"/>
      <c r="CA350" s="361"/>
      <c r="CB350" s="361"/>
      <c r="CC350" s="392"/>
      <c r="CD350" s="392"/>
      <c r="CE350" s="392"/>
      <c r="CF350" s="392"/>
      <c r="CG350" s="392"/>
      <c r="CH350" s="392"/>
      <c r="CI350" s="392"/>
      <c r="CJ350" s="392"/>
      <c r="CK350" s="392"/>
      <c r="CL350" s="392"/>
      <c r="CM350" s="392"/>
      <c r="CN350" s="392"/>
      <c r="CO350" s="392"/>
      <c r="CP350" s="392"/>
      <c r="CQ350" s="392"/>
      <c r="CR350" s="392"/>
      <c r="CS350" s="392"/>
      <c r="CT350" s="392"/>
      <c r="CU350" s="392"/>
      <c r="CV350" s="392"/>
      <c r="CW350" s="392"/>
      <c r="CX350" s="392"/>
      <c r="CY350" s="392"/>
      <c r="CZ350" s="392"/>
      <c r="DA350" s="392"/>
      <c r="DB350" s="392"/>
      <c r="DC350" s="393"/>
    </row>
    <row r="351" spans="1:116" ht="18">
      <c r="A351" s="347"/>
      <c r="B351" s="454" t="s">
        <v>375</v>
      </c>
      <c r="C351" s="456"/>
      <c r="D351" s="456">
        <v>178</v>
      </c>
      <c r="E351" s="350"/>
      <c r="F351" s="367"/>
      <c r="G351" s="350"/>
      <c r="H351" s="350"/>
      <c r="I351" s="350"/>
      <c r="J351" s="361"/>
      <c r="K351" s="350"/>
      <c r="L351" s="350"/>
      <c r="M351" s="350"/>
      <c r="N351" s="350"/>
      <c r="O351" s="350"/>
      <c r="P351" s="351"/>
      <c r="Q351" s="351"/>
      <c r="R351" s="351"/>
      <c r="S351" s="351"/>
      <c r="T351" s="352"/>
      <c r="U351" s="353"/>
      <c r="V351" s="353"/>
      <c r="W351" s="353"/>
      <c r="X351" s="349"/>
      <c r="Y351" s="349"/>
      <c r="Z351" s="349"/>
      <c r="AA351" s="349">
        <f>ROUNDUP(((69.4+5.5+4.92+1.9+2.5+2+1.5+54+3.3+10.75+1.4+2.1+1.4+5.05+2.5+12.3+8.8+6.4+7.2)*2.9)-((BG285*2)+BJ285+(BK285*2)+BM285+(BN285*16)+CA285+CB285),0)</f>
        <v>589</v>
      </c>
      <c r="AB351" s="349"/>
      <c r="AC351" s="349"/>
      <c r="AD351" s="349"/>
      <c r="AE351" s="349"/>
      <c r="AF351" s="349"/>
      <c r="AG351" s="349"/>
      <c r="AH351" s="349"/>
      <c r="AI351" s="349"/>
      <c r="AJ351" s="349"/>
      <c r="AK351" s="349"/>
      <c r="AL351" s="349"/>
      <c r="AM351" s="349"/>
      <c r="AN351" s="349"/>
      <c r="AO351" s="349"/>
      <c r="AP351" s="354"/>
      <c r="AQ351" s="352"/>
      <c r="AR351" s="389">
        <f>D351</f>
        <v>178</v>
      </c>
      <c r="AS351" s="356"/>
      <c r="AT351" s="362"/>
      <c r="AU351" s="356"/>
      <c r="AV351" s="357"/>
      <c r="AW351" s="355">
        <f t="shared" ref="AW351:AW366" si="125">AA351</f>
        <v>589</v>
      </c>
      <c r="AX351" s="356"/>
      <c r="AY351" s="369">
        <f t="shared" ref="AY351:AY366" si="126">AR351</f>
        <v>178</v>
      </c>
      <c r="AZ351" s="363">
        <v>1</v>
      </c>
      <c r="BA351" s="350"/>
      <c r="BB351" s="350"/>
      <c r="BC351" s="350"/>
      <c r="BD351" s="350"/>
      <c r="BE351" s="350"/>
      <c r="BF351" s="350"/>
      <c r="BG351" s="350"/>
      <c r="BH351" s="350"/>
      <c r="BI351" s="350"/>
      <c r="BJ351" s="350"/>
      <c r="BK351" s="350"/>
      <c r="BL351" s="350"/>
      <c r="BM351" s="350"/>
      <c r="BN351" s="350"/>
      <c r="BO351" s="350"/>
      <c r="BP351" s="350"/>
      <c r="BQ351" s="350"/>
      <c r="BR351" s="350"/>
      <c r="BS351" s="350"/>
      <c r="BT351" s="350"/>
      <c r="BU351" s="350"/>
      <c r="BV351" s="350"/>
      <c r="BW351" s="350"/>
      <c r="BX351" s="350"/>
      <c r="BY351" s="350"/>
      <c r="BZ351" s="350"/>
      <c r="CA351" s="350"/>
      <c r="CB351" s="361">
        <v>1</v>
      </c>
      <c r="CC351" s="392"/>
      <c r="CD351" s="351"/>
      <c r="CE351" s="351"/>
      <c r="CF351" s="351"/>
      <c r="CG351" s="351"/>
      <c r="CH351" s="351"/>
      <c r="CI351" s="351"/>
      <c r="CJ351" s="351"/>
      <c r="CK351" s="351"/>
      <c r="CL351" s="351"/>
      <c r="CM351" s="351"/>
      <c r="CN351" s="351"/>
      <c r="CO351" s="351"/>
      <c r="CP351" s="351"/>
      <c r="CQ351" s="351"/>
      <c r="CR351" s="351"/>
      <c r="CS351" s="351"/>
      <c r="CT351" s="351"/>
      <c r="CU351" s="351"/>
      <c r="CV351" s="351"/>
      <c r="CW351" s="351"/>
      <c r="CX351" s="351"/>
      <c r="CY351" s="351"/>
      <c r="CZ351" s="351"/>
      <c r="DA351" s="351"/>
      <c r="DB351" s="351"/>
      <c r="DC351" s="359"/>
    </row>
    <row r="352" spans="1:116" ht="18">
      <c r="A352" s="347"/>
      <c r="B352" s="447" t="s">
        <v>269</v>
      </c>
      <c r="C352" s="456"/>
      <c r="D352" s="456">
        <v>934</v>
      </c>
      <c r="E352" s="350"/>
      <c r="F352" s="367"/>
      <c r="G352" s="367"/>
      <c r="H352" s="350"/>
      <c r="I352" s="350"/>
      <c r="J352" s="361"/>
      <c r="K352" s="350"/>
      <c r="L352" s="350"/>
      <c r="M352" s="350"/>
      <c r="N352" s="350"/>
      <c r="O352" s="350"/>
      <c r="P352" s="351"/>
      <c r="Q352" s="351"/>
      <c r="R352" s="351"/>
      <c r="S352" s="351"/>
      <c r="T352" s="352"/>
      <c r="U352" s="353">
        <f>ROUNDUP((34*2.9)-(BM285+CA285+CB285),0)</f>
        <v>99</v>
      </c>
      <c r="V352" s="353"/>
      <c r="W352" s="353"/>
      <c r="X352" s="349"/>
      <c r="Y352" s="349"/>
      <c r="Z352" s="349"/>
      <c r="AA352" s="349">
        <f>U352</f>
        <v>99</v>
      </c>
      <c r="AB352" s="349"/>
      <c r="AC352" s="349"/>
      <c r="AD352" s="349"/>
      <c r="AE352" s="349"/>
      <c r="AF352" s="349"/>
      <c r="AG352" s="349"/>
      <c r="AH352" s="349"/>
      <c r="AI352" s="349"/>
      <c r="AJ352" s="349"/>
      <c r="AK352" s="349"/>
      <c r="AL352" s="349"/>
      <c r="AM352" s="349"/>
      <c r="AN352" s="349">
        <f>ROUNDUP(BM287+CA287+CB287,0)</f>
        <v>0</v>
      </c>
      <c r="AO352" s="349"/>
      <c r="AP352" s="354"/>
      <c r="AQ352" s="352">
        <f>ROUNDUP(BM286+CA286+CB286,0)</f>
        <v>0</v>
      </c>
      <c r="AR352" s="389">
        <f>C352</f>
        <v>0</v>
      </c>
      <c r="AS352" s="356"/>
      <c r="AT352" s="362"/>
      <c r="AU352" s="356"/>
      <c r="AV352" s="357"/>
      <c r="AW352" s="355">
        <f t="shared" si="125"/>
        <v>99</v>
      </c>
      <c r="AX352" s="356"/>
      <c r="AY352" s="369">
        <f t="shared" si="126"/>
        <v>0</v>
      </c>
      <c r="AZ352" s="363"/>
      <c r="BA352" s="350"/>
      <c r="BB352" s="350"/>
      <c r="BC352" s="350"/>
      <c r="BD352" s="350"/>
      <c r="BE352" s="350"/>
      <c r="BF352" s="350"/>
      <c r="BG352" s="350"/>
      <c r="BH352" s="350"/>
      <c r="BI352" s="350"/>
      <c r="BJ352" s="350"/>
      <c r="BK352" s="350"/>
      <c r="BL352" s="350"/>
      <c r="BM352" s="361">
        <v>1</v>
      </c>
      <c r="BN352" s="350"/>
      <c r="BO352" s="350"/>
      <c r="BP352" s="350"/>
      <c r="BQ352" s="350"/>
      <c r="BR352" s="350"/>
      <c r="BS352" s="350"/>
      <c r="BT352" s="350"/>
      <c r="BU352" s="350"/>
      <c r="BV352" s="350"/>
      <c r="BW352" s="350"/>
      <c r="BX352" s="350"/>
      <c r="BY352" s="350"/>
      <c r="BZ352" s="350"/>
      <c r="CA352" s="350"/>
      <c r="CB352" s="361">
        <v>1</v>
      </c>
      <c r="CC352" s="392"/>
      <c r="CD352" s="351"/>
      <c r="CE352" s="351"/>
      <c r="CF352" s="351"/>
      <c r="CG352" s="351"/>
      <c r="CH352" s="351"/>
      <c r="CI352" s="351"/>
      <c r="CJ352" s="351"/>
      <c r="CK352" s="351"/>
      <c r="CL352" s="351"/>
      <c r="CM352" s="351"/>
      <c r="CN352" s="351"/>
      <c r="CO352" s="351"/>
      <c r="CP352" s="351"/>
      <c r="CQ352" s="351"/>
      <c r="CR352" s="351"/>
      <c r="CS352" s="351"/>
      <c r="CT352" s="351"/>
      <c r="CU352" s="351"/>
      <c r="CV352" s="351"/>
      <c r="CW352" s="351"/>
      <c r="CX352" s="351"/>
      <c r="CY352" s="351"/>
      <c r="CZ352" s="351"/>
      <c r="DA352" s="351"/>
      <c r="DB352" s="351"/>
      <c r="DC352" s="359"/>
    </row>
    <row r="353" spans="1:107" ht="18">
      <c r="A353" s="347"/>
      <c r="B353" s="447" t="s">
        <v>268</v>
      </c>
      <c r="C353" s="456"/>
      <c r="D353" s="456">
        <v>12</v>
      </c>
      <c r="E353" s="350"/>
      <c r="F353" s="367"/>
      <c r="G353" s="367"/>
      <c r="H353" s="350"/>
      <c r="I353" s="350"/>
      <c r="J353" s="361"/>
      <c r="K353" s="350"/>
      <c r="L353" s="350"/>
      <c r="M353" s="350"/>
      <c r="N353" s="350"/>
      <c r="O353" s="350"/>
      <c r="P353" s="351"/>
      <c r="Q353" s="351"/>
      <c r="R353" s="351"/>
      <c r="S353" s="351"/>
      <c r="T353" s="352"/>
      <c r="U353" s="353">
        <f>ROUNDUP((21.83*4.7)-(BG285+CA285),0)</f>
        <v>103</v>
      </c>
      <c r="V353" s="353"/>
      <c r="W353" s="353"/>
      <c r="X353" s="349"/>
      <c r="Y353" s="349"/>
      <c r="Z353" s="349">
        <f>ROUNDUP(((6+3.3)*4.7)-BW285,0)</f>
        <v>43</v>
      </c>
      <c r="AA353" s="349">
        <f>U353</f>
        <v>103</v>
      </c>
      <c r="AB353" s="349"/>
      <c r="AC353" s="349"/>
      <c r="AD353" s="349"/>
      <c r="AE353" s="349"/>
      <c r="AF353" s="349"/>
      <c r="AG353" s="349"/>
      <c r="AH353" s="349"/>
      <c r="AI353" s="349"/>
      <c r="AJ353" s="349"/>
      <c r="AK353" s="349"/>
      <c r="AL353" s="349"/>
      <c r="AM353" s="349"/>
      <c r="AN353" s="349">
        <f>ROUNDUP(BG287+BW287,0)</f>
        <v>0</v>
      </c>
      <c r="AO353" s="349"/>
      <c r="AP353" s="354"/>
      <c r="AQ353" s="352">
        <f>ROUNDUP(BG286+BW286,0)</f>
        <v>0</v>
      </c>
      <c r="AR353" s="389">
        <f>C353</f>
        <v>0</v>
      </c>
      <c r="AS353" s="356"/>
      <c r="AT353" s="362"/>
      <c r="AU353" s="356"/>
      <c r="AV353" s="357"/>
      <c r="AW353" s="355">
        <f t="shared" si="125"/>
        <v>103</v>
      </c>
      <c r="AX353" s="356"/>
      <c r="AY353" s="369">
        <f t="shared" si="126"/>
        <v>0</v>
      </c>
      <c r="AZ353" s="363"/>
      <c r="BA353" s="350"/>
      <c r="BB353" s="350"/>
      <c r="BC353" s="350"/>
      <c r="BD353" s="350"/>
      <c r="BE353" s="350"/>
      <c r="BF353" s="350"/>
      <c r="BG353" s="361">
        <v>1</v>
      </c>
      <c r="BH353" s="350"/>
      <c r="BI353" s="350"/>
      <c r="BJ353" s="350"/>
      <c r="BK353" s="350"/>
      <c r="BL353" s="350"/>
      <c r="BM353" s="361"/>
      <c r="BN353" s="350"/>
      <c r="BO353" s="350"/>
      <c r="BP353" s="350"/>
      <c r="BQ353" s="350"/>
      <c r="BR353" s="350"/>
      <c r="BS353" s="350"/>
      <c r="BT353" s="350"/>
      <c r="BU353" s="350"/>
      <c r="BV353" s="350"/>
      <c r="BW353" s="350"/>
      <c r="BX353" s="350"/>
      <c r="BY353" s="350"/>
      <c r="BZ353" s="350"/>
      <c r="CA353" s="361">
        <v>1</v>
      </c>
      <c r="CB353" s="361"/>
      <c r="CC353" s="392"/>
      <c r="CD353" s="351"/>
      <c r="CE353" s="351"/>
      <c r="CF353" s="351"/>
      <c r="CG353" s="351"/>
      <c r="CH353" s="351"/>
      <c r="CI353" s="351"/>
      <c r="CJ353" s="351"/>
      <c r="CK353" s="351"/>
      <c r="CL353" s="351"/>
      <c r="CM353" s="351"/>
      <c r="CN353" s="351"/>
      <c r="CO353" s="351"/>
      <c r="CP353" s="351"/>
      <c r="CQ353" s="351"/>
      <c r="CR353" s="351"/>
      <c r="CS353" s="351"/>
      <c r="CT353" s="351"/>
      <c r="CU353" s="351"/>
      <c r="CV353" s="351"/>
      <c r="CW353" s="351"/>
      <c r="CX353" s="351"/>
      <c r="CY353" s="351"/>
      <c r="CZ353" s="351"/>
      <c r="DA353" s="351"/>
      <c r="DB353" s="351"/>
      <c r="DC353" s="359"/>
    </row>
    <row r="354" spans="1:107" ht="18">
      <c r="A354" s="347"/>
      <c r="B354" s="447" t="s">
        <v>291</v>
      </c>
      <c r="C354" s="456">
        <v>24</v>
      </c>
      <c r="D354" s="350"/>
      <c r="E354" s="350"/>
      <c r="F354" s="367"/>
      <c r="G354" s="350"/>
      <c r="H354" s="350"/>
      <c r="I354" s="350"/>
      <c r="J354" s="361"/>
      <c r="K354" s="350"/>
      <c r="L354" s="350"/>
      <c r="M354" s="350"/>
      <c r="N354" s="350"/>
      <c r="O354" s="350"/>
      <c r="P354" s="351"/>
      <c r="Q354" s="351"/>
      <c r="R354" s="351"/>
      <c r="S354" s="351"/>
      <c r="T354" s="352"/>
      <c r="U354" s="353">
        <f>ROUNDUP(((5.8*2)*4.7)-BJ285,0)</f>
        <v>55</v>
      </c>
      <c r="V354" s="353">
        <f>ROUNDUP((3.11*2)*4.7,0)</f>
        <v>30</v>
      </c>
      <c r="W354" s="353"/>
      <c r="X354" s="349"/>
      <c r="Y354" s="349"/>
      <c r="Z354" s="349">
        <f>ROUNDUP((11.3*4.7)-(BJ285+CB285),0)</f>
        <v>54</v>
      </c>
      <c r="AA354" s="349">
        <f>ROUNDUP((U354/2)+(V354*2),0)</f>
        <v>88</v>
      </c>
      <c r="AB354" s="349"/>
      <c r="AC354" s="349"/>
      <c r="AD354" s="349"/>
      <c r="AE354" s="349"/>
      <c r="AF354" s="349"/>
      <c r="AG354" s="349"/>
      <c r="AH354" s="349"/>
      <c r="AI354" s="349"/>
      <c r="AJ354" s="349"/>
      <c r="AK354" s="349"/>
      <c r="AL354" s="349"/>
      <c r="AM354" s="349"/>
      <c r="AN354" s="349">
        <f>ROUNDUP((3*4.7)+BJ287,0)</f>
        <v>15</v>
      </c>
      <c r="AO354" s="349"/>
      <c r="AP354" s="354"/>
      <c r="AQ354" s="352">
        <f>BJ286</f>
        <v>0</v>
      </c>
      <c r="AR354" s="389">
        <f>C354</f>
        <v>24</v>
      </c>
      <c r="AS354" s="356"/>
      <c r="AT354" s="362"/>
      <c r="AU354" s="356"/>
      <c r="AV354" s="357"/>
      <c r="AW354" s="355">
        <f t="shared" si="125"/>
        <v>88</v>
      </c>
      <c r="AX354" s="356">
        <f>Z354</f>
        <v>54</v>
      </c>
      <c r="AY354" s="369">
        <f t="shared" si="126"/>
        <v>24</v>
      </c>
      <c r="AZ354" s="363"/>
      <c r="BA354" s="350"/>
      <c r="BB354" s="350"/>
      <c r="BC354" s="350"/>
      <c r="BD354" s="350"/>
      <c r="BE354" s="350"/>
      <c r="BF354" s="350"/>
      <c r="BG354" s="350"/>
      <c r="BH354" s="350"/>
      <c r="BI354" s="350"/>
      <c r="BJ354" s="361">
        <v>1</v>
      </c>
      <c r="BK354" s="350"/>
      <c r="BL354" s="350"/>
      <c r="BM354" s="350"/>
      <c r="BN354" s="350"/>
      <c r="BO354" s="350"/>
      <c r="BP354" s="350"/>
      <c r="BQ354" s="350"/>
      <c r="BR354" s="350"/>
      <c r="BS354" s="350"/>
      <c r="BT354" s="350"/>
      <c r="BU354" s="350"/>
      <c r="BV354" s="350"/>
      <c r="BW354" s="350"/>
      <c r="BX354" s="350"/>
      <c r="BY354" s="350"/>
      <c r="BZ354" s="350"/>
      <c r="CA354" s="350"/>
      <c r="CB354" s="350"/>
      <c r="CC354" s="351"/>
      <c r="CD354" s="351"/>
      <c r="CE354" s="351"/>
      <c r="CF354" s="351"/>
      <c r="CG354" s="351"/>
      <c r="CH354" s="351"/>
      <c r="CI354" s="351"/>
      <c r="CJ354" s="351"/>
      <c r="CK354" s="351"/>
      <c r="CL354" s="351"/>
      <c r="CM354" s="351"/>
      <c r="CN354" s="351"/>
      <c r="CO354" s="351"/>
      <c r="CP354" s="351"/>
      <c r="CQ354" s="351"/>
      <c r="CR354" s="351"/>
      <c r="CS354" s="351"/>
      <c r="CT354" s="351"/>
      <c r="CU354" s="351"/>
      <c r="CV354" s="351"/>
      <c r="CW354" s="351"/>
      <c r="CX354" s="351"/>
      <c r="CY354" s="351"/>
      <c r="CZ354" s="351"/>
      <c r="DA354" s="351"/>
      <c r="DB354" s="351"/>
      <c r="DC354" s="359"/>
    </row>
    <row r="355" spans="1:107" s="59" customFormat="1" ht="18">
      <c r="A355" s="365"/>
      <c r="B355" s="447" t="s">
        <v>275</v>
      </c>
      <c r="C355" s="461"/>
      <c r="D355" s="367"/>
      <c r="E355" s="461">
        <v>33</v>
      </c>
      <c r="F355" s="349"/>
      <c r="G355" s="349"/>
      <c r="H355" s="349"/>
      <c r="I355" s="349"/>
      <c r="J355" s="349"/>
      <c r="K355" s="349"/>
      <c r="L355" s="349"/>
      <c r="M355" s="349"/>
      <c r="N355" s="349"/>
      <c r="O355" s="349"/>
      <c r="P355" s="354"/>
      <c r="Q355" s="354"/>
      <c r="R355" s="354"/>
      <c r="S355" s="354"/>
      <c r="T355" s="352"/>
      <c r="U355" s="353">
        <f>ROUNDUP(((38.31+(0.7*5))*2.9)-((BN285*2)+(BW285*2)),0)</f>
        <v>120</v>
      </c>
      <c r="V355" s="353"/>
      <c r="W355" s="353"/>
      <c r="X355" s="349"/>
      <c r="Y355" s="349"/>
      <c r="Z355" s="349"/>
      <c r="AA355" s="349">
        <f>ROUNDUP((41.71*2.9)-((BN285*2)+(BW285*2)),0)</f>
        <v>119</v>
      </c>
      <c r="AB355" s="349"/>
      <c r="AC355" s="349"/>
      <c r="AD355" s="349"/>
      <c r="AE355" s="349"/>
      <c r="AF355" s="349"/>
      <c r="AG355" s="349"/>
      <c r="AH355" s="349"/>
      <c r="AI355" s="349"/>
      <c r="AJ355" s="349"/>
      <c r="AK355" s="349"/>
      <c r="AL355" s="349"/>
      <c r="AM355" s="349"/>
      <c r="AN355" s="349">
        <f>ROUNDUP((6*2.9)+((BN287*2)+(BW287*2)),0)</f>
        <v>18</v>
      </c>
      <c r="AO355" s="349"/>
      <c r="AP355" s="354"/>
      <c r="AQ355" s="352">
        <f>ROUNDUP((BN286*2)+(BW286*2),0)</f>
        <v>0</v>
      </c>
      <c r="AR355" s="366">
        <f>D355</f>
        <v>0</v>
      </c>
      <c r="AS355" s="349"/>
      <c r="AT355" s="349"/>
      <c r="AU355" s="349"/>
      <c r="AV355" s="352"/>
      <c r="AW355" s="355">
        <f t="shared" si="125"/>
        <v>119</v>
      </c>
      <c r="AX355" s="349"/>
      <c r="AY355" s="369">
        <f t="shared" si="126"/>
        <v>0</v>
      </c>
      <c r="AZ355" s="353"/>
      <c r="BA355" s="349"/>
      <c r="BB355" s="349"/>
      <c r="BC355" s="349"/>
      <c r="BD355" s="349"/>
      <c r="BE355" s="349"/>
      <c r="BF355" s="349"/>
      <c r="BG355" s="349"/>
      <c r="BH355" s="349"/>
      <c r="BI355" s="349"/>
      <c r="BJ355" s="349"/>
      <c r="BK355" s="349"/>
      <c r="BL355" s="349"/>
      <c r="BM355" s="349"/>
      <c r="BN355" s="367">
        <v>2</v>
      </c>
      <c r="BO355" s="367"/>
      <c r="BP355" s="367"/>
      <c r="BQ355" s="349"/>
      <c r="BR355" s="349"/>
      <c r="BS355" s="349"/>
      <c r="BT355" s="349"/>
      <c r="BU355" s="349"/>
      <c r="BV355" s="349"/>
      <c r="BW355" s="367">
        <v>2</v>
      </c>
      <c r="BX355" s="367"/>
      <c r="BY355" s="349"/>
      <c r="BZ355" s="349"/>
      <c r="CA355" s="349"/>
      <c r="CB355" s="349"/>
      <c r="CC355" s="354"/>
      <c r="CD355" s="354"/>
      <c r="CE355" s="354"/>
      <c r="CF355" s="354"/>
      <c r="CG355" s="354"/>
      <c r="CH355" s="354"/>
      <c r="CI355" s="354"/>
      <c r="CJ355" s="354"/>
      <c r="CK355" s="354"/>
      <c r="CL355" s="354"/>
      <c r="CM355" s="354"/>
      <c r="CN355" s="354"/>
      <c r="CO355" s="354"/>
      <c r="CP355" s="354"/>
      <c r="CQ355" s="354"/>
      <c r="CR355" s="354"/>
      <c r="CS355" s="354"/>
      <c r="CT355" s="354"/>
      <c r="CU355" s="354"/>
      <c r="CV355" s="354"/>
      <c r="CW355" s="354"/>
      <c r="CX355" s="354"/>
      <c r="CY355" s="354"/>
      <c r="CZ355" s="354"/>
      <c r="DA355" s="354"/>
      <c r="DB355" s="354"/>
      <c r="DC355" s="352"/>
    </row>
    <row r="356" spans="1:107" s="59" customFormat="1" ht="18">
      <c r="A356" s="365"/>
      <c r="B356" s="447" t="s">
        <v>276</v>
      </c>
      <c r="C356" s="461"/>
      <c r="D356" s="367"/>
      <c r="E356" s="461">
        <v>33</v>
      </c>
      <c r="F356" s="349"/>
      <c r="G356" s="349"/>
      <c r="H356" s="349"/>
      <c r="I356" s="349"/>
      <c r="J356" s="349"/>
      <c r="K356" s="349"/>
      <c r="L356" s="349"/>
      <c r="M356" s="349"/>
      <c r="N356" s="349"/>
      <c r="O356" s="349"/>
      <c r="P356" s="354"/>
      <c r="Q356" s="354"/>
      <c r="R356" s="354"/>
      <c r="S356" s="354"/>
      <c r="T356" s="352"/>
      <c r="U356" s="353">
        <f>ROUNDUP(((38.31+(0.7*5))*2.9)-((BN285*2)+(BW285*2)),0)</f>
        <v>120</v>
      </c>
      <c r="V356" s="353"/>
      <c r="W356" s="353"/>
      <c r="X356" s="349"/>
      <c r="Y356" s="349"/>
      <c r="Z356" s="349"/>
      <c r="AA356" s="349">
        <f>ROUNDUP((41.71*2.9)-((BN285*2)+(BW285*2)),0)</f>
        <v>119</v>
      </c>
      <c r="AB356" s="349"/>
      <c r="AC356" s="349"/>
      <c r="AD356" s="349"/>
      <c r="AE356" s="349"/>
      <c r="AF356" s="349"/>
      <c r="AG356" s="349"/>
      <c r="AH356" s="349"/>
      <c r="AI356" s="349"/>
      <c r="AJ356" s="349"/>
      <c r="AK356" s="349"/>
      <c r="AL356" s="349"/>
      <c r="AM356" s="349"/>
      <c r="AN356" s="349">
        <f>ROUNDUP((6*2.9)+((BN287*2)+(BW287*2)),0)</f>
        <v>18</v>
      </c>
      <c r="AO356" s="349"/>
      <c r="AP356" s="354"/>
      <c r="AQ356" s="352">
        <f>ROUNDUP((BN286*2)+(BW286*2),0)</f>
        <v>0</v>
      </c>
      <c r="AR356" s="366">
        <f t="shared" ref="AR356:AR362" si="127">D356</f>
        <v>0</v>
      </c>
      <c r="AS356" s="349"/>
      <c r="AT356" s="349"/>
      <c r="AU356" s="349"/>
      <c r="AV356" s="352"/>
      <c r="AW356" s="355">
        <f t="shared" si="125"/>
        <v>119</v>
      </c>
      <c r="AX356" s="349"/>
      <c r="AY356" s="369">
        <f t="shared" si="126"/>
        <v>0</v>
      </c>
      <c r="AZ356" s="353"/>
      <c r="BA356" s="367">
        <v>2</v>
      </c>
      <c r="BB356" s="367"/>
      <c r="BC356" s="367">
        <v>1</v>
      </c>
      <c r="BD356" s="349"/>
      <c r="BE356" s="349"/>
      <c r="BF356" s="349"/>
      <c r="BG356" s="349"/>
      <c r="BH356" s="349"/>
      <c r="BI356" s="349"/>
      <c r="BJ356" s="349"/>
      <c r="BK356" s="349"/>
      <c r="BL356" s="349"/>
      <c r="BM356" s="349"/>
      <c r="BN356" s="367">
        <v>2</v>
      </c>
      <c r="BO356" s="349"/>
      <c r="BP356" s="349"/>
      <c r="BQ356" s="349"/>
      <c r="BR356" s="349"/>
      <c r="BS356" s="349"/>
      <c r="BT356" s="349"/>
      <c r="BU356" s="349"/>
      <c r="BV356" s="349"/>
      <c r="BW356" s="367">
        <v>2</v>
      </c>
      <c r="BX356" s="367"/>
      <c r="BY356" s="367"/>
      <c r="BZ356" s="349"/>
      <c r="CA356" s="349"/>
      <c r="CB356" s="349"/>
      <c r="CC356" s="354"/>
      <c r="CD356" s="354"/>
      <c r="CE356" s="354"/>
      <c r="CF356" s="354"/>
      <c r="CG356" s="354"/>
      <c r="CH356" s="354"/>
      <c r="CI356" s="354"/>
      <c r="CJ356" s="354"/>
      <c r="CK356" s="354"/>
      <c r="CL356" s="354"/>
      <c r="CM356" s="354"/>
      <c r="CN356" s="354"/>
      <c r="CO356" s="354"/>
      <c r="CP356" s="354"/>
      <c r="CQ356" s="354"/>
      <c r="CR356" s="354"/>
      <c r="CS356" s="354"/>
      <c r="CT356" s="354"/>
      <c r="CU356" s="354"/>
      <c r="CV356" s="354"/>
      <c r="CW356" s="354"/>
      <c r="CX356" s="354"/>
      <c r="CY356" s="354"/>
      <c r="CZ356" s="354"/>
      <c r="DA356" s="354"/>
      <c r="DB356" s="354"/>
      <c r="DC356" s="352"/>
    </row>
    <row r="357" spans="1:107" s="59" customFormat="1" ht="18">
      <c r="A357" s="365"/>
      <c r="B357" s="447" t="s">
        <v>376</v>
      </c>
      <c r="C357" s="462"/>
      <c r="D357" s="462">
        <v>39</v>
      </c>
      <c r="E357" s="367"/>
      <c r="F357" s="349"/>
      <c r="G357" s="349"/>
      <c r="H357" s="349"/>
      <c r="I357" s="349"/>
      <c r="J357" s="349"/>
      <c r="K357" s="349"/>
      <c r="L357" s="349"/>
      <c r="M357" s="349"/>
      <c r="N357" s="349"/>
      <c r="O357" s="349"/>
      <c r="P357" s="354"/>
      <c r="Q357" s="354"/>
      <c r="R357" s="354"/>
      <c r="S357" s="354"/>
      <c r="T357" s="352"/>
      <c r="U357" s="353">
        <f>ROUNDUP(((11.6+5.66+0.6+5.62+0.6+5.95+(0.7*3)+1.42)*2.9)-((BN285*2)+(BW285*2)),0)</f>
        <v>96</v>
      </c>
      <c r="V357" s="353"/>
      <c r="W357" s="353"/>
      <c r="X357" s="349"/>
      <c r="Y357" s="349"/>
      <c r="Z357" s="349">
        <f>ROUNDUP(((0.3+1.5+5.6+1.5+0.3+2.22+6)*3.8)-(BW285*2),0)</f>
        <v>65</v>
      </c>
      <c r="AA357" s="349">
        <f>ROUNDUP(((15+5.7+0.8+5.6+0.8+6+0.25+0.1+5.42+0.15)*2.9)-((BN285*2)+(BW285*2)),0)</f>
        <v>114</v>
      </c>
      <c r="AB357" s="349"/>
      <c r="AC357" s="349"/>
      <c r="AD357" s="349"/>
      <c r="AE357" s="349"/>
      <c r="AF357" s="349"/>
      <c r="AG357" s="349"/>
      <c r="AH357" s="349"/>
      <c r="AI357" s="349"/>
      <c r="AJ357" s="349"/>
      <c r="AK357" s="349"/>
      <c r="AL357" s="349"/>
      <c r="AM357" s="349"/>
      <c r="AN357" s="349">
        <f>ROUNDUP((5*3.8)+(BN285*2)+(BW285*2),0)</f>
        <v>21</v>
      </c>
      <c r="AO357" s="349"/>
      <c r="AP357" s="354"/>
      <c r="AQ357" s="352">
        <f>ROUNDUP((BN286*2)+(BW286*2),0)</f>
        <v>0</v>
      </c>
      <c r="AR357" s="366">
        <f t="shared" si="127"/>
        <v>39</v>
      </c>
      <c r="AS357" s="349"/>
      <c r="AT357" s="349"/>
      <c r="AU357" s="349"/>
      <c r="AV357" s="352"/>
      <c r="AW357" s="355">
        <f t="shared" si="125"/>
        <v>114</v>
      </c>
      <c r="AX357" s="349">
        <f t="shared" ref="AX357:AX366" si="128">Z357</f>
        <v>65</v>
      </c>
      <c r="AY357" s="369">
        <f t="shared" si="126"/>
        <v>39</v>
      </c>
      <c r="AZ357" s="353"/>
      <c r="BA357" s="349"/>
      <c r="BB357" s="367">
        <v>1</v>
      </c>
      <c r="BC357" s="349"/>
      <c r="BD357" s="349"/>
      <c r="BE357" s="349"/>
      <c r="BF357" s="349"/>
      <c r="BG357" s="349"/>
      <c r="BH357" s="349"/>
      <c r="BI357" s="349"/>
      <c r="BJ357" s="349"/>
      <c r="BK357" s="349"/>
      <c r="BL357" s="349"/>
      <c r="BM357" s="349"/>
      <c r="BN357" s="367">
        <v>2</v>
      </c>
      <c r="BO357" s="349"/>
      <c r="BP357" s="349"/>
      <c r="BQ357" s="349"/>
      <c r="BR357" s="349"/>
      <c r="BS357" s="349"/>
      <c r="BT357" s="349"/>
      <c r="BU357" s="349"/>
      <c r="BV357" s="349"/>
      <c r="BW357" s="367">
        <v>2</v>
      </c>
      <c r="BX357" s="367"/>
      <c r="BY357" s="367"/>
      <c r="BZ357" s="349"/>
      <c r="CA357" s="349"/>
      <c r="CB357" s="349"/>
      <c r="CC357" s="354"/>
      <c r="CD357" s="354"/>
      <c r="CE357" s="354"/>
      <c r="CF357" s="354"/>
      <c r="CG357" s="354"/>
      <c r="CH357" s="354"/>
      <c r="CI357" s="354"/>
      <c r="CJ357" s="354"/>
      <c r="CK357" s="354"/>
      <c r="CL357" s="354"/>
      <c r="CM357" s="354"/>
      <c r="CN357" s="354"/>
      <c r="CO357" s="354"/>
      <c r="CP357" s="354"/>
      <c r="CQ357" s="354"/>
      <c r="CR357" s="354"/>
      <c r="CS357" s="354"/>
      <c r="CT357" s="354"/>
      <c r="CU357" s="354"/>
      <c r="CV357" s="354"/>
      <c r="CW357" s="354"/>
      <c r="CX357" s="354"/>
      <c r="CY357" s="354"/>
      <c r="CZ357" s="354"/>
      <c r="DA357" s="354"/>
      <c r="DB357" s="354"/>
      <c r="DC357" s="352"/>
    </row>
    <row r="358" spans="1:107" s="59" customFormat="1" ht="18">
      <c r="A358" s="365"/>
      <c r="B358" s="447" t="s">
        <v>377</v>
      </c>
      <c r="C358" s="462"/>
      <c r="D358" s="462">
        <v>42</v>
      </c>
      <c r="E358" s="367"/>
      <c r="F358" s="349"/>
      <c r="G358" s="349"/>
      <c r="H358" s="349"/>
      <c r="I358" s="349"/>
      <c r="J358" s="349"/>
      <c r="K358" s="349"/>
      <c r="L358" s="349"/>
      <c r="M358" s="349"/>
      <c r="N358" s="349"/>
      <c r="O358" s="349"/>
      <c r="P358" s="354"/>
      <c r="Q358" s="354"/>
      <c r="R358" s="354"/>
      <c r="S358" s="354"/>
      <c r="T358" s="352"/>
      <c r="U358" s="353">
        <f>ROUNDUP((36.55*2.9)-((BN285*2)+(BW285*2)),0)</f>
        <v>104</v>
      </c>
      <c r="V358" s="353"/>
      <c r="W358" s="353"/>
      <c r="X358" s="349"/>
      <c r="Y358" s="349"/>
      <c r="Z358" s="349">
        <f>ROUNDUP((12*3.8)-(BW285*2),0)</f>
        <v>44</v>
      </c>
      <c r="AA358" s="349">
        <f>U358</f>
        <v>104</v>
      </c>
      <c r="AB358" s="349"/>
      <c r="AC358" s="349"/>
      <c r="AD358" s="349"/>
      <c r="AE358" s="349"/>
      <c r="AF358" s="349"/>
      <c r="AG358" s="349"/>
      <c r="AH358" s="349"/>
      <c r="AI358" s="349"/>
      <c r="AJ358" s="349"/>
      <c r="AK358" s="349"/>
      <c r="AL358" s="349"/>
      <c r="AM358" s="349"/>
      <c r="AN358" s="349">
        <f>ROUNDUP(BN287+BW287,0)</f>
        <v>0</v>
      </c>
      <c r="AO358" s="349"/>
      <c r="AP358" s="354"/>
      <c r="AQ358" s="352">
        <f>ROUNDUP(BN286+BW286,0)</f>
        <v>0</v>
      </c>
      <c r="AR358" s="366">
        <f t="shared" si="127"/>
        <v>42</v>
      </c>
      <c r="AS358" s="349"/>
      <c r="AT358" s="349"/>
      <c r="AU358" s="349"/>
      <c r="AV358" s="352"/>
      <c r="AW358" s="355">
        <f t="shared" si="125"/>
        <v>104</v>
      </c>
      <c r="AX358" s="349">
        <f t="shared" si="128"/>
        <v>44</v>
      </c>
      <c r="AY358" s="369">
        <f t="shared" si="126"/>
        <v>42</v>
      </c>
      <c r="AZ358" s="353"/>
      <c r="BA358" s="367">
        <v>1</v>
      </c>
      <c r="BB358" s="349"/>
      <c r="BC358" s="349"/>
      <c r="BD358" s="349"/>
      <c r="BE358" s="349"/>
      <c r="BF358" s="349"/>
      <c r="BG358" s="349"/>
      <c r="BH358" s="349"/>
      <c r="BI358" s="349"/>
      <c r="BJ358" s="349"/>
      <c r="BK358" s="349"/>
      <c r="BL358" s="349"/>
      <c r="BM358" s="349"/>
      <c r="BN358" s="367">
        <v>2</v>
      </c>
      <c r="BO358" s="349"/>
      <c r="BP358" s="349"/>
      <c r="BQ358" s="349"/>
      <c r="BR358" s="349"/>
      <c r="BS358" s="349"/>
      <c r="BT358" s="349"/>
      <c r="BU358" s="349"/>
      <c r="BV358" s="349"/>
      <c r="BW358" s="367">
        <v>2</v>
      </c>
      <c r="BX358" s="367"/>
      <c r="BY358" s="367"/>
      <c r="BZ358" s="367"/>
      <c r="CA358" s="349"/>
      <c r="CB358" s="349"/>
      <c r="CC358" s="354"/>
      <c r="CD358" s="354"/>
      <c r="CE358" s="354"/>
      <c r="CF358" s="354"/>
      <c r="CG358" s="354"/>
      <c r="CH358" s="354"/>
      <c r="CI358" s="354"/>
      <c r="CJ358" s="354"/>
      <c r="CK358" s="354"/>
      <c r="CL358" s="354"/>
      <c r="CM358" s="354"/>
      <c r="CN358" s="354"/>
      <c r="CO358" s="354"/>
      <c r="CP358" s="354"/>
      <c r="CQ358" s="354"/>
      <c r="CR358" s="354"/>
      <c r="CS358" s="354"/>
      <c r="CT358" s="354"/>
      <c r="CU358" s="354"/>
      <c r="CV358" s="354"/>
      <c r="CW358" s="354"/>
      <c r="CX358" s="354"/>
      <c r="CY358" s="354"/>
      <c r="CZ358" s="354"/>
      <c r="DA358" s="354"/>
      <c r="DB358" s="354"/>
      <c r="DC358" s="352"/>
    </row>
    <row r="359" spans="1:107" s="59" customFormat="1" ht="18">
      <c r="A359" s="368"/>
      <c r="B359" s="447" t="s">
        <v>378</v>
      </c>
      <c r="C359" s="462"/>
      <c r="D359" s="462">
        <v>75</v>
      </c>
      <c r="E359" s="367"/>
      <c r="F359" s="349"/>
      <c r="G359" s="349"/>
      <c r="H359" s="349"/>
      <c r="I359" s="349"/>
      <c r="J359" s="349"/>
      <c r="K359" s="349"/>
      <c r="L359" s="349"/>
      <c r="M359" s="349"/>
      <c r="N359" s="349"/>
      <c r="O359" s="349"/>
      <c r="P359" s="354"/>
      <c r="Q359" s="354"/>
      <c r="R359" s="354"/>
      <c r="S359" s="354"/>
      <c r="T359" s="352"/>
      <c r="U359" s="353">
        <f>ROUNDUP((36.55*2.9)-((BN285*2)+(BW285*2)),0)</f>
        <v>104</v>
      </c>
      <c r="V359" s="353"/>
      <c r="W359" s="353"/>
      <c r="X359" s="349"/>
      <c r="Y359" s="349"/>
      <c r="Z359" s="349">
        <f>ROUNDUP((12*3.8)-(BW285*2),0)</f>
        <v>44</v>
      </c>
      <c r="AA359" s="349">
        <f>U359</f>
        <v>104</v>
      </c>
      <c r="AB359" s="349"/>
      <c r="AC359" s="349"/>
      <c r="AD359" s="349"/>
      <c r="AE359" s="349"/>
      <c r="AF359" s="349"/>
      <c r="AG359" s="349"/>
      <c r="AH359" s="349"/>
      <c r="AI359" s="349"/>
      <c r="AJ359" s="349"/>
      <c r="AK359" s="349"/>
      <c r="AL359" s="349"/>
      <c r="AM359" s="349"/>
      <c r="AN359" s="349">
        <f>ROUNDUP(BN287+BW287,0)</f>
        <v>0</v>
      </c>
      <c r="AO359" s="349"/>
      <c r="AP359" s="354"/>
      <c r="AQ359" s="352">
        <f>ROUNDUP(BN286+BW286,0)</f>
        <v>0</v>
      </c>
      <c r="AR359" s="366">
        <f t="shared" si="127"/>
        <v>75</v>
      </c>
      <c r="AS359" s="349"/>
      <c r="AT359" s="349"/>
      <c r="AU359" s="349"/>
      <c r="AV359" s="352"/>
      <c r="AW359" s="355">
        <f t="shared" si="125"/>
        <v>104</v>
      </c>
      <c r="AX359" s="349">
        <f t="shared" si="128"/>
        <v>44</v>
      </c>
      <c r="AY359" s="369">
        <f t="shared" si="126"/>
        <v>75</v>
      </c>
      <c r="AZ359" s="353"/>
      <c r="BA359" s="349"/>
      <c r="BB359" s="349"/>
      <c r="BC359" s="349"/>
      <c r="BD359" s="349"/>
      <c r="BE359" s="349"/>
      <c r="BF359" s="349"/>
      <c r="BG359" s="367"/>
      <c r="BH359" s="349"/>
      <c r="BI359" s="349"/>
      <c r="BJ359" s="349"/>
      <c r="BK359" s="349"/>
      <c r="BL359" s="349"/>
      <c r="BM359" s="349"/>
      <c r="BN359" s="367">
        <v>2</v>
      </c>
      <c r="BO359" s="349"/>
      <c r="BP359" s="349"/>
      <c r="BQ359" s="349"/>
      <c r="BR359" s="349"/>
      <c r="BS359" s="349"/>
      <c r="BT359" s="349"/>
      <c r="BU359" s="349"/>
      <c r="BV359" s="349"/>
      <c r="BW359" s="367">
        <v>2</v>
      </c>
      <c r="BX359" s="367"/>
      <c r="BY359" s="349"/>
      <c r="BZ359" s="349"/>
      <c r="CA359" s="349"/>
      <c r="CB359" s="349"/>
      <c r="CC359" s="354"/>
      <c r="CD359" s="354"/>
      <c r="CE359" s="354"/>
      <c r="CF359" s="354"/>
      <c r="CG359" s="354"/>
      <c r="CH359" s="354"/>
      <c r="CI359" s="354"/>
      <c r="CJ359" s="354"/>
      <c r="CK359" s="354"/>
      <c r="CL359" s="354"/>
      <c r="CM359" s="354"/>
      <c r="CN359" s="354"/>
      <c r="CO359" s="354"/>
      <c r="CP359" s="354"/>
      <c r="CQ359" s="354"/>
      <c r="CR359" s="354"/>
      <c r="CS359" s="354"/>
      <c r="CT359" s="354"/>
      <c r="CU359" s="354"/>
      <c r="CV359" s="354"/>
      <c r="CW359" s="354"/>
      <c r="CX359" s="354"/>
      <c r="CY359" s="354"/>
      <c r="CZ359" s="354"/>
      <c r="DA359" s="354"/>
      <c r="DB359" s="354"/>
      <c r="DC359" s="352"/>
    </row>
    <row r="360" spans="1:107" s="59" customFormat="1" ht="18">
      <c r="A360" s="365"/>
      <c r="B360" s="447" t="s">
        <v>379</v>
      </c>
      <c r="C360" s="462"/>
      <c r="D360" s="462">
        <v>76</v>
      </c>
      <c r="E360" s="367"/>
      <c r="F360" s="349"/>
      <c r="G360" s="349"/>
      <c r="H360" s="349"/>
      <c r="I360" s="349"/>
      <c r="J360" s="349"/>
      <c r="K360" s="349"/>
      <c r="L360" s="349"/>
      <c r="M360" s="349"/>
      <c r="N360" s="349"/>
      <c r="O360" s="349"/>
      <c r="P360" s="354"/>
      <c r="Q360" s="354"/>
      <c r="R360" s="354"/>
      <c r="S360" s="354"/>
      <c r="T360" s="352"/>
      <c r="U360" s="353">
        <f>ROUNDUP(((21.19+5.95+0.3+0.72)*2.9)-(BN285+BW285),0)</f>
        <v>81</v>
      </c>
      <c r="V360" s="353"/>
      <c r="W360" s="353"/>
      <c r="X360" s="349"/>
      <c r="Y360" s="349"/>
      <c r="Z360" s="349">
        <f>ROUNDUP(((6.88+6.37)*3.8)-BW285,0)</f>
        <v>50</v>
      </c>
      <c r="AA360" s="349">
        <f>U360</f>
        <v>81</v>
      </c>
      <c r="AB360" s="349"/>
      <c r="AC360" s="349"/>
      <c r="AD360" s="349"/>
      <c r="AE360" s="349"/>
      <c r="AF360" s="349"/>
      <c r="AG360" s="349"/>
      <c r="AH360" s="349"/>
      <c r="AI360" s="349"/>
      <c r="AJ360" s="349"/>
      <c r="AK360" s="349"/>
      <c r="AL360" s="349"/>
      <c r="AM360" s="349"/>
      <c r="AN360" s="349">
        <f>ROUNDUP(BN287+BW287,0)</f>
        <v>0</v>
      </c>
      <c r="AO360" s="349">
        <v>2.9</v>
      </c>
      <c r="AP360" s="354"/>
      <c r="AQ360" s="352">
        <f>ROUNDUP(BN286+BW286,0)</f>
        <v>0</v>
      </c>
      <c r="AR360" s="366">
        <f t="shared" si="127"/>
        <v>76</v>
      </c>
      <c r="AS360" s="349"/>
      <c r="AT360" s="349"/>
      <c r="AU360" s="349"/>
      <c r="AV360" s="352"/>
      <c r="AW360" s="355">
        <f t="shared" si="125"/>
        <v>81</v>
      </c>
      <c r="AX360" s="349">
        <f t="shared" si="128"/>
        <v>50</v>
      </c>
      <c r="AY360" s="369">
        <f t="shared" si="126"/>
        <v>76</v>
      </c>
      <c r="AZ360" s="353"/>
      <c r="BA360" s="349"/>
      <c r="BB360" s="349"/>
      <c r="BC360" s="349"/>
      <c r="BD360" s="349"/>
      <c r="BE360" s="349"/>
      <c r="BF360" s="349"/>
      <c r="BG360" s="367"/>
      <c r="BH360" s="349"/>
      <c r="BI360" s="349"/>
      <c r="BJ360" s="349"/>
      <c r="BK360" s="349"/>
      <c r="BL360" s="349"/>
      <c r="BM360" s="349"/>
      <c r="BN360" s="367">
        <v>1</v>
      </c>
      <c r="BO360" s="349"/>
      <c r="BP360" s="349"/>
      <c r="BQ360" s="349"/>
      <c r="BR360" s="349"/>
      <c r="BS360" s="349"/>
      <c r="BT360" s="349"/>
      <c r="BU360" s="349"/>
      <c r="BV360" s="349"/>
      <c r="BW360" s="367">
        <v>1</v>
      </c>
      <c r="BX360" s="367"/>
      <c r="BY360" s="349"/>
      <c r="BZ360" s="349"/>
      <c r="CA360" s="349"/>
      <c r="CB360" s="349"/>
      <c r="CC360" s="354"/>
      <c r="CD360" s="354"/>
      <c r="CE360" s="354"/>
      <c r="CF360" s="354"/>
      <c r="CG360" s="354"/>
      <c r="CH360" s="354"/>
      <c r="CI360" s="354"/>
      <c r="CJ360" s="354"/>
      <c r="CK360" s="354"/>
      <c r="CL360" s="354"/>
      <c r="CM360" s="354"/>
      <c r="CN360" s="354"/>
      <c r="CO360" s="354"/>
      <c r="CP360" s="354"/>
      <c r="CQ360" s="354"/>
      <c r="CR360" s="354"/>
      <c r="CS360" s="354"/>
      <c r="CT360" s="354"/>
      <c r="CU360" s="354"/>
      <c r="CV360" s="354"/>
      <c r="CW360" s="354"/>
      <c r="CX360" s="354"/>
      <c r="CY360" s="354"/>
      <c r="CZ360" s="354"/>
      <c r="DA360" s="354"/>
      <c r="DB360" s="354"/>
      <c r="DC360" s="352"/>
    </row>
    <row r="361" spans="1:107" s="59" customFormat="1" ht="18">
      <c r="A361" s="365"/>
      <c r="B361" s="447" t="s">
        <v>380</v>
      </c>
      <c r="C361" s="462"/>
      <c r="D361" s="462">
        <v>112</v>
      </c>
      <c r="E361" s="367"/>
      <c r="F361" s="349"/>
      <c r="G361" s="349"/>
      <c r="H361" s="349"/>
      <c r="I361" s="349"/>
      <c r="J361" s="349"/>
      <c r="K361" s="349"/>
      <c r="L361" s="349"/>
      <c r="M361" s="349"/>
      <c r="N361" s="349"/>
      <c r="O361" s="349"/>
      <c r="P361" s="354"/>
      <c r="Q361" s="354"/>
      <c r="R361" s="354"/>
      <c r="S361" s="354"/>
      <c r="T361" s="352"/>
      <c r="U361" s="353">
        <f>ROUNDUP((27.2*2.9)-(BN285+BW285),0)</f>
        <v>78</v>
      </c>
      <c r="V361" s="353"/>
      <c r="W361" s="353"/>
      <c r="X361" s="349"/>
      <c r="Y361" s="349"/>
      <c r="Z361" s="349">
        <f>ROUNDUP(((5.6+(1.5*2)+(0.3*2))*3.8)-BW285,0)</f>
        <v>34</v>
      </c>
      <c r="AA361" s="349">
        <f>U361</f>
        <v>78</v>
      </c>
      <c r="AB361" s="349"/>
      <c r="AC361" s="349"/>
      <c r="AD361" s="349"/>
      <c r="AE361" s="349"/>
      <c r="AF361" s="349"/>
      <c r="AG361" s="349"/>
      <c r="AH361" s="349"/>
      <c r="AI361" s="349"/>
      <c r="AJ361" s="349"/>
      <c r="AK361" s="349"/>
      <c r="AL361" s="349"/>
      <c r="AM361" s="349"/>
      <c r="AN361" s="349">
        <f>ROUNDUP(BN287+BW287,0)</f>
        <v>0</v>
      </c>
      <c r="AO361" s="349"/>
      <c r="AP361" s="354"/>
      <c r="AQ361" s="352">
        <f>ROUNDUP(BN286+BW286,0)</f>
        <v>0</v>
      </c>
      <c r="AR361" s="366">
        <f t="shared" si="127"/>
        <v>112</v>
      </c>
      <c r="AS361" s="349"/>
      <c r="AT361" s="349"/>
      <c r="AU361" s="349"/>
      <c r="AV361" s="352"/>
      <c r="AW361" s="355">
        <f t="shared" si="125"/>
        <v>78</v>
      </c>
      <c r="AX361" s="349">
        <f t="shared" si="128"/>
        <v>34</v>
      </c>
      <c r="AY361" s="369">
        <f t="shared" si="126"/>
        <v>112</v>
      </c>
      <c r="AZ361" s="353"/>
      <c r="BA361" s="349"/>
      <c r="BB361" s="349"/>
      <c r="BC361" s="349"/>
      <c r="BD361" s="349"/>
      <c r="BE361" s="349"/>
      <c r="BF361" s="349"/>
      <c r="BG361" s="367"/>
      <c r="BH361" s="349"/>
      <c r="BI361" s="349"/>
      <c r="BJ361" s="349"/>
      <c r="BK361" s="349"/>
      <c r="BL361" s="349"/>
      <c r="BM361" s="349"/>
      <c r="BN361" s="367">
        <v>1</v>
      </c>
      <c r="BO361" s="349"/>
      <c r="BP361" s="349"/>
      <c r="BQ361" s="349"/>
      <c r="BR361" s="349"/>
      <c r="BS361" s="349"/>
      <c r="BT361" s="349"/>
      <c r="BU361" s="349"/>
      <c r="BV361" s="349"/>
      <c r="BW361" s="367">
        <v>1</v>
      </c>
      <c r="BX361" s="367"/>
      <c r="BY361" s="349"/>
      <c r="BZ361" s="349"/>
      <c r="CA361" s="349"/>
      <c r="CB361" s="349"/>
      <c r="CC361" s="354"/>
      <c r="CD361" s="354"/>
      <c r="CE361" s="354"/>
      <c r="CF361" s="354"/>
      <c r="CG361" s="354"/>
      <c r="CH361" s="354"/>
      <c r="CI361" s="354"/>
      <c r="CJ361" s="354"/>
      <c r="CK361" s="354"/>
      <c r="CL361" s="354"/>
      <c r="CM361" s="354"/>
      <c r="CN361" s="354"/>
      <c r="CO361" s="354"/>
      <c r="CP361" s="354"/>
      <c r="CQ361" s="354"/>
      <c r="CR361" s="354"/>
      <c r="CS361" s="354"/>
      <c r="CT361" s="354"/>
      <c r="CU361" s="354"/>
      <c r="CV361" s="354"/>
      <c r="CW361" s="354"/>
      <c r="CX361" s="354"/>
      <c r="CY361" s="354"/>
      <c r="CZ361" s="354"/>
      <c r="DA361" s="354"/>
      <c r="DB361" s="354"/>
      <c r="DC361" s="352"/>
    </row>
    <row r="362" spans="1:107" s="59" customFormat="1" ht="18">
      <c r="A362" s="365"/>
      <c r="B362" s="447" t="s">
        <v>270</v>
      </c>
      <c r="C362" s="462"/>
      <c r="D362" s="462">
        <v>15</v>
      </c>
      <c r="E362" s="367"/>
      <c r="F362" s="349"/>
      <c r="G362" s="349"/>
      <c r="H362" s="349"/>
      <c r="I362" s="349"/>
      <c r="J362" s="349"/>
      <c r="K362" s="349"/>
      <c r="L362" s="349"/>
      <c r="M362" s="349"/>
      <c r="N362" s="349"/>
      <c r="O362" s="349"/>
      <c r="P362" s="354"/>
      <c r="Q362" s="354"/>
      <c r="R362" s="354"/>
      <c r="S362" s="354"/>
      <c r="T362" s="352"/>
      <c r="U362" s="353">
        <f>ROUNDUP((27.2*2.9)-(BN285+BW285),0)</f>
        <v>78</v>
      </c>
      <c r="V362" s="353"/>
      <c r="W362" s="353"/>
      <c r="X362" s="349"/>
      <c r="Y362" s="349"/>
      <c r="Z362" s="349">
        <f>ROUNDUP(((5.6+(1.5*2)+(0.3*2))*3.8)-BW285,0)</f>
        <v>34</v>
      </c>
      <c r="AA362" s="349">
        <f t="shared" ref="AA362:AA365" si="129">U362</f>
        <v>78</v>
      </c>
      <c r="AB362" s="349"/>
      <c r="AC362" s="349"/>
      <c r="AD362" s="349"/>
      <c r="AE362" s="349"/>
      <c r="AF362" s="349"/>
      <c r="AG362" s="349"/>
      <c r="AH362" s="349"/>
      <c r="AI362" s="349"/>
      <c r="AJ362" s="349"/>
      <c r="AK362" s="349"/>
      <c r="AL362" s="349"/>
      <c r="AM362" s="349"/>
      <c r="AN362" s="349">
        <f>ROUNDUP(BN287+BW287,0)</f>
        <v>0</v>
      </c>
      <c r="AO362" s="349"/>
      <c r="AP362" s="354"/>
      <c r="AQ362" s="352">
        <f>ROUNDUP(BN286+BW286,0)</f>
        <v>0</v>
      </c>
      <c r="AR362" s="366">
        <f t="shared" si="127"/>
        <v>15</v>
      </c>
      <c r="AS362" s="349"/>
      <c r="AT362" s="349"/>
      <c r="AU362" s="349"/>
      <c r="AV362" s="352"/>
      <c r="AW362" s="355">
        <f t="shared" si="125"/>
        <v>78</v>
      </c>
      <c r="AX362" s="349">
        <f t="shared" si="128"/>
        <v>34</v>
      </c>
      <c r="AY362" s="369">
        <f t="shared" si="126"/>
        <v>15</v>
      </c>
      <c r="AZ362" s="353"/>
      <c r="BA362" s="349"/>
      <c r="BB362" s="349"/>
      <c r="BC362" s="349"/>
      <c r="BD362" s="349"/>
      <c r="BE362" s="349"/>
      <c r="BF362" s="349"/>
      <c r="BG362" s="367"/>
      <c r="BH362" s="349"/>
      <c r="BI362" s="349"/>
      <c r="BJ362" s="349"/>
      <c r="BK362" s="349"/>
      <c r="BL362" s="349"/>
      <c r="BM362" s="349"/>
      <c r="BN362" s="367">
        <v>1</v>
      </c>
      <c r="BO362" s="349"/>
      <c r="BP362" s="349"/>
      <c r="BQ362" s="349"/>
      <c r="BR362" s="349"/>
      <c r="BS362" s="349"/>
      <c r="BT362" s="349"/>
      <c r="BU362" s="349"/>
      <c r="BV362" s="349"/>
      <c r="BW362" s="367">
        <v>1</v>
      </c>
      <c r="BX362" s="367"/>
      <c r="BY362" s="349"/>
      <c r="BZ362" s="349"/>
      <c r="CA362" s="349"/>
      <c r="CB362" s="349"/>
      <c r="CC362" s="354"/>
      <c r="CD362" s="354"/>
      <c r="CE362" s="354"/>
      <c r="CF362" s="354"/>
      <c r="CG362" s="354"/>
      <c r="CH362" s="354"/>
      <c r="CI362" s="354"/>
      <c r="CJ362" s="354"/>
      <c r="CK362" s="354"/>
      <c r="CL362" s="354"/>
      <c r="CM362" s="354"/>
      <c r="CN362" s="354"/>
      <c r="CO362" s="354"/>
      <c r="CP362" s="354"/>
      <c r="CQ362" s="354"/>
      <c r="CR362" s="354"/>
      <c r="CS362" s="354"/>
      <c r="CT362" s="354"/>
      <c r="CU362" s="354"/>
      <c r="CV362" s="354"/>
      <c r="CW362" s="354"/>
      <c r="CX362" s="354"/>
      <c r="CY362" s="354"/>
      <c r="CZ362" s="354"/>
      <c r="DA362" s="354"/>
      <c r="DB362" s="354"/>
      <c r="DC362" s="352"/>
    </row>
    <row r="363" spans="1:107" s="59" customFormat="1" ht="18">
      <c r="A363" s="368"/>
      <c r="B363" s="447" t="s">
        <v>290</v>
      </c>
      <c r="C363" s="462">
        <v>32</v>
      </c>
      <c r="D363" s="367"/>
      <c r="E363" s="367"/>
      <c r="F363" s="349"/>
      <c r="G363" s="349"/>
      <c r="H363" s="349"/>
      <c r="I363" s="349"/>
      <c r="J363" s="349"/>
      <c r="K363" s="349"/>
      <c r="L363" s="349"/>
      <c r="M363" s="349"/>
      <c r="N363" s="349"/>
      <c r="O363" s="349"/>
      <c r="P363" s="354"/>
      <c r="Q363" s="354"/>
      <c r="R363" s="354"/>
      <c r="S363" s="354"/>
      <c r="T363" s="352"/>
      <c r="U363" s="353">
        <f>ROUNDUP((27.2*2.9)-(BN285+BW285),0)</f>
        <v>78</v>
      </c>
      <c r="V363" s="353"/>
      <c r="W363" s="353"/>
      <c r="X363" s="349"/>
      <c r="Y363" s="349"/>
      <c r="Z363" s="349">
        <f>ROUNDUP(((5.6+(1.5*2)+(0.3*2))*3.8)-BW285,0)</f>
        <v>34</v>
      </c>
      <c r="AA363" s="349">
        <f t="shared" si="129"/>
        <v>78</v>
      </c>
      <c r="AB363" s="349"/>
      <c r="AC363" s="349"/>
      <c r="AD363" s="349"/>
      <c r="AE363" s="349"/>
      <c r="AF363" s="349"/>
      <c r="AG363" s="349"/>
      <c r="AH363" s="349"/>
      <c r="AI363" s="349"/>
      <c r="AJ363" s="349"/>
      <c r="AK363" s="349"/>
      <c r="AL363" s="349"/>
      <c r="AM363" s="349"/>
      <c r="AN363" s="349">
        <f>ROUNDUP(BN287+BW287,0)</f>
        <v>0</v>
      </c>
      <c r="AO363" s="349"/>
      <c r="AP363" s="354"/>
      <c r="AQ363" s="352">
        <f>ROUNDUP(BN286+BW286,0)</f>
        <v>0</v>
      </c>
      <c r="AR363" s="366">
        <f>D363</f>
        <v>0</v>
      </c>
      <c r="AS363" s="349"/>
      <c r="AT363" s="349"/>
      <c r="AU363" s="349"/>
      <c r="AV363" s="352"/>
      <c r="AW363" s="355">
        <f t="shared" si="125"/>
        <v>78</v>
      </c>
      <c r="AX363" s="349">
        <f t="shared" si="128"/>
        <v>34</v>
      </c>
      <c r="AY363" s="369">
        <f t="shared" si="126"/>
        <v>0</v>
      </c>
      <c r="AZ363" s="353"/>
      <c r="BA363" s="349"/>
      <c r="BB363" s="349"/>
      <c r="BC363" s="349"/>
      <c r="BD363" s="349"/>
      <c r="BE363" s="349"/>
      <c r="BF363" s="349"/>
      <c r="BG363" s="367"/>
      <c r="BH363" s="349"/>
      <c r="BI363" s="349"/>
      <c r="BJ363" s="349"/>
      <c r="BK363" s="349"/>
      <c r="BL363" s="349"/>
      <c r="BM363" s="349"/>
      <c r="BN363" s="367">
        <v>1</v>
      </c>
      <c r="BO363" s="349"/>
      <c r="BP363" s="349"/>
      <c r="BQ363" s="349"/>
      <c r="BR363" s="349"/>
      <c r="BS363" s="349"/>
      <c r="BT363" s="349"/>
      <c r="BU363" s="349"/>
      <c r="BV363" s="349"/>
      <c r="BW363" s="367">
        <v>1</v>
      </c>
      <c r="BX363" s="367"/>
      <c r="BY363" s="349"/>
      <c r="BZ363" s="349"/>
      <c r="CA363" s="349"/>
      <c r="CB363" s="349"/>
      <c r="CC363" s="354"/>
      <c r="CD363" s="354"/>
      <c r="CE363" s="354"/>
      <c r="CF363" s="354"/>
      <c r="CG363" s="354"/>
      <c r="CH363" s="354"/>
      <c r="CI363" s="354"/>
      <c r="CJ363" s="354"/>
      <c r="CK363" s="354"/>
      <c r="CL363" s="354"/>
      <c r="CM363" s="354"/>
      <c r="CN363" s="354"/>
      <c r="CO363" s="354"/>
      <c r="CP363" s="354"/>
      <c r="CQ363" s="354"/>
      <c r="CR363" s="354"/>
      <c r="CS363" s="354"/>
      <c r="CT363" s="354"/>
      <c r="CU363" s="354"/>
      <c r="CV363" s="354"/>
      <c r="CW363" s="354"/>
      <c r="CX363" s="354"/>
      <c r="CY363" s="354"/>
      <c r="CZ363" s="354"/>
      <c r="DA363" s="354"/>
      <c r="DB363" s="354"/>
      <c r="DC363" s="352"/>
    </row>
    <row r="364" spans="1:107" s="59" customFormat="1" ht="18">
      <c r="A364" s="368"/>
      <c r="B364" s="447" t="s">
        <v>277</v>
      </c>
      <c r="C364" s="462"/>
      <c r="D364" s="462">
        <v>10</v>
      </c>
      <c r="E364" s="367"/>
      <c r="F364" s="349"/>
      <c r="G364" s="349"/>
      <c r="H364" s="349"/>
      <c r="I364" s="349"/>
      <c r="J364" s="349"/>
      <c r="K364" s="349"/>
      <c r="L364" s="349"/>
      <c r="M364" s="349"/>
      <c r="N364" s="349"/>
      <c r="O364" s="349"/>
      <c r="P364" s="354"/>
      <c r="Q364" s="354"/>
      <c r="R364" s="354"/>
      <c r="S364" s="354"/>
      <c r="T364" s="352"/>
      <c r="U364" s="353">
        <f>ROUNDUP((27.2*2.9)-(BN285+BW285),0)</f>
        <v>78</v>
      </c>
      <c r="V364" s="353"/>
      <c r="W364" s="353"/>
      <c r="X364" s="349"/>
      <c r="Y364" s="349"/>
      <c r="Z364" s="349">
        <f>ROUNDUP(((5.6+(1.5*2)+(0.3*2))*3.8)-BW285,0)</f>
        <v>34</v>
      </c>
      <c r="AA364" s="349">
        <f t="shared" si="129"/>
        <v>78</v>
      </c>
      <c r="AB364" s="349"/>
      <c r="AC364" s="349"/>
      <c r="AD364" s="349"/>
      <c r="AE364" s="349"/>
      <c r="AF364" s="349"/>
      <c r="AG364" s="349"/>
      <c r="AH364" s="349"/>
      <c r="AI364" s="349"/>
      <c r="AJ364" s="349"/>
      <c r="AK364" s="349"/>
      <c r="AL364" s="349"/>
      <c r="AM364" s="349"/>
      <c r="AN364" s="349">
        <f>ROUNDUP(BN287+BW287,0)</f>
        <v>0</v>
      </c>
      <c r="AO364" s="349"/>
      <c r="AP364" s="354"/>
      <c r="AQ364" s="352">
        <f>ROUNDUP(BN286+BW286,0)</f>
        <v>0</v>
      </c>
      <c r="AR364" s="366">
        <f t="shared" ref="AR364" si="130">D364</f>
        <v>10</v>
      </c>
      <c r="AS364" s="349"/>
      <c r="AT364" s="349"/>
      <c r="AU364" s="349"/>
      <c r="AV364" s="352"/>
      <c r="AW364" s="355">
        <f t="shared" si="125"/>
        <v>78</v>
      </c>
      <c r="AX364" s="349">
        <f t="shared" si="128"/>
        <v>34</v>
      </c>
      <c r="AY364" s="369">
        <f t="shared" si="126"/>
        <v>10</v>
      </c>
      <c r="AZ364" s="353"/>
      <c r="BA364" s="349"/>
      <c r="BB364" s="349"/>
      <c r="BC364" s="349"/>
      <c r="BD364" s="349"/>
      <c r="BE364" s="349"/>
      <c r="BF364" s="349"/>
      <c r="BG364" s="367"/>
      <c r="BH364" s="349"/>
      <c r="BI364" s="349"/>
      <c r="BJ364" s="349"/>
      <c r="BK364" s="349"/>
      <c r="BL364" s="349"/>
      <c r="BM364" s="349"/>
      <c r="BN364" s="367">
        <v>1</v>
      </c>
      <c r="BO364" s="349"/>
      <c r="BP364" s="349"/>
      <c r="BQ364" s="349"/>
      <c r="BR364" s="349"/>
      <c r="BS364" s="349"/>
      <c r="BT364" s="349"/>
      <c r="BU364" s="349"/>
      <c r="BV364" s="349"/>
      <c r="BW364" s="367">
        <v>1</v>
      </c>
      <c r="BX364" s="367"/>
      <c r="BY364" s="349"/>
      <c r="BZ364" s="349"/>
      <c r="CA364" s="349"/>
      <c r="CB364" s="349"/>
      <c r="CC364" s="354"/>
      <c r="CD364" s="354"/>
      <c r="CE364" s="354"/>
      <c r="CF364" s="354"/>
      <c r="CG364" s="354"/>
      <c r="CH364" s="354"/>
      <c r="CI364" s="354"/>
      <c r="CJ364" s="354"/>
      <c r="CK364" s="354"/>
      <c r="CL364" s="354"/>
      <c r="CM364" s="354"/>
      <c r="CN364" s="354"/>
      <c r="CO364" s="354"/>
      <c r="CP364" s="354"/>
      <c r="CQ364" s="354"/>
      <c r="CR364" s="354"/>
      <c r="CS364" s="354"/>
      <c r="CT364" s="354"/>
      <c r="CU364" s="354"/>
      <c r="CV364" s="354"/>
      <c r="CW364" s="354"/>
      <c r="CX364" s="354"/>
      <c r="CY364" s="354"/>
      <c r="CZ364" s="354"/>
      <c r="DA364" s="354"/>
      <c r="DB364" s="354"/>
      <c r="DC364" s="352"/>
    </row>
    <row r="365" spans="1:107" s="59" customFormat="1" ht="18">
      <c r="A365" s="368"/>
      <c r="B365" s="447" t="s">
        <v>386</v>
      </c>
      <c r="C365" s="462"/>
      <c r="D365" s="367">
        <v>17</v>
      </c>
      <c r="E365" s="367"/>
      <c r="F365" s="349"/>
      <c r="G365" s="349"/>
      <c r="H365" s="349"/>
      <c r="I365" s="349"/>
      <c r="J365" s="349"/>
      <c r="K365" s="349"/>
      <c r="L365" s="349"/>
      <c r="M365" s="349"/>
      <c r="N365" s="349"/>
      <c r="O365" s="349"/>
      <c r="P365" s="354"/>
      <c r="Q365" s="354"/>
      <c r="R365" s="354"/>
      <c r="S365" s="354"/>
      <c r="T365" s="352"/>
      <c r="U365" s="353">
        <f>ROUNDUP((27.2*2.9)-(BN285+BW285),0)</f>
        <v>78</v>
      </c>
      <c r="V365" s="353"/>
      <c r="W365" s="353"/>
      <c r="X365" s="349"/>
      <c r="Y365" s="349"/>
      <c r="Z365" s="349">
        <f>ROUNDUP(((5.6+(1.5*2)+(0.3*2))*3.8)-BW285,0)</f>
        <v>34</v>
      </c>
      <c r="AA365" s="349">
        <f t="shared" si="129"/>
        <v>78</v>
      </c>
      <c r="AB365" s="349"/>
      <c r="AC365" s="349"/>
      <c r="AD365" s="349"/>
      <c r="AE365" s="349"/>
      <c r="AF365" s="349"/>
      <c r="AG365" s="349"/>
      <c r="AH365" s="349"/>
      <c r="AI365" s="349"/>
      <c r="AJ365" s="349"/>
      <c r="AK365" s="349"/>
      <c r="AL365" s="349"/>
      <c r="AM365" s="349"/>
      <c r="AN365" s="349">
        <f>ROUNDUP(BN287+BW287,0)</f>
        <v>0</v>
      </c>
      <c r="AO365" s="349"/>
      <c r="AP365" s="354"/>
      <c r="AQ365" s="352">
        <f>ROUNDUP(BN286+BW286,0)</f>
        <v>0</v>
      </c>
      <c r="AR365" s="366">
        <f>D365</f>
        <v>17</v>
      </c>
      <c r="AS365" s="349"/>
      <c r="AT365" s="349"/>
      <c r="AU365" s="349"/>
      <c r="AV365" s="352"/>
      <c r="AW365" s="355">
        <f t="shared" si="125"/>
        <v>78</v>
      </c>
      <c r="AX365" s="349">
        <f t="shared" si="128"/>
        <v>34</v>
      </c>
      <c r="AY365" s="369">
        <f t="shared" si="126"/>
        <v>17</v>
      </c>
      <c r="AZ365" s="353"/>
      <c r="BA365" s="349"/>
      <c r="BB365" s="349"/>
      <c r="BC365" s="349"/>
      <c r="BD365" s="349"/>
      <c r="BE365" s="349"/>
      <c r="BF365" s="349"/>
      <c r="BG365" s="367"/>
      <c r="BH365" s="349"/>
      <c r="BI365" s="349"/>
      <c r="BJ365" s="349"/>
      <c r="BK365" s="349"/>
      <c r="BL365" s="349"/>
      <c r="BM365" s="349"/>
      <c r="BN365" s="367">
        <v>1</v>
      </c>
      <c r="BO365" s="349"/>
      <c r="BP365" s="349"/>
      <c r="BQ365" s="349"/>
      <c r="BR365" s="349"/>
      <c r="BS365" s="349"/>
      <c r="BT365" s="349"/>
      <c r="BU365" s="349"/>
      <c r="BV365" s="349"/>
      <c r="BW365" s="367">
        <v>1</v>
      </c>
      <c r="BX365" s="367"/>
      <c r="BY365" s="349"/>
      <c r="BZ365" s="349"/>
      <c r="CA365" s="349"/>
      <c r="CB365" s="349"/>
      <c r="CC365" s="354"/>
      <c r="CD365" s="354"/>
      <c r="CE365" s="354"/>
      <c r="CF365" s="354"/>
      <c r="CG365" s="354"/>
      <c r="CH365" s="354"/>
      <c r="CI365" s="354"/>
      <c r="CJ365" s="354"/>
      <c r="CK365" s="354"/>
      <c r="CL365" s="354"/>
      <c r="CM365" s="354"/>
      <c r="CN365" s="354"/>
      <c r="CO365" s="354"/>
      <c r="CP365" s="354"/>
      <c r="CQ365" s="354"/>
      <c r="CR365" s="354"/>
      <c r="CS365" s="354"/>
      <c r="CT365" s="354"/>
      <c r="CU365" s="354"/>
      <c r="CV365" s="354"/>
      <c r="CW365" s="354"/>
      <c r="CX365" s="354"/>
      <c r="CY365" s="354"/>
      <c r="CZ365" s="354"/>
      <c r="DA365" s="354"/>
      <c r="DB365" s="354"/>
      <c r="DC365" s="352"/>
    </row>
    <row r="366" spans="1:107" s="59" customFormat="1" ht="18">
      <c r="A366" s="368"/>
      <c r="B366" s="447" t="s">
        <v>271</v>
      </c>
      <c r="C366" s="462"/>
      <c r="D366" s="462">
        <v>15</v>
      </c>
      <c r="E366" s="367"/>
      <c r="F366" s="349"/>
      <c r="G366" s="349"/>
      <c r="H366" s="349"/>
      <c r="I366" s="349"/>
      <c r="J366" s="349"/>
      <c r="K366" s="349"/>
      <c r="L366" s="349"/>
      <c r="M366" s="349"/>
      <c r="N366" s="349"/>
      <c r="O366" s="349"/>
      <c r="P366" s="354"/>
      <c r="Q366" s="354"/>
      <c r="R366" s="354"/>
      <c r="S366" s="354"/>
      <c r="T366" s="352"/>
      <c r="U366" s="353">
        <f>ROUNDUP((63.9*2.9)-(BO285+(BW285*4)),0)</f>
        <v>182</v>
      </c>
      <c r="V366" s="353"/>
      <c r="W366" s="353"/>
      <c r="X366" s="349"/>
      <c r="Y366" s="349"/>
      <c r="Z366" s="349">
        <f>ROUNDUP(((24.4+(1.5*8)+(0.3*4))*3.8)-(BW285*4),0)</f>
        <v>139</v>
      </c>
      <c r="AA366" s="349">
        <f>U366</f>
        <v>182</v>
      </c>
      <c r="AB366" s="349"/>
      <c r="AC366" s="349"/>
      <c r="AD366" s="349"/>
      <c r="AE366" s="349"/>
      <c r="AF366" s="349"/>
      <c r="AG366" s="349"/>
      <c r="AH366" s="349"/>
      <c r="AI366" s="349"/>
      <c r="AJ366" s="349"/>
      <c r="AK366" s="349"/>
      <c r="AL366" s="349"/>
      <c r="AM366" s="349"/>
      <c r="AN366" s="349"/>
      <c r="AO366" s="349"/>
      <c r="AP366" s="354"/>
      <c r="AQ366" s="352"/>
      <c r="AR366" s="366">
        <f>D366</f>
        <v>15</v>
      </c>
      <c r="AS366" s="349"/>
      <c r="AT366" s="349"/>
      <c r="AU366" s="349"/>
      <c r="AV366" s="352"/>
      <c r="AW366" s="353">
        <f t="shared" si="125"/>
        <v>182</v>
      </c>
      <c r="AX366" s="349">
        <f t="shared" si="128"/>
        <v>139</v>
      </c>
      <c r="AY366" s="369">
        <f t="shared" si="126"/>
        <v>15</v>
      </c>
      <c r="AZ366" s="353"/>
      <c r="BA366" s="349"/>
      <c r="BB366" s="349"/>
      <c r="BC366" s="349"/>
      <c r="BD366" s="349"/>
      <c r="BE366" s="349"/>
      <c r="BF366" s="349"/>
      <c r="BG366" s="367"/>
      <c r="BH366" s="349"/>
      <c r="BI366" s="349"/>
      <c r="BJ366" s="349"/>
      <c r="BK366" s="349"/>
      <c r="BL366" s="349"/>
      <c r="BM366" s="349"/>
      <c r="BN366" s="349"/>
      <c r="BO366" s="367">
        <v>1</v>
      </c>
      <c r="BP366" s="367"/>
      <c r="BQ366" s="349"/>
      <c r="BR366" s="349"/>
      <c r="BS366" s="349"/>
      <c r="BT366" s="349"/>
      <c r="BU366" s="349"/>
      <c r="BV366" s="349"/>
      <c r="BW366" s="367">
        <v>4</v>
      </c>
      <c r="BX366" s="367"/>
      <c r="BY366" s="349"/>
      <c r="BZ366" s="349"/>
      <c r="CA366" s="349"/>
      <c r="CB366" s="349"/>
      <c r="CC366" s="354"/>
      <c r="CD366" s="354"/>
      <c r="CE366" s="354"/>
      <c r="CF366" s="354"/>
      <c r="CG366" s="354"/>
      <c r="CH366" s="354"/>
      <c r="CI366" s="354"/>
      <c r="CJ366" s="354"/>
      <c r="CK366" s="354"/>
      <c r="CL366" s="354"/>
      <c r="CM366" s="354"/>
      <c r="CN366" s="354"/>
      <c r="CO366" s="354"/>
      <c r="CP366" s="354"/>
      <c r="CQ366" s="354"/>
      <c r="CR366" s="354"/>
      <c r="CS366" s="354"/>
      <c r="CT366" s="354"/>
      <c r="CU366" s="354"/>
      <c r="CV366" s="354"/>
      <c r="CW366" s="354"/>
      <c r="CX366" s="354"/>
      <c r="CY366" s="354"/>
      <c r="CZ366" s="354"/>
      <c r="DA366" s="354"/>
      <c r="DB366" s="354"/>
      <c r="DC366" s="352"/>
    </row>
    <row r="367" spans="1:107" s="59" customFormat="1" ht="18">
      <c r="A367" s="365"/>
      <c r="B367" s="447" t="s">
        <v>272</v>
      </c>
      <c r="C367" s="462"/>
      <c r="D367" s="462">
        <v>15</v>
      </c>
      <c r="E367" s="367"/>
      <c r="F367" s="349"/>
      <c r="G367" s="349"/>
      <c r="H367" s="367"/>
      <c r="I367" s="349"/>
      <c r="J367" s="349"/>
      <c r="K367" s="349"/>
      <c r="L367" s="349"/>
      <c r="M367" s="349"/>
      <c r="N367" s="349"/>
      <c r="O367" s="349"/>
      <c r="P367" s="354"/>
      <c r="Q367" s="354"/>
      <c r="R367" s="354"/>
      <c r="S367" s="354"/>
      <c r="T367" s="352">
        <f t="shared" ref="T367:T372" si="131">SUM(C367:O367)</f>
        <v>15</v>
      </c>
      <c r="U367" s="353">
        <f>ROUNDUP((((1.4+4.95+4.6+5.6+4+4)*4.7)+(4.6*0.7)+(3.2*1.38))-(BK285+(CD285*2)),0)</f>
        <v>124</v>
      </c>
      <c r="V367" s="353"/>
      <c r="W367" s="353"/>
      <c r="X367" s="349"/>
      <c r="Y367" s="349"/>
      <c r="Z367" s="349"/>
      <c r="AA367" s="349">
        <f>ROUNDUP(((1.4+4.95+4.6+0.3+0.7+5.6+4.1+0.1+4.1+3.9+1.1)*4.7)-(BK285+(CD285*2)),0)</f>
        <v>145</v>
      </c>
      <c r="AB367" s="349"/>
      <c r="AC367" s="349"/>
      <c r="AD367" s="349">
        <f>AA367</f>
        <v>145</v>
      </c>
      <c r="AE367" s="349"/>
      <c r="AF367" s="349"/>
      <c r="AG367" s="349"/>
      <c r="AH367" s="349"/>
      <c r="AI367" s="349"/>
      <c r="AJ367" s="349"/>
      <c r="AK367" s="349"/>
      <c r="AL367" s="349"/>
      <c r="AM367" s="349"/>
      <c r="AN367" s="349">
        <f>ROUNDUP((6*4.7)+BK287+(CD287*2),0)</f>
        <v>29</v>
      </c>
      <c r="AO367" s="349"/>
      <c r="AP367" s="354"/>
      <c r="AQ367" s="352">
        <f>ROUNDUP(BK286+(CD286*2),0)</f>
        <v>0</v>
      </c>
      <c r="AR367" s="353"/>
      <c r="AS367" s="367">
        <f>E367</f>
        <v>0</v>
      </c>
      <c r="AT367" s="349"/>
      <c r="AU367" s="349"/>
      <c r="AV367" s="352"/>
      <c r="AW367" s="353"/>
      <c r="AX367" s="349"/>
      <c r="AY367" s="369">
        <f t="shared" ref="AY367:AY372" si="132">AS367</f>
        <v>0</v>
      </c>
      <c r="AZ367" s="353"/>
      <c r="BA367" s="349"/>
      <c r="BB367" s="349"/>
      <c r="BC367" s="349"/>
      <c r="BD367" s="349"/>
      <c r="BE367" s="349"/>
      <c r="BF367" s="349"/>
      <c r="BG367" s="349"/>
      <c r="BH367" s="349"/>
      <c r="BI367" s="349"/>
      <c r="BJ367" s="349"/>
      <c r="BK367" s="367">
        <v>1</v>
      </c>
      <c r="BL367" s="367"/>
      <c r="BM367" s="349"/>
      <c r="BN367" s="349"/>
      <c r="BO367" s="349"/>
      <c r="BP367" s="349"/>
      <c r="BQ367" s="349"/>
      <c r="BR367" s="349"/>
      <c r="BS367" s="349"/>
      <c r="BT367" s="349"/>
      <c r="BU367" s="349"/>
      <c r="BV367" s="349"/>
      <c r="BW367" s="349"/>
      <c r="BX367" s="349"/>
      <c r="BY367" s="349"/>
      <c r="BZ367" s="349"/>
      <c r="CA367" s="349"/>
      <c r="CB367" s="349"/>
      <c r="CC367" s="354"/>
      <c r="CD367" s="370">
        <v>2</v>
      </c>
      <c r="CE367" s="370"/>
      <c r="CF367" s="354"/>
      <c r="CG367" s="354"/>
      <c r="CH367" s="354"/>
      <c r="CI367" s="354"/>
      <c r="CJ367" s="354"/>
      <c r="CK367" s="354"/>
      <c r="CL367" s="354"/>
      <c r="CM367" s="354"/>
      <c r="CN367" s="354"/>
      <c r="CO367" s="354"/>
      <c r="CP367" s="354"/>
      <c r="CQ367" s="354"/>
      <c r="CR367" s="354"/>
      <c r="CS367" s="354"/>
      <c r="CT367" s="354"/>
      <c r="CU367" s="354"/>
      <c r="CV367" s="354"/>
      <c r="CW367" s="354"/>
      <c r="CX367" s="354"/>
      <c r="CY367" s="354"/>
      <c r="CZ367" s="354"/>
      <c r="DA367" s="354"/>
      <c r="DB367" s="354"/>
      <c r="DC367" s="352"/>
    </row>
    <row r="368" spans="1:107" s="59" customFormat="1" ht="18">
      <c r="A368" s="365"/>
      <c r="B368" s="447" t="s">
        <v>273</v>
      </c>
      <c r="C368" s="462"/>
      <c r="D368" s="349"/>
      <c r="E368" s="462">
        <v>38</v>
      </c>
      <c r="F368" s="349"/>
      <c r="G368" s="349"/>
      <c r="H368" s="367"/>
      <c r="I368" s="349"/>
      <c r="J368" s="349"/>
      <c r="K368" s="349"/>
      <c r="L368" s="349"/>
      <c r="M368" s="349"/>
      <c r="N368" s="349"/>
      <c r="O368" s="349"/>
      <c r="P368" s="354"/>
      <c r="Q368" s="354"/>
      <c r="R368" s="354"/>
      <c r="S368" s="354"/>
      <c r="T368" s="352">
        <f t="shared" si="131"/>
        <v>38</v>
      </c>
      <c r="U368" s="353">
        <f>ROUNDUP((((1.4+4.95+4.6+5.6+4+4+1.7)*4.7)+(4.6*0.7)+(3.2*1.38))-(BK285+(CD285*2)),0)</f>
        <v>132</v>
      </c>
      <c r="V368" s="353"/>
      <c r="W368" s="353"/>
      <c r="X368" s="349"/>
      <c r="Y368" s="349"/>
      <c r="Z368" s="349"/>
      <c r="AA368" s="349">
        <f>ROUNDUP(((1.3+4.95+4.6+0.3+0.7+5.6+0.1+3.2+1.8+0.1+0.7)*4.7)-(BK285+(CD285*2)),0)</f>
        <v>110</v>
      </c>
      <c r="AB368" s="349"/>
      <c r="AC368" s="349"/>
      <c r="AD368" s="349">
        <f>AA368</f>
        <v>110</v>
      </c>
      <c r="AE368" s="349"/>
      <c r="AF368" s="349"/>
      <c r="AG368" s="349"/>
      <c r="AH368" s="349"/>
      <c r="AI368" s="349"/>
      <c r="AJ368" s="349"/>
      <c r="AK368" s="349"/>
      <c r="AL368" s="349"/>
      <c r="AM368" s="349"/>
      <c r="AN368" s="349">
        <f>ROUNDUP((5*4.7)+BK287+(CD287*2),0)</f>
        <v>24</v>
      </c>
      <c r="AO368" s="349"/>
      <c r="AP368" s="354"/>
      <c r="AQ368" s="352">
        <f>ROUNDUP(BK286+(CD286*2),0)</f>
        <v>0</v>
      </c>
      <c r="AR368" s="353"/>
      <c r="AS368" s="367">
        <f t="shared" ref="AS368:AS372" si="133">E368</f>
        <v>38</v>
      </c>
      <c r="AT368" s="349"/>
      <c r="AU368" s="349"/>
      <c r="AV368" s="352"/>
      <c r="AW368" s="353"/>
      <c r="AX368" s="349"/>
      <c r="AY368" s="369">
        <f t="shared" si="132"/>
        <v>38</v>
      </c>
      <c r="AZ368" s="353"/>
      <c r="BA368" s="349"/>
      <c r="BB368" s="349"/>
      <c r="BC368" s="349"/>
      <c r="BD368" s="349"/>
      <c r="BE368" s="349"/>
      <c r="BF368" s="349"/>
      <c r="BG368" s="349"/>
      <c r="BH368" s="349"/>
      <c r="BI368" s="349"/>
      <c r="BJ368" s="349"/>
      <c r="BK368" s="367">
        <v>1</v>
      </c>
      <c r="BL368" s="367"/>
      <c r="BM368" s="349"/>
      <c r="BN368" s="349"/>
      <c r="BO368" s="349"/>
      <c r="BP368" s="349"/>
      <c r="BQ368" s="349"/>
      <c r="BR368" s="349"/>
      <c r="BS368" s="349"/>
      <c r="BT368" s="349"/>
      <c r="BU368" s="349"/>
      <c r="BV368" s="349"/>
      <c r="BW368" s="349"/>
      <c r="BX368" s="349"/>
      <c r="BY368" s="349"/>
      <c r="BZ368" s="349"/>
      <c r="CA368" s="349"/>
      <c r="CB368" s="349"/>
      <c r="CC368" s="354"/>
      <c r="CD368" s="370">
        <v>2</v>
      </c>
      <c r="CE368" s="370"/>
      <c r="CF368" s="354"/>
      <c r="CG368" s="354"/>
      <c r="CH368" s="354"/>
      <c r="CI368" s="354"/>
      <c r="CJ368" s="354"/>
      <c r="CK368" s="354"/>
      <c r="CL368" s="354"/>
      <c r="CM368" s="354"/>
      <c r="CN368" s="354"/>
      <c r="CO368" s="354"/>
      <c r="CP368" s="354"/>
      <c r="CQ368" s="354"/>
      <c r="CR368" s="354"/>
      <c r="CS368" s="354"/>
      <c r="CT368" s="354"/>
      <c r="CU368" s="354"/>
      <c r="CV368" s="354"/>
      <c r="CW368" s="354"/>
      <c r="CX368" s="354"/>
      <c r="CY368" s="354"/>
      <c r="CZ368" s="354"/>
      <c r="DA368" s="354"/>
      <c r="DB368" s="354"/>
      <c r="DC368" s="352"/>
    </row>
    <row r="369" spans="1:116" s="59" customFormat="1" ht="18">
      <c r="A369" s="368"/>
      <c r="B369" s="447" t="s">
        <v>274</v>
      </c>
      <c r="C369" s="462"/>
      <c r="D369" s="349"/>
      <c r="E369" s="462">
        <v>38</v>
      </c>
      <c r="F369" s="349"/>
      <c r="G369" s="349"/>
      <c r="H369" s="367"/>
      <c r="I369" s="349"/>
      <c r="J369" s="349"/>
      <c r="K369" s="349"/>
      <c r="L369" s="349"/>
      <c r="M369" s="349"/>
      <c r="N369" s="349"/>
      <c r="O369" s="349"/>
      <c r="P369" s="354"/>
      <c r="Q369" s="354"/>
      <c r="R369" s="354"/>
      <c r="S369" s="354"/>
      <c r="T369" s="352">
        <f t="shared" si="131"/>
        <v>38</v>
      </c>
      <c r="U369" s="353">
        <f>ROUNDUP((12.83*4.7)-BL285,0)</f>
        <v>61</v>
      </c>
      <c r="V369" s="353"/>
      <c r="W369" s="353"/>
      <c r="X369" s="349"/>
      <c r="Y369" s="349"/>
      <c r="Z369" s="349"/>
      <c r="AA369" s="349">
        <f>U369</f>
        <v>61</v>
      </c>
      <c r="AB369" s="349"/>
      <c r="AC369" s="349"/>
      <c r="AD369" s="349">
        <f>AA369</f>
        <v>61</v>
      </c>
      <c r="AE369" s="349"/>
      <c r="AF369" s="349"/>
      <c r="AG369" s="349"/>
      <c r="AH369" s="349"/>
      <c r="AI369" s="349"/>
      <c r="AJ369" s="349"/>
      <c r="AK369" s="349"/>
      <c r="AL369" s="349"/>
      <c r="AM369" s="349"/>
      <c r="AN369" s="349">
        <f>BL287</f>
        <v>0</v>
      </c>
      <c r="AO369" s="349"/>
      <c r="AP369" s="354"/>
      <c r="AQ369" s="352">
        <f>BL286</f>
        <v>0</v>
      </c>
      <c r="AR369" s="353"/>
      <c r="AS369" s="367">
        <f t="shared" si="133"/>
        <v>38</v>
      </c>
      <c r="AT369" s="349"/>
      <c r="AU369" s="349"/>
      <c r="AV369" s="352"/>
      <c r="AW369" s="353"/>
      <c r="AX369" s="349"/>
      <c r="AY369" s="369">
        <f t="shared" si="132"/>
        <v>38</v>
      </c>
      <c r="AZ369" s="353"/>
      <c r="BA369" s="349"/>
      <c r="BB369" s="349"/>
      <c r="BC369" s="349"/>
      <c r="BD369" s="349"/>
      <c r="BE369" s="349"/>
      <c r="BF369" s="349"/>
      <c r="BG369" s="349"/>
      <c r="BH369" s="349"/>
      <c r="BI369" s="349"/>
      <c r="BJ369" s="349"/>
      <c r="BK369" s="367"/>
      <c r="BL369" s="367">
        <v>1</v>
      </c>
      <c r="BM369" s="349"/>
      <c r="BN369" s="349"/>
      <c r="BO369" s="349"/>
      <c r="BP369" s="349"/>
      <c r="BQ369" s="349"/>
      <c r="BR369" s="349"/>
      <c r="BS369" s="349"/>
      <c r="BT369" s="349"/>
      <c r="BU369" s="349"/>
      <c r="BV369" s="349"/>
      <c r="BW369" s="349"/>
      <c r="BX369" s="349"/>
      <c r="BY369" s="349"/>
      <c r="BZ369" s="349"/>
      <c r="CA369" s="349"/>
      <c r="CB369" s="349"/>
      <c r="CC369" s="354"/>
      <c r="CD369" s="370"/>
      <c r="CE369" s="370"/>
      <c r="CF369" s="354"/>
      <c r="CG369" s="354"/>
      <c r="CH369" s="354"/>
      <c r="CI369" s="354"/>
      <c r="CJ369" s="354"/>
      <c r="CK369" s="354"/>
      <c r="CL369" s="354"/>
      <c r="CM369" s="354"/>
      <c r="CN369" s="354"/>
      <c r="CO369" s="354"/>
      <c r="CP369" s="354"/>
      <c r="CQ369" s="354"/>
      <c r="CR369" s="354"/>
      <c r="CS369" s="354"/>
      <c r="CT369" s="354"/>
      <c r="CU369" s="354"/>
      <c r="CV369" s="354"/>
      <c r="CW369" s="354"/>
      <c r="CX369" s="354"/>
      <c r="CY369" s="354"/>
      <c r="CZ369" s="354"/>
      <c r="DA369" s="354"/>
      <c r="DB369" s="354"/>
      <c r="DC369" s="352"/>
    </row>
    <row r="370" spans="1:116" s="59" customFormat="1" ht="18">
      <c r="A370" s="368"/>
      <c r="B370" s="447" t="s">
        <v>381</v>
      </c>
      <c r="C370" s="462"/>
      <c r="D370" s="462">
        <v>244</v>
      </c>
      <c r="E370" s="367"/>
      <c r="F370" s="349"/>
      <c r="G370" s="349"/>
      <c r="H370" s="367"/>
      <c r="I370" s="349"/>
      <c r="J370" s="349"/>
      <c r="K370" s="349"/>
      <c r="L370" s="349"/>
      <c r="M370" s="349"/>
      <c r="N370" s="349"/>
      <c r="O370" s="349"/>
      <c r="P370" s="354"/>
      <c r="Q370" s="354"/>
      <c r="R370" s="354"/>
      <c r="S370" s="354"/>
      <c r="T370" s="352">
        <f t="shared" si="131"/>
        <v>244</v>
      </c>
      <c r="U370" s="353">
        <f>ROUNDUP(((3+0.61+1.6+5+0.82+1.8+0.2+1.2)*4.7)-(BK285+BM285),0)</f>
        <v>67</v>
      </c>
      <c r="V370" s="353"/>
      <c r="W370" s="353"/>
      <c r="X370" s="349"/>
      <c r="Y370" s="349"/>
      <c r="Z370" s="349"/>
      <c r="AA370" s="349">
        <f>ROUNDUP(((7.16+3.2+0.71+1.7+5+3.52+0.3+1.2)*4.7)-(BK285+BM285),0)</f>
        <v>108</v>
      </c>
      <c r="AB370" s="349"/>
      <c r="AC370" s="349"/>
      <c r="AD370" s="349">
        <f t="shared" ref="AD370:AD372" si="134">AA370</f>
        <v>108</v>
      </c>
      <c r="AE370" s="349"/>
      <c r="AF370" s="349"/>
      <c r="AG370" s="349"/>
      <c r="AH370" s="349"/>
      <c r="AI370" s="349"/>
      <c r="AJ370" s="349"/>
      <c r="AK370" s="349"/>
      <c r="AL370" s="349"/>
      <c r="AM370" s="349"/>
      <c r="AN370" s="349">
        <f>ROUNDUP((8*4.7)+BK287+BM287,0)</f>
        <v>38</v>
      </c>
      <c r="AO370" s="349"/>
      <c r="AP370" s="354"/>
      <c r="AQ370" s="352">
        <f>ROUNDUP(BK286+BM286,0)</f>
        <v>0</v>
      </c>
      <c r="AR370" s="353"/>
      <c r="AS370" s="367">
        <f t="shared" si="133"/>
        <v>0</v>
      </c>
      <c r="AT370" s="349"/>
      <c r="AU370" s="349"/>
      <c r="AV370" s="352"/>
      <c r="AW370" s="353"/>
      <c r="AX370" s="349"/>
      <c r="AY370" s="369">
        <f t="shared" si="132"/>
        <v>0</v>
      </c>
      <c r="AZ370" s="353"/>
      <c r="BA370" s="349"/>
      <c r="BB370" s="349"/>
      <c r="BC370" s="349"/>
      <c r="BD370" s="349"/>
      <c r="BE370" s="349"/>
      <c r="BF370" s="349"/>
      <c r="BG370" s="349"/>
      <c r="BH370" s="349"/>
      <c r="BI370" s="349"/>
      <c r="BJ370" s="349"/>
      <c r="BK370" s="367">
        <v>1</v>
      </c>
      <c r="BL370" s="367"/>
      <c r="BM370" s="349"/>
      <c r="BN370" s="349"/>
      <c r="BO370" s="349"/>
      <c r="BP370" s="349"/>
      <c r="BQ370" s="349"/>
      <c r="BR370" s="349"/>
      <c r="BS370" s="349"/>
      <c r="BT370" s="349"/>
      <c r="BU370" s="349"/>
      <c r="BV370" s="349"/>
      <c r="BW370" s="349"/>
      <c r="BX370" s="349"/>
      <c r="BY370" s="349"/>
      <c r="BZ370" s="349"/>
      <c r="CA370" s="349"/>
      <c r="CB370" s="349"/>
      <c r="CC370" s="354"/>
      <c r="CD370" s="370"/>
      <c r="CE370" s="370"/>
      <c r="CF370" s="354"/>
      <c r="CG370" s="354"/>
      <c r="CH370" s="354"/>
      <c r="CI370" s="354"/>
      <c r="CJ370" s="354"/>
      <c r="CK370" s="354"/>
      <c r="CL370" s="354"/>
      <c r="CM370" s="354"/>
      <c r="CN370" s="354"/>
      <c r="CO370" s="354"/>
      <c r="CP370" s="354"/>
      <c r="CQ370" s="354"/>
      <c r="CR370" s="354"/>
      <c r="CS370" s="354"/>
      <c r="CT370" s="354"/>
      <c r="CU370" s="354"/>
      <c r="CV370" s="354"/>
      <c r="CW370" s="354"/>
      <c r="CX370" s="354"/>
      <c r="CY370" s="354"/>
      <c r="CZ370" s="354"/>
      <c r="DA370" s="354"/>
      <c r="DB370" s="354"/>
      <c r="DC370" s="352"/>
    </row>
    <row r="371" spans="1:116" s="59" customFormat="1" ht="18">
      <c r="A371" s="368"/>
      <c r="B371" s="447" t="s">
        <v>278</v>
      </c>
      <c r="C371" s="462"/>
      <c r="D371" s="462">
        <v>38</v>
      </c>
      <c r="E371" s="367"/>
      <c r="F371" s="349"/>
      <c r="G371" s="349"/>
      <c r="H371" s="367"/>
      <c r="I371" s="349"/>
      <c r="J371" s="349"/>
      <c r="K371" s="349"/>
      <c r="L371" s="349"/>
      <c r="M371" s="349"/>
      <c r="N371" s="349"/>
      <c r="O371" s="349"/>
      <c r="P371" s="354"/>
      <c r="Q371" s="354"/>
      <c r="R371" s="354"/>
      <c r="S371" s="354"/>
      <c r="T371" s="352">
        <f t="shared" si="131"/>
        <v>38</v>
      </c>
      <c r="U371" s="353">
        <f>ROUNDUP((2.25*4.7)-CF285,0)</f>
        <v>11</v>
      </c>
      <c r="V371" s="353"/>
      <c r="W371" s="353"/>
      <c r="X371" s="349"/>
      <c r="Y371" s="349"/>
      <c r="Z371" s="349">
        <f>ROUNDUP(((2.39+0.7)*4.7)-CF285,0)</f>
        <v>15</v>
      </c>
      <c r="AA371" s="349">
        <f>ROUNDUP(((4+1.08+4.25+2.65)*4.7)-(BM285+CF285),0)</f>
        <v>57</v>
      </c>
      <c r="AB371" s="349"/>
      <c r="AC371" s="349"/>
      <c r="AD371" s="349">
        <f t="shared" si="134"/>
        <v>57</v>
      </c>
      <c r="AE371" s="349"/>
      <c r="AF371" s="349"/>
      <c r="AG371" s="349"/>
      <c r="AH371" s="349"/>
      <c r="AI371" s="349"/>
      <c r="AJ371" s="349"/>
      <c r="AK371" s="349"/>
      <c r="AL371" s="349"/>
      <c r="AM371" s="349"/>
      <c r="AN371" s="349"/>
      <c r="AO371" s="349"/>
      <c r="AP371" s="354"/>
      <c r="AQ371" s="352">
        <f>CF286</f>
        <v>0</v>
      </c>
      <c r="AR371" s="353"/>
      <c r="AS371" s="367">
        <f t="shared" si="133"/>
        <v>0</v>
      </c>
      <c r="AT371" s="349"/>
      <c r="AU371" s="349"/>
      <c r="AV371" s="352"/>
      <c r="AW371" s="353"/>
      <c r="AX371" s="349">
        <f>Z371</f>
        <v>15</v>
      </c>
      <c r="AY371" s="369">
        <f t="shared" si="132"/>
        <v>0</v>
      </c>
      <c r="AZ371" s="353"/>
      <c r="BA371" s="349"/>
      <c r="BB371" s="349"/>
      <c r="BC371" s="349"/>
      <c r="BD371" s="349"/>
      <c r="BE371" s="349"/>
      <c r="BF371" s="349"/>
      <c r="BG371" s="349"/>
      <c r="BH371" s="349"/>
      <c r="BI371" s="349"/>
      <c r="BJ371" s="349"/>
      <c r="BK371" s="367"/>
      <c r="BL371" s="367"/>
      <c r="BM371" s="367">
        <v>1</v>
      </c>
      <c r="BN371" s="349"/>
      <c r="BO371" s="349"/>
      <c r="BP371" s="349"/>
      <c r="BQ371" s="349"/>
      <c r="BR371" s="349"/>
      <c r="BS371" s="349"/>
      <c r="BT371" s="349"/>
      <c r="BU371" s="349"/>
      <c r="BV371" s="349"/>
      <c r="BW371" s="349"/>
      <c r="BX371" s="349"/>
      <c r="BY371" s="349"/>
      <c r="BZ371" s="349"/>
      <c r="CA371" s="349"/>
      <c r="CB371" s="349"/>
      <c r="CC371" s="354"/>
      <c r="CD371" s="370"/>
      <c r="CE371" s="370"/>
      <c r="CF371" s="370">
        <v>1</v>
      </c>
      <c r="CG371" s="370"/>
      <c r="CH371" s="354"/>
      <c r="CI371" s="354"/>
      <c r="CJ371" s="354"/>
      <c r="CK371" s="354"/>
      <c r="CL371" s="354"/>
      <c r="CM371" s="354"/>
      <c r="CN371" s="354"/>
      <c r="CO371" s="354"/>
      <c r="CP371" s="354"/>
      <c r="CQ371" s="354"/>
      <c r="CR371" s="354"/>
      <c r="CS371" s="354"/>
      <c r="CT371" s="354"/>
      <c r="CU371" s="354"/>
      <c r="CV371" s="354"/>
      <c r="CW371" s="354"/>
      <c r="CX371" s="354"/>
      <c r="CY371" s="354"/>
      <c r="CZ371" s="354"/>
      <c r="DA371" s="354"/>
      <c r="DB371" s="354"/>
      <c r="DC371" s="352"/>
    </row>
    <row r="372" spans="1:116" s="59" customFormat="1" ht="18">
      <c r="A372" s="368"/>
      <c r="B372" s="447" t="s">
        <v>279</v>
      </c>
      <c r="C372" s="462"/>
      <c r="D372" s="462">
        <v>38</v>
      </c>
      <c r="E372" s="367"/>
      <c r="F372" s="349"/>
      <c r="G372" s="349"/>
      <c r="H372" s="367"/>
      <c r="I372" s="349"/>
      <c r="J372" s="349"/>
      <c r="K372" s="349"/>
      <c r="L372" s="349"/>
      <c r="M372" s="349"/>
      <c r="N372" s="349"/>
      <c r="O372" s="349"/>
      <c r="P372" s="354"/>
      <c r="Q372" s="354"/>
      <c r="R372" s="354"/>
      <c r="S372" s="354"/>
      <c r="T372" s="352">
        <f t="shared" si="131"/>
        <v>38</v>
      </c>
      <c r="U372" s="353">
        <f>ROUNDUP(((1.9+1.4+7.2+5.6+7.2+1.4)*4.7)-(BK285+(CD285*2)),0)</f>
        <v>117</v>
      </c>
      <c r="V372" s="353"/>
      <c r="W372" s="353"/>
      <c r="X372" s="349"/>
      <c r="Y372" s="349"/>
      <c r="Z372" s="349"/>
      <c r="AA372" s="349">
        <f>ROUNDUP(((5.9+10.1+5.6+8.7+0.3+1.4)*4.7)-(BK285+(CD285*2)),0)</f>
        <v>151</v>
      </c>
      <c r="AB372" s="349"/>
      <c r="AC372" s="349"/>
      <c r="AD372" s="349">
        <f t="shared" si="134"/>
        <v>151</v>
      </c>
      <c r="AE372" s="349"/>
      <c r="AF372" s="349"/>
      <c r="AG372" s="349"/>
      <c r="AH372" s="349"/>
      <c r="AI372" s="349"/>
      <c r="AJ372" s="349"/>
      <c r="AK372" s="349"/>
      <c r="AL372" s="349"/>
      <c r="AM372" s="349"/>
      <c r="AN372" s="349">
        <f>ROUNDUP(((3*4.7)+BK287+(CD287*2)),0)</f>
        <v>15</v>
      </c>
      <c r="AO372" s="349"/>
      <c r="AP372" s="354"/>
      <c r="AQ372" s="352">
        <f>ROUNDUP(BK286+(CD286*2),0)</f>
        <v>0</v>
      </c>
      <c r="AR372" s="353"/>
      <c r="AS372" s="367">
        <f t="shared" si="133"/>
        <v>0</v>
      </c>
      <c r="AT372" s="349"/>
      <c r="AU372" s="349"/>
      <c r="AV372" s="352"/>
      <c r="AW372" s="353"/>
      <c r="AX372" s="349"/>
      <c r="AY372" s="369">
        <f t="shared" si="132"/>
        <v>0</v>
      </c>
      <c r="AZ372" s="353"/>
      <c r="BA372" s="349"/>
      <c r="BB372" s="349"/>
      <c r="BC372" s="349"/>
      <c r="BD372" s="349"/>
      <c r="BE372" s="349"/>
      <c r="BF372" s="349"/>
      <c r="BG372" s="349"/>
      <c r="BH372" s="349"/>
      <c r="BI372" s="349"/>
      <c r="BJ372" s="349"/>
      <c r="BK372" s="367">
        <v>1</v>
      </c>
      <c r="BL372" s="367"/>
      <c r="BM372" s="349"/>
      <c r="BN372" s="349"/>
      <c r="BO372" s="349"/>
      <c r="BP372" s="349"/>
      <c r="BQ372" s="349"/>
      <c r="BR372" s="349"/>
      <c r="BS372" s="349"/>
      <c r="BT372" s="349"/>
      <c r="BU372" s="349"/>
      <c r="BV372" s="349"/>
      <c r="BW372" s="349"/>
      <c r="BX372" s="349"/>
      <c r="BY372" s="349"/>
      <c r="BZ372" s="349"/>
      <c r="CA372" s="349"/>
      <c r="CB372" s="349"/>
      <c r="CC372" s="354"/>
      <c r="CD372" s="370">
        <v>2</v>
      </c>
      <c r="CE372" s="370"/>
      <c r="CF372" s="354"/>
      <c r="CG372" s="354"/>
      <c r="CH372" s="354"/>
      <c r="CI372" s="354"/>
      <c r="CJ372" s="354"/>
      <c r="CK372" s="354"/>
      <c r="CL372" s="354"/>
      <c r="CM372" s="354"/>
      <c r="CN372" s="354"/>
      <c r="CO372" s="354"/>
      <c r="CP372" s="354"/>
      <c r="CQ372" s="354"/>
      <c r="CR372" s="354"/>
      <c r="CS372" s="354"/>
      <c r="CT372" s="354"/>
      <c r="CU372" s="354"/>
      <c r="CV372" s="354"/>
      <c r="CW372" s="354"/>
      <c r="CX372" s="354"/>
      <c r="CY372" s="354"/>
      <c r="CZ372" s="354"/>
      <c r="DA372" s="354"/>
      <c r="DB372" s="354"/>
      <c r="DC372" s="352"/>
    </row>
    <row r="373" spans="1:116" s="59" customFormat="1" ht="18">
      <c r="A373" s="368"/>
      <c r="B373" s="447" t="s">
        <v>289</v>
      </c>
      <c r="C373" s="462">
        <v>15</v>
      </c>
      <c r="D373" s="462"/>
      <c r="E373" s="349"/>
      <c r="F373" s="349"/>
      <c r="G373" s="349"/>
      <c r="H373" s="367"/>
      <c r="I373" s="349"/>
      <c r="J373" s="349"/>
      <c r="K373" s="367"/>
      <c r="L373" s="349"/>
      <c r="M373" s="349"/>
      <c r="N373" s="349"/>
      <c r="O373" s="349"/>
      <c r="P373" s="354"/>
      <c r="Q373" s="354"/>
      <c r="R373" s="354"/>
      <c r="S373" s="354"/>
      <c r="T373" s="352"/>
      <c r="U373" s="353"/>
      <c r="V373" s="353"/>
      <c r="W373" s="353"/>
      <c r="X373" s="349"/>
      <c r="Y373" s="349"/>
      <c r="Z373" s="349"/>
      <c r="AA373" s="349"/>
      <c r="AB373" s="349"/>
      <c r="AC373" s="349"/>
      <c r="AD373" s="349"/>
      <c r="AE373" s="349"/>
      <c r="AF373" s="349"/>
      <c r="AG373" s="349"/>
      <c r="AH373" s="349"/>
      <c r="AI373" s="349"/>
      <c r="AJ373" s="349"/>
      <c r="AK373" s="349"/>
      <c r="AL373" s="349"/>
      <c r="AM373" s="349"/>
      <c r="AN373" s="349"/>
      <c r="AO373" s="349"/>
      <c r="AP373" s="354"/>
      <c r="AQ373" s="352"/>
      <c r="AR373" s="366"/>
      <c r="AS373" s="349"/>
      <c r="AT373" s="349"/>
      <c r="AU373" s="349"/>
      <c r="AV373" s="352"/>
      <c r="AW373" s="353"/>
      <c r="AX373" s="349"/>
      <c r="AY373" s="369"/>
      <c r="AZ373" s="353"/>
      <c r="BA373" s="349"/>
      <c r="BB373" s="349"/>
      <c r="BC373" s="349"/>
      <c r="BD373" s="349"/>
      <c r="BE373" s="349"/>
      <c r="BF373" s="349"/>
      <c r="BG373" s="349"/>
      <c r="BH373" s="349"/>
      <c r="BI373" s="349"/>
      <c r="BJ373" s="349"/>
      <c r="BK373" s="349"/>
      <c r="BL373" s="349"/>
      <c r="BM373" s="349"/>
      <c r="BN373" s="349"/>
      <c r="BO373" s="349"/>
      <c r="BP373" s="349"/>
      <c r="BQ373" s="349"/>
      <c r="BR373" s="349"/>
      <c r="BS373" s="349"/>
      <c r="BT373" s="349"/>
      <c r="BU373" s="349"/>
      <c r="BV373" s="349"/>
      <c r="BW373" s="349"/>
      <c r="BX373" s="349"/>
      <c r="BY373" s="349"/>
      <c r="BZ373" s="349"/>
      <c r="CA373" s="349"/>
      <c r="CB373" s="349"/>
      <c r="CC373" s="354"/>
      <c r="CD373" s="354"/>
      <c r="CE373" s="354"/>
      <c r="CF373" s="354"/>
      <c r="CG373" s="354"/>
      <c r="CH373" s="354"/>
      <c r="CI373" s="354"/>
      <c r="CJ373" s="354"/>
      <c r="CK373" s="354"/>
      <c r="CL373" s="354"/>
      <c r="CM373" s="354"/>
      <c r="CN373" s="354"/>
      <c r="CO373" s="354"/>
      <c r="CP373" s="354"/>
      <c r="CQ373" s="354"/>
      <c r="CR373" s="354"/>
      <c r="CS373" s="354"/>
      <c r="CT373" s="354"/>
      <c r="CU373" s="354"/>
      <c r="CV373" s="354"/>
      <c r="CW373" s="354"/>
      <c r="CX373" s="354"/>
      <c r="CY373" s="354"/>
      <c r="CZ373" s="354"/>
      <c r="DA373" s="354"/>
      <c r="DB373" s="354"/>
      <c r="DC373" s="352"/>
    </row>
    <row r="374" spans="1:116" s="59" customFormat="1" ht="18">
      <c r="A374" s="368"/>
      <c r="B374" s="447" t="s">
        <v>385</v>
      </c>
      <c r="C374" s="462"/>
      <c r="D374" s="462">
        <v>10</v>
      </c>
      <c r="E374" s="349"/>
      <c r="F374" s="349"/>
      <c r="G374" s="349"/>
      <c r="H374" s="349"/>
      <c r="I374" s="349"/>
      <c r="J374" s="349"/>
      <c r="K374" s="349"/>
      <c r="L374" s="349"/>
      <c r="M374" s="349"/>
      <c r="N374" s="349"/>
      <c r="O374" s="349"/>
      <c r="P374" s="354"/>
      <c r="Q374" s="354"/>
      <c r="R374" s="354"/>
      <c r="S374" s="354"/>
      <c r="T374" s="352"/>
      <c r="U374" s="353">
        <f>ROUNDUP((30.48*2.9)-(BI347+BM347+CF347),0)</f>
        <v>84</v>
      </c>
      <c r="V374" s="353"/>
      <c r="W374" s="353"/>
      <c r="X374" s="349"/>
      <c r="Y374" s="349"/>
      <c r="Z374" s="349">
        <f>ROUNDUP((8.4*3.8)-CF285,0)</f>
        <v>32</v>
      </c>
      <c r="AA374" s="349">
        <f>U374</f>
        <v>84</v>
      </c>
      <c r="AB374" s="349"/>
      <c r="AC374" s="349"/>
      <c r="AD374" s="349"/>
      <c r="AE374" s="349"/>
      <c r="AF374" s="349"/>
      <c r="AG374" s="349"/>
      <c r="AH374" s="349"/>
      <c r="AI374" s="349"/>
      <c r="AJ374" s="349"/>
      <c r="AK374" s="349"/>
      <c r="AL374" s="349"/>
      <c r="AM374" s="349"/>
      <c r="AN374" s="349">
        <f>ROUNDUP(BI287+BM287+CF287,0)</f>
        <v>0</v>
      </c>
      <c r="AO374" s="349"/>
      <c r="AP374" s="354"/>
      <c r="AQ374" s="352">
        <f>ROUNDUP(BI286+CF286+BM286,0)</f>
        <v>0</v>
      </c>
      <c r="AR374" s="366">
        <f>C374</f>
        <v>0</v>
      </c>
      <c r="AS374" s="349"/>
      <c r="AT374" s="349"/>
      <c r="AU374" s="349"/>
      <c r="AV374" s="352"/>
      <c r="AW374" s="353">
        <f>AA374</f>
        <v>84</v>
      </c>
      <c r="AX374" s="349">
        <f>Z374</f>
        <v>32</v>
      </c>
      <c r="AY374" s="369">
        <f>AR374</f>
        <v>0</v>
      </c>
      <c r="AZ374" s="353"/>
      <c r="BA374" s="349"/>
      <c r="BB374" s="349"/>
      <c r="BC374" s="349"/>
      <c r="BD374" s="349"/>
      <c r="BE374" s="349"/>
      <c r="BF374" s="349"/>
      <c r="BG374" s="349"/>
      <c r="BH374" s="349"/>
      <c r="BI374" s="349">
        <v>1</v>
      </c>
      <c r="BJ374" s="349"/>
      <c r="BK374" s="349"/>
      <c r="BL374" s="349"/>
      <c r="BM374" s="349">
        <v>1</v>
      </c>
      <c r="BN374" s="349"/>
      <c r="BO374" s="349"/>
      <c r="BP374" s="349"/>
      <c r="BQ374" s="349"/>
      <c r="BR374" s="349"/>
      <c r="BS374" s="349"/>
      <c r="BT374" s="349"/>
      <c r="BU374" s="349"/>
      <c r="BV374" s="349"/>
      <c r="BW374" s="349"/>
      <c r="BX374" s="349"/>
      <c r="BY374" s="349"/>
      <c r="BZ374" s="349"/>
      <c r="CA374" s="349"/>
      <c r="CB374" s="349"/>
      <c r="CC374" s="354"/>
      <c r="CD374" s="354"/>
      <c r="CE374" s="354"/>
      <c r="CF374" s="354">
        <v>1</v>
      </c>
      <c r="CG374" s="354"/>
      <c r="CH374" s="354"/>
      <c r="CI374" s="354"/>
      <c r="CJ374" s="354"/>
      <c r="CK374" s="354"/>
      <c r="CL374" s="354"/>
      <c r="CM374" s="354"/>
      <c r="CN374" s="354"/>
      <c r="CO374" s="354"/>
      <c r="CP374" s="354"/>
      <c r="CQ374" s="354"/>
      <c r="CR374" s="354"/>
      <c r="CS374" s="354"/>
      <c r="CT374" s="354"/>
      <c r="CU374" s="354"/>
      <c r="CV374" s="354"/>
      <c r="CW374" s="354"/>
      <c r="CX374" s="354"/>
      <c r="CY374" s="354"/>
      <c r="CZ374" s="354"/>
      <c r="DA374" s="354"/>
      <c r="DB374" s="354"/>
      <c r="DC374" s="352"/>
      <c r="DJ374" s="58"/>
      <c r="DL374" s="364"/>
    </row>
    <row r="375" spans="1:116">
      <c r="A375" s="394"/>
      <c r="B375" s="395" t="s">
        <v>464</v>
      </c>
      <c r="C375" s="349"/>
      <c r="D375" s="349"/>
      <c r="E375" s="349"/>
      <c r="F375" s="349"/>
      <c r="G375" s="349"/>
      <c r="H375" s="349"/>
      <c r="I375" s="349"/>
      <c r="J375" s="349"/>
      <c r="K375" s="349"/>
      <c r="L375" s="349"/>
      <c r="M375" s="349"/>
      <c r="N375" s="349"/>
      <c r="O375" s="349"/>
      <c r="P375" s="354"/>
      <c r="Q375" s="354"/>
      <c r="R375" s="354"/>
      <c r="S375" s="354"/>
      <c r="T375" s="352"/>
      <c r="U375" s="353"/>
      <c r="V375" s="353"/>
      <c r="W375" s="353"/>
      <c r="X375" s="349"/>
      <c r="Y375" s="349"/>
      <c r="Z375" s="349"/>
      <c r="AA375" s="349"/>
      <c r="AB375" s="349"/>
      <c r="AC375" s="349"/>
      <c r="AD375" s="349"/>
      <c r="AE375" s="349"/>
      <c r="AF375" s="349"/>
      <c r="AG375" s="349"/>
      <c r="AH375" s="349"/>
      <c r="AI375" s="349"/>
      <c r="AJ375" s="349"/>
      <c r="AK375" s="349"/>
      <c r="AL375" s="349"/>
      <c r="AM375" s="349"/>
      <c r="AN375" s="349"/>
      <c r="AO375" s="349"/>
      <c r="AP375" s="354"/>
      <c r="AQ375" s="352"/>
      <c r="AR375" s="355"/>
      <c r="AS375" s="356"/>
      <c r="AT375" s="356"/>
      <c r="AU375" s="387"/>
      <c r="AV375" s="357"/>
      <c r="AW375" s="353"/>
      <c r="AX375" s="349"/>
      <c r="AY375" s="352"/>
      <c r="AZ375" s="372"/>
      <c r="BA375" s="373"/>
      <c r="BB375" s="373"/>
      <c r="BC375" s="373"/>
      <c r="BD375" s="373"/>
      <c r="BE375" s="373"/>
      <c r="BF375" s="373"/>
      <c r="BG375" s="373"/>
      <c r="BH375" s="373"/>
      <c r="BI375" s="373"/>
      <c r="BJ375" s="373"/>
      <c r="BK375" s="373"/>
      <c r="BL375" s="373"/>
      <c r="BM375" s="373"/>
      <c r="BN375" s="373"/>
      <c r="BO375" s="373"/>
      <c r="BP375" s="373"/>
      <c r="BQ375" s="373"/>
      <c r="BR375" s="373"/>
      <c r="BS375" s="373"/>
      <c r="BT375" s="373"/>
      <c r="BU375" s="373"/>
      <c r="BV375" s="373"/>
      <c r="BW375" s="373"/>
      <c r="BX375" s="373"/>
      <c r="BY375" s="373"/>
      <c r="BZ375" s="373"/>
      <c r="CA375" s="373"/>
      <c r="CB375" s="373"/>
      <c r="CC375" s="374"/>
      <c r="CD375" s="374"/>
      <c r="CE375" s="374"/>
      <c r="CF375" s="374"/>
      <c r="CG375" s="374"/>
      <c r="CH375" s="374"/>
      <c r="CI375" s="374"/>
      <c r="CJ375" s="374"/>
      <c r="CK375" s="374"/>
      <c r="CL375" s="374"/>
      <c r="CM375" s="374"/>
      <c r="CN375" s="374"/>
      <c r="CO375" s="374"/>
      <c r="CP375" s="374"/>
      <c r="CQ375" s="374"/>
      <c r="CR375" s="374"/>
      <c r="CS375" s="374"/>
      <c r="CT375" s="374"/>
      <c r="CU375" s="374"/>
      <c r="CV375" s="374"/>
      <c r="CW375" s="374"/>
      <c r="CX375" s="374"/>
      <c r="CY375" s="374"/>
      <c r="CZ375" s="374"/>
      <c r="DA375" s="374"/>
      <c r="DB375" s="392">
        <f>ROUNDUP(56.57,0)</f>
        <v>57</v>
      </c>
      <c r="DC375" s="375"/>
    </row>
    <row r="376" spans="1:116">
      <c r="A376" s="394"/>
      <c r="B376" s="396"/>
      <c r="C376" s="349"/>
      <c r="D376" s="349"/>
      <c r="E376" s="349"/>
      <c r="F376" s="349"/>
      <c r="G376" s="349"/>
      <c r="H376" s="349"/>
      <c r="I376" s="349"/>
      <c r="J376" s="349"/>
      <c r="K376" s="349"/>
      <c r="L376" s="349"/>
      <c r="M376" s="349"/>
      <c r="N376" s="349"/>
      <c r="O376" s="349"/>
      <c r="P376" s="354"/>
      <c r="Q376" s="354"/>
      <c r="R376" s="354"/>
      <c r="S376" s="354"/>
      <c r="T376" s="352"/>
      <c r="U376" s="353"/>
      <c r="V376" s="353"/>
      <c r="W376" s="353"/>
      <c r="X376" s="349"/>
      <c r="Y376" s="349"/>
      <c r="Z376" s="349"/>
      <c r="AA376" s="349"/>
      <c r="AB376" s="349"/>
      <c r="AC376" s="349"/>
      <c r="AD376" s="349"/>
      <c r="AE376" s="349"/>
      <c r="AF376" s="349"/>
      <c r="AG376" s="349"/>
      <c r="AH376" s="349"/>
      <c r="AI376" s="349"/>
      <c r="AJ376" s="349"/>
      <c r="AK376" s="349"/>
      <c r="AL376" s="349"/>
      <c r="AM376" s="349"/>
      <c r="AN376" s="349"/>
      <c r="AO376" s="349"/>
      <c r="AP376" s="354"/>
      <c r="AQ376" s="352"/>
      <c r="AR376" s="355"/>
      <c r="AS376" s="356"/>
      <c r="AT376" s="356"/>
      <c r="AU376" s="387"/>
      <c r="AV376" s="357"/>
      <c r="AW376" s="353"/>
      <c r="AX376" s="349"/>
      <c r="AY376" s="352"/>
      <c r="AZ376" s="372"/>
      <c r="BA376" s="373"/>
      <c r="BB376" s="373"/>
      <c r="BC376" s="373"/>
      <c r="BD376" s="373"/>
      <c r="BE376" s="373"/>
      <c r="BF376" s="373"/>
      <c r="BG376" s="373"/>
      <c r="BH376" s="373"/>
      <c r="BI376" s="373"/>
      <c r="BJ376" s="373"/>
      <c r="BK376" s="373"/>
      <c r="BL376" s="373"/>
      <c r="BM376" s="373"/>
      <c r="BN376" s="373"/>
      <c r="BO376" s="373"/>
      <c r="BP376" s="373"/>
      <c r="BQ376" s="373"/>
      <c r="BR376" s="373"/>
      <c r="BS376" s="373"/>
      <c r="BT376" s="373"/>
      <c r="BU376" s="373"/>
      <c r="BV376" s="373"/>
      <c r="BW376" s="373"/>
      <c r="BX376" s="373"/>
      <c r="BY376" s="373"/>
      <c r="BZ376" s="373"/>
      <c r="CA376" s="373"/>
      <c r="CB376" s="373"/>
      <c r="CC376" s="374"/>
      <c r="CD376" s="374"/>
      <c r="CE376" s="374"/>
      <c r="CF376" s="374"/>
      <c r="CG376" s="374"/>
      <c r="CH376" s="374"/>
      <c r="CI376" s="374"/>
      <c r="CJ376" s="374"/>
      <c r="CK376" s="374"/>
      <c r="CL376" s="374"/>
      <c r="CM376" s="374"/>
      <c r="CN376" s="374"/>
      <c r="CO376" s="374"/>
      <c r="CP376" s="374"/>
      <c r="CQ376" s="374"/>
      <c r="CR376" s="374"/>
      <c r="CS376" s="374"/>
      <c r="CT376" s="374"/>
      <c r="CU376" s="374"/>
      <c r="CV376" s="374"/>
      <c r="CW376" s="374"/>
      <c r="CX376" s="374"/>
      <c r="CY376" s="374"/>
      <c r="CZ376" s="374"/>
      <c r="DA376" s="374"/>
      <c r="DB376" s="374"/>
      <c r="DC376" s="375"/>
    </row>
    <row r="377" spans="1:116">
      <c r="A377" s="451"/>
      <c r="B377" s="396"/>
      <c r="C377" s="349"/>
      <c r="D377" s="349"/>
      <c r="E377" s="349"/>
      <c r="F377" s="349"/>
      <c r="G377" s="349"/>
      <c r="H377" s="349"/>
      <c r="I377" s="349"/>
      <c r="J377" s="349"/>
      <c r="K377" s="349"/>
      <c r="L377" s="349"/>
      <c r="M377" s="349"/>
      <c r="N377" s="349"/>
      <c r="O377" s="349"/>
      <c r="P377" s="354"/>
      <c r="Q377" s="354"/>
      <c r="R377" s="354"/>
      <c r="S377" s="354"/>
      <c r="T377" s="352"/>
      <c r="U377" s="449"/>
      <c r="V377" s="449"/>
      <c r="W377" s="449"/>
      <c r="X377" s="349"/>
      <c r="Y377" s="349"/>
      <c r="Z377" s="349"/>
      <c r="AA377" s="349"/>
      <c r="AB377" s="349"/>
      <c r="AC377" s="349"/>
      <c r="AD377" s="349"/>
      <c r="AE377" s="349"/>
      <c r="AF377" s="349"/>
      <c r="AG377" s="349"/>
      <c r="AH377" s="349"/>
      <c r="AI377" s="349"/>
      <c r="AJ377" s="349"/>
      <c r="AK377" s="349"/>
      <c r="AL377" s="349"/>
      <c r="AM377" s="349"/>
      <c r="AN377" s="349"/>
      <c r="AO377" s="349"/>
      <c r="AP377" s="354"/>
      <c r="AQ377" s="352"/>
      <c r="AR377" s="452"/>
      <c r="AS377" s="356"/>
      <c r="AT377" s="356"/>
      <c r="AU377" s="387"/>
      <c r="AV377" s="357"/>
      <c r="AW377" s="449"/>
      <c r="AX377" s="349"/>
      <c r="AY377" s="352"/>
      <c r="AZ377" s="453"/>
      <c r="BA377" s="373"/>
      <c r="BB377" s="373"/>
      <c r="BC377" s="373"/>
      <c r="BD377" s="373"/>
      <c r="BE377" s="373"/>
      <c r="BF377" s="373"/>
      <c r="BG377" s="373"/>
      <c r="BH377" s="373"/>
      <c r="BI377" s="373"/>
      <c r="BJ377" s="373"/>
      <c r="BK377" s="373"/>
      <c r="BL377" s="373"/>
      <c r="BM377" s="373"/>
      <c r="BN377" s="373"/>
      <c r="BO377" s="373"/>
      <c r="BP377" s="373"/>
      <c r="BQ377" s="373"/>
      <c r="BR377" s="373"/>
      <c r="BS377" s="373"/>
      <c r="BT377" s="373"/>
      <c r="BU377" s="373"/>
      <c r="BV377" s="373"/>
      <c r="BW377" s="373"/>
      <c r="BX377" s="373"/>
      <c r="BY377" s="373"/>
      <c r="BZ377" s="373"/>
      <c r="CA377" s="373"/>
      <c r="CB377" s="373"/>
      <c r="CC377" s="374"/>
      <c r="CD377" s="374"/>
      <c r="CE377" s="374"/>
      <c r="CF377" s="374"/>
      <c r="CG377" s="374"/>
      <c r="CH377" s="374"/>
      <c r="CI377" s="374"/>
      <c r="CJ377" s="374"/>
      <c r="CK377" s="374"/>
      <c r="CL377" s="374"/>
      <c r="CM377" s="374"/>
      <c r="CN377" s="374"/>
      <c r="CO377" s="374"/>
      <c r="CP377" s="374"/>
      <c r="CQ377" s="374"/>
      <c r="CR377" s="374"/>
      <c r="CS377" s="374"/>
      <c r="CT377" s="374"/>
      <c r="CU377" s="374"/>
      <c r="CV377" s="374"/>
      <c r="CW377" s="374"/>
      <c r="CX377" s="374"/>
      <c r="CY377" s="374"/>
      <c r="CZ377" s="374"/>
      <c r="DA377" s="374"/>
      <c r="DB377" s="374"/>
      <c r="DC377" s="375"/>
    </row>
    <row r="378" spans="1:116">
      <c r="A378" s="451"/>
      <c r="B378" s="396"/>
      <c r="C378" s="349"/>
      <c r="D378" s="349"/>
      <c r="E378" s="349"/>
      <c r="F378" s="349"/>
      <c r="G378" s="349"/>
      <c r="H378" s="349"/>
      <c r="I378" s="349"/>
      <c r="J378" s="349"/>
      <c r="K378" s="349"/>
      <c r="L378" s="349"/>
      <c r="M378" s="349"/>
      <c r="N378" s="349"/>
      <c r="O378" s="349"/>
      <c r="P378" s="354"/>
      <c r="Q378" s="354"/>
      <c r="R378" s="354"/>
      <c r="S378" s="354"/>
      <c r="T378" s="352"/>
      <c r="U378" s="449"/>
      <c r="V378" s="449"/>
      <c r="W378" s="449"/>
      <c r="X378" s="349"/>
      <c r="Y378" s="349"/>
      <c r="Z378" s="349"/>
      <c r="AA378" s="349"/>
      <c r="AB378" s="349"/>
      <c r="AC378" s="349"/>
      <c r="AD378" s="349"/>
      <c r="AE378" s="349"/>
      <c r="AF378" s="349"/>
      <c r="AG378" s="349"/>
      <c r="AH378" s="349"/>
      <c r="AI378" s="349"/>
      <c r="AJ378" s="349"/>
      <c r="AK378" s="349"/>
      <c r="AL378" s="349"/>
      <c r="AM378" s="349"/>
      <c r="AN378" s="349"/>
      <c r="AO378" s="349"/>
      <c r="AP378" s="354"/>
      <c r="AQ378" s="352"/>
      <c r="AR378" s="452"/>
      <c r="AS378" s="356"/>
      <c r="AT378" s="356"/>
      <c r="AU378" s="387"/>
      <c r="AV378" s="357"/>
      <c r="AW378" s="449"/>
      <c r="AX378" s="349"/>
      <c r="AY378" s="352"/>
      <c r="AZ378" s="453"/>
      <c r="BA378" s="373"/>
      <c r="BB378" s="373"/>
      <c r="BC378" s="373"/>
      <c r="BD378" s="373"/>
      <c r="BE378" s="373"/>
      <c r="BF378" s="373"/>
      <c r="BG378" s="373"/>
      <c r="BH378" s="373"/>
      <c r="BI378" s="373"/>
      <c r="BJ378" s="373"/>
      <c r="BK378" s="373"/>
      <c r="BL378" s="373"/>
      <c r="BM378" s="373"/>
      <c r="BN378" s="373"/>
      <c r="BO378" s="373"/>
      <c r="BP378" s="373"/>
      <c r="BQ378" s="373"/>
      <c r="BR378" s="373"/>
      <c r="BS378" s="373"/>
      <c r="BT378" s="373"/>
      <c r="BU378" s="373"/>
      <c r="BV378" s="373"/>
      <c r="BW378" s="373"/>
      <c r="BX378" s="373"/>
      <c r="BY378" s="373"/>
      <c r="BZ378" s="373"/>
      <c r="CA378" s="373"/>
      <c r="CB378" s="373"/>
      <c r="CC378" s="374"/>
      <c r="CD378" s="374"/>
      <c r="CE378" s="374"/>
      <c r="CF378" s="374"/>
      <c r="CG378" s="374"/>
      <c r="CH378" s="374"/>
      <c r="CI378" s="374"/>
      <c r="CJ378" s="374"/>
      <c r="CK378" s="374"/>
      <c r="CL378" s="374"/>
      <c r="CM378" s="374"/>
      <c r="CN378" s="374"/>
      <c r="CO378" s="374"/>
      <c r="CP378" s="374"/>
      <c r="CQ378" s="374"/>
      <c r="CR378" s="374"/>
      <c r="CS378" s="374"/>
      <c r="CT378" s="374"/>
      <c r="CU378" s="374"/>
      <c r="CV378" s="374"/>
      <c r="CW378" s="374"/>
      <c r="CX378" s="374"/>
      <c r="CY378" s="374"/>
      <c r="CZ378" s="374"/>
      <c r="DA378" s="374"/>
      <c r="DB378" s="374"/>
      <c r="DC378" s="375"/>
    </row>
    <row r="379" spans="1:116">
      <c r="A379" s="451"/>
      <c r="B379" s="396"/>
      <c r="C379" s="349"/>
      <c r="D379" s="349"/>
      <c r="E379" s="349"/>
      <c r="F379" s="349"/>
      <c r="G379" s="349"/>
      <c r="H379" s="349"/>
      <c r="I379" s="349"/>
      <c r="J379" s="349"/>
      <c r="K379" s="349"/>
      <c r="L379" s="349"/>
      <c r="M379" s="349"/>
      <c r="N379" s="349"/>
      <c r="O379" s="349"/>
      <c r="P379" s="354"/>
      <c r="Q379" s="354"/>
      <c r="R379" s="354"/>
      <c r="S379" s="354"/>
      <c r="T379" s="352"/>
      <c r="U379" s="449"/>
      <c r="V379" s="449"/>
      <c r="W379" s="449"/>
      <c r="X379" s="349"/>
      <c r="Y379" s="349"/>
      <c r="Z379" s="349"/>
      <c r="AA379" s="349"/>
      <c r="AB379" s="349"/>
      <c r="AC379" s="349"/>
      <c r="AD379" s="349"/>
      <c r="AE379" s="349"/>
      <c r="AF379" s="349"/>
      <c r="AG379" s="349"/>
      <c r="AH379" s="349"/>
      <c r="AI379" s="349"/>
      <c r="AJ379" s="349"/>
      <c r="AK379" s="349"/>
      <c r="AL379" s="349"/>
      <c r="AM379" s="349"/>
      <c r="AN379" s="349"/>
      <c r="AO379" s="349"/>
      <c r="AP379" s="354"/>
      <c r="AQ379" s="352"/>
      <c r="AR379" s="452"/>
      <c r="AS379" s="356"/>
      <c r="AT379" s="356"/>
      <c r="AU379" s="387"/>
      <c r="AV379" s="357"/>
      <c r="AW379" s="449"/>
      <c r="AX379" s="349"/>
      <c r="AY379" s="352"/>
      <c r="AZ379" s="453"/>
      <c r="BA379" s="373"/>
      <c r="BB379" s="373"/>
      <c r="BC379" s="373"/>
      <c r="BD379" s="373"/>
      <c r="BE379" s="373"/>
      <c r="BF379" s="373"/>
      <c r="BG379" s="373"/>
      <c r="BH379" s="373"/>
      <c r="BI379" s="373"/>
      <c r="BJ379" s="373"/>
      <c r="BK379" s="373"/>
      <c r="BL379" s="373"/>
      <c r="BM379" s="373"/>
      <c r="BN379" s="373"/>
      <c r="BO379" s="373"/>
      <c r="BP379" s="373"/>
      <c r="BQ379" s="373"/>
      <c r="BR379" s="373"/>
      <c r="BS379" s="373"/>
      <c r="BT379" s="373"/>
      <c r="BU379" s="373"/>
      <c r="BV379" s="373"/>
      <c r="BW379" s="373"/>
      <c r="BX379" s="373"/>
      <c r="BY379" s="373"/>
      <c r="BZ379" s="373"/>
      <c r="CA379" s="373"/>
      <c r="CB379" s="373"/>
      <c r="CC379" s="374"/>
      <c r="CD379" s="374"/>
      <c r="CE379" s="374"/>
      <c r="CF379" s="374"/>
      <c r="CG379" s="374"/>
      <c r="CH379" s="374"/>
      <c r="CI379" s="374"/>
      <c r="CJ379" s="374"/>
      <c r="CK379" s="374"/>
      <c r="CL379" s="374"/>
      <c r="CM379" s="374"/>
      <c r="CN379" s="374"/>
      <c r="CO379" s="374"/>
      <c r="CP379" s="374"/>
      <c r="CQ379" s="374"/>
      <c r="CR379" s="374"/>
      <c r="CS379" s="374"/>
      <c r="CT379" s="374"/>
      <c r="CU379" s="374"/>
      <c r="CV379" s="374"/>
      <c r="CW379" s="374"/>
      <c r="CX379" s="374"/>
      <c r="CY379" s="374"/>
      <c r="CZ379" s="374"/>
      <c r="DA379" s="374"/>
      <c r="DB379" s="374"/>
      <c r="DC379" s="375"/>
    </row>
    <row r="380" spans="1:116">
      <c r="A380" s="376"/>
      <c r="B380" s="396"/>
      <c r="C380" s="349"/>
      <c r="D380" s="349"/>
      <c r="E380" s="349"/>
      <c r="F380" s="349"/>
      <c r="G380" s="349"/>
      <c r="H380" s="349"/>
      <c r="I380" s="349"/>
      <c r="J380" s="349"/>
      <c r="K380" s="349"/>
      <c r="L380" s="349"/>
      <c r="M380" s="349"/>
      <c r="N380" s="349"/>
      <c r="O380" s="349"/>
      <c r="P380" s="354"/>
      <c r="Q380" s="354"/>
      <c r="R380" s="354"/>
      <c r="S380" s="354"/>
      <c r="T380" s="352"/>
      <c r="U380" s="353"/>
      <c r="V380" s="353"/>
      <c r="W380" s="353"/>
      <c r="X380" s="349"/>
      <c r="Y380" s="349"/>
      <c r="Z380" s="349"/>
      <c r="AA380" s="349"/>
      <c r="AB380" s="349"/>
      <c r="AC380" s="349"/>
      <c r="AD380" s="349"/>
      <c r="AE380" s="349"/>
      <c r="AF380" s="349"/>
      <c r="AG380" s="349"/>
      <c r="AH380" s="349"/>
      <c r="AI380" s="349"/>
      <c r="AJ380" s="349"/>
      <c r="AK380" s="349"/>
      <c r="AL380" s="349"/>
      <c r="AM380" s="349"/>
      <c r="AN380" s="349"/>
      <c r="AO380" s="349"/>
      <c r="AP380" s="354"/>
      <c r="AQ380" s="352"/>
      <c r="AR380" s="355"/>
      <c r="AS380" s="356"/>
      <c r="AT380" s="356"/>
      <c r="AU380" s="387"/>
      <c r="AV380" s="357"/>
      <c r="AW380" s="353"/>
      <c r="AX380" s="349"/>
      <c r="AY380" s="352"/>
      <c r="AZ380" s="372"/>
      <c r="BA380" s="373"/>
      <c r="BB380" s="373"/>
      <c r="BC380" s="373"/>
      <c r="BD380" s="373"/>
      <c r="BE380" s="373"/>
      <c r="BF380" s="373"/>
      <c r="BG380" s="373"/>
      <c r="BH380" s="373"/>
      <c r="BI380" s="373"/>
      <c r="BJ380" s="373"/>
      <c r="BK380" s="373"/>
      <c r="BL380" s="373"/>
      <c r="BM380" s="373"/>
      <c r="BN380" s="373"/>
      <c r="BO380" s="373"/>
      <c r="BP380" s="373"/>
      <c r="BQ380" s="373"/>
      <c r="BR380" s="373"/>
      <c r="BS380" s="373"/>
      <c r="BT380" s="373"/>
      <c r="BU380" s="373"/>
      <c r="BV380" s="373"/>
      <c r="BW380" s="373"/>
      <c r="BX380" s="373"/>
      <c r="BY380" s="373"/>
      <c r="BZ380" s="373"/>
      <c r="CA380" s="373"/>
      <c r="CB380" s="373"/>
      <c r="CC380" s="374"/>
      <c r="CD380" s="374"/>
      <c r="CE380" s="374"/>
      <c r="CF380" s="374"/>
      <c r="CG380" s="374"/>
      <c r="CH380" s="374"/>
      <c r="CI380" s="374"/>
      <c r="CJ380" s="374"/>
      <c r="CK380" s="374"/>
      <c r="CL380" s="374"/>
      <c r="CM380" s="374"/>
      <c r="CN380" s="374"/>
      <c r="CO380" s="374"/>
      <c r="CP380" s="374"/>
      <c r="CQ380" s="374"/>
      <c r="CR380" s="374"/>
      <c r="CS380" s="374"/>
      <c r="CT380" s="374"/>
      <c r="CU380" s="374"/>
      <c r="CV380" s="374"/>
      <c r="CW380" s="374"/>
      <c r="CX380" s="374"/>
      <c r="CY380" s="374"/>
      <c r="CZ380" s="374"/>
      <c r="DA380" s="374"/>
      <c r="DB380" s="374"/>
      <c r="DC380" s="375"/>
    </row>
    <row r="381" spans="1:116">
      <c r="A381" s="376"/>
      <c r="B381" s="396"/>
      <c r="C381" s="349"/>
      <c r="D381" s="349"/>
      <c r="E381" s="349"/>
      <c r="F381" s="349"/>
      <c r="G381" s="349"/>
      <c r="H381" s="349"/>
      <c r="I381" s="349"/>
      <c r="J381" s="349"/>
      <c r="K381" s="349"/>
      <c r="L381" s="349"/>
      <c r="M381" s="349"/>
      <c r="N381" s="349"/>
      <c r="O381" s="349"/>
      <c r="P381" s="354"/>
      <c r="Q381" s="354"/>
      <c r="R381" s="354"/>
      <c r="S381" s="354"/>
      <c r="T381" s="352"/>
      <c r="U381" s="353"/>
      <c r="V381" s="353"/>
      <c r="W381" s="353"/>
      <c r="X381" s="349"/>
      <c r="Y381" s="349"/>
      <c r="Z381" s="349"/>
      <c r="AA381" s="349"/>
      <c r="AB381" s="349"/>
      <c r="AC381" s="349"/>
      <c r="AD381" s="349"/>
      <c r="AE381" s="349"/>
      <c r="AF381" s="349"/>
      <c r="AG381" s="349"/>
      <c r="AH381" s="349"/>
      <c r="AI381" s="349"/>
      <c r="AJ381" s="349"/>
      <c r="AK381" s="349"/>
      <c r="AL381" s="349"/>
      <c r="AM381" s="349"/>
      <c r="AN381" s="349"/>
      <c r="AO381" s="349"/>
      <c r="AP381" s="354"/>
      <c r="AQ381" s="352"/>
      <c r="AR381" s="355"/>
      <c r="AS381" s="356"/>
      <c r="AT381" s="356"/>
      <c r="AU381" s="387"/>
      <c r="AV381" s="357"/>
      <c r="AW381" s="353"/>
      <c r="AX381" s="349"/>
      <c r="AY381" s="352"/>
      <c r="AZ381" s="372"/>
      <c r="BA381" s="373"/>
      <c r="BB381" s="373"/>
      <c r="BC381" s="373"/>
      <c r="BD381" s="373"/>
      <c r="BE381" s="373"/>
      <c r="BF381" s="373"/>
      <c r="BG381" s="373"/>
      <c r="BH381" s="373"/>
      <c r="BI381" s="373"/>
      <c r="BJ381" s="373"/>
      <c r="BK381" s="373"/>
      <c r="BL381" s="373"/>
      <c r="BM381" s="373"/>
      <c r="BN381" s="373"/>
      <c r="BO381" s="373"/>
      <c r="BP381" s="373"/>
      <c r="BQ381" s="373"/>
      <c r="BR381" s="373"/>
      <c r="BS381" s="373"/>
      <c r="BT381" s="373"/>
      <c r="BU381" s="373"/>
      <c r="BV381" s="373"/>
      <c r="BW381" s="373"/>
      <c r="BX381" s="373"/>
      <c r="BY381" s="373"/>
      <c r="BZ381" s="373"/>
      <c r="CA381" s="373"/>
      <c r="CB381" s="373"/>
      <c r="CC381" s="374"/>
      <c r="CD381" s="374"/>
      <c r="CE381" s="374"/>
      <c r="CF381" s="374"/>
      <c r="CG381" s="374"/>
      <c r="CH381" s="374"/>
      <c r="CI381" s="374"/>
      <c r="CJ381" s="374"/>
      <c r="CK381" s="374"/>
      <c r="CL381" s="374"/>
      <c r="CM381" s="374"/>
      <c r="CN381" s="374"/>
      <c r="CO381" s="374"/>
      <c r="CP381" s="374"/>
      <c r="CQ381" s="374"/>
      <c r="CR381" s="374"/>
      <c r="CS381" s="374"/>
      <c r="CT381" s="374"/>
      <c r="CU381" s="374"/>
      <c r="CV381" s="374"/>
      <c r="CW381" s="374"/>
      <c r="CX381" s="374"/>
      <c r="CY381" s="374"/>
      <c r="CZ381" s="374"/>
      <c r="DA381" s="374"/>
      <c r="DB381" s="374"/>
      <c r="DC381" s="375"/>
    </row>
    <row r="382" spans="1:116">
      <c r="A382" s="376"/>
      <c r="B382" s="353"/>
      <c r="C382" s="349"/>
      <c r="D382" s="349"/>
      <c r="E382" s="349"/>
      <c r="F382" s="349"/>
      <c r="G382" s="349"/>
      <c r="H382" s="349"/>
      <c r="I382" s="349"/>
      <c r="J382" s="349"/>
      <c r="K382" s="349"/>
      <c r="L382" s="349"/>
      <c r="M382" s="349"/>
      <c r="N382" s="349"/>
      <c r="O382" s="349"/>
      <c r="P382" s="354"/>
      <c r="Q382" s="354"/>
      <c r="R382" s="354"/>
      <c r="S382" s="354"/>
      <c r="T382" s="359"/>
      <c r="U382" s="353"/>
      <c r="V382" s="353"/>
      <c r="W382" s="353"/>
      <c r="X382" s="349"/>
      <c r="Y382" s="349"/>
      <c r="Z382" s="349"/>
      <c r="AA382" s="349"/>
      <c r="AB382" s="349"/>
      <c r="AC382" s="349"/>
      <c r="AD382" s="349"/>
      <c r="AE382" s="349"/>
      <c r="AF382" s="349"/>
      <c r="AG382" s="349"/>
      <c r="AH382" s="349"/>
      <c r="AI382" s="349"/>
      <c r="AJ382" s="349"/>
      <c r="AK382" s="349"/>
      <c r="AL382" s="349"/>
      <c r="AM382" s="349"/>
      <c r="AN382" s="349"/>
      <c r="AO382" s="349"/>
      <c r="AP382" s="354"/>
      <c r="AQ382" s="352"/>
      <c r="AR382" s="353"/>
      <c r="AS382" s="349"/>
      <c r="AT382" s="349"/>
      <c r="AU382" s="354"/>
      <c r="AV382" s="352"/>
      <c r="AW382" s="353"/>
      <c r="AX382" s="349"/>
      <c r="AY382" s="352"/>
      <c r="AZ382" s="372"/>
      <c r="BA382" s="373"/>
      <c r="BB382" s="373"/>
      <c r="BC382" s="373"/>
      <c r="BD382" s="373"/>
      <c r="BE382" s="373"/>
      <c r="BF382" s="373"/>
      <c r="BG382" s="373"/>
      <c r="BH382" s="373"/>
      <c r="BI382" s="373"/>
      <c r="BJ382" s="373"/>
      <c r="BK382" s="373"/>
      <c r="BL382" s="373"/>
      <c r="BM382" s="373"/>
      <c r="BN382" s="373"/>
      <c r="BO382" s="373"/>
      <c r="BP382" s="373"/>
      <c r="BQ382" s="373"/>
      <c r="BR382" s="373"/>
      <c r="BS382" s="373"/>
      <c r="BT382" s="373"/>
      <c r="BU382" s="373"/>
      <c r="BV382" s="373"/>
      <c r="BW382" s="373"/>
      <c r="BX382" s="373"/>
      <c r="BY382" s="373"/>
      <c r="BZ382" s="373"/>
      <c r="CA382" s="373"/>
      <c r="CB382" s="373"/>
      <c r="CC382" s="374"/>
      <c r="CD382" s="374"/>
      <c r="CE382" s="374"/>
      <c r="CF382" s="374"/>
      <c r="CG382" s="374"/>
      <c r="CH382" s="374"/>
      <c r="CI382" s="374"/>
      <c r="CJ382" s="374"/>
      <c r="CK382" s="374"/>
      <c r="CL382" s="374"/>
      <c r="CM382" s="374"/>
      <c r="CN382" s="374"/>
      <c r="CO382" s="374"/>
      <c r="CP382" s="374"/>
      <c r="CQ382" s="374"/>
      <c r="CR382" s="374"/>
      <c r="CS382" s="374"/>
      <c r="CT382" s="374"/>
      <c r="CU382" s="374"/>
      <c r="CV382" s="374"/>
      <c r="CW382" s="374"/>
      <c r="CX382" s="374"/>
      <c r="CY382" s="374"/>
      <c r="CZ382" s="374"/>
      <c r="DA382" s="374"/>
      <c r="DB382" s="374"/>
      <c r="DC382" s="375"/>
    </row>
    <row r="383" spans="1:116" ht="18.75">
      <c r="A383" s="376"/>
      <c r="B383" s="377" t="s">
        <v>171</v>
      </c>
      <c r="C383" s="378">
        <f t="shared" ref="C383:AQ383" si="135">SUM(C350:C382)</f>
        <v>71</v>
      </c>
      <c r="D383" s="378">
        <f t="shared" si="135"/>
        <v>1870</v>
      </c>
      <c r="E383" s="378">
        <f t="shared" si="135"/>
        <v>142</v>
      </c>
      <c r="F383" s="378">
        <f t="shared" si="135"/>
        <v>0</v>
      </c>
      <c r="G383" s="378">
        <f t="shared" si="135"/>
        <v>0</v>
      </c>
      <c r="H383" s="378">
        <f t="shared" si="135"/>
        <v>0</v>
      </c>
      <c r="I383" s="378">
        <f t="shared" si="135"/>
        <v>0</v>
      </c>
      <c r="J383" s="378">
        <f t="shared" si="135"/>
        <v>0</v>
      </c>
      <c r="K383" s="378">
        <f t="shared" si="135"/>
        <v>0</v>
      </c>
      <c r="L383" s="378">
        <f t="shared" si="135"/>
        <v>0</v>
      </c>
      <c r="M383" s="378">
        <f t="shared" si="135"/>
        <v>0</v>
      </c>
      <c r="N383" s="378">
        <f t="shared" si="135"/>
        <v>0</v>
      </c>
      <c r="O383" s="378">
        <f t="shared" si="135"/>
        <v>0</v>
      </c>
      <c r="P383" s="378">
        <f t="shared" si="135"/>
        <v>0</v>
      </c>
      <c r="Q383" s="378">
        <f t="shared" si="135"/>
        <v>0</v>
      </c>
      <c r="R383" s="378">
        <f t="shared" si="135"/>
        <v>0</v>
      </c>
      <c r="S383" s="378">
        <f t="shared" si="135"/>
        <v>0</v>
      </c>
      <c r="T383" s="380">
        <f t="shared" si="135"/>
        <v>411</v>
      </c>
      <c r="U383" s="381">
        <f t="shared" si="135"/>
        <v>2050</v>
      </c>
      <c r="V383" s="381">
        <f t="shared" si="135"/>
        <v>30</v>
      </c>
      <c r="W383" s="381">
        <f t="shared" si="135"/>
        <v>0</v>
      </c>
      <c r="X383" s="381">
        <f t="shared" si="135"/>
        <v>0</v>
      </c>
      <c r="Y383" s="381">
        <f t="shared" si="135"/>
        <v>0</v>
      </c>
      <c r="Z383" s="381">
        <f t="shared" si="135"/>
        <v>656</v>
      </c>
      <c r="AA383" s="381">
        <f t="shared" si="135"/>
        <v>2808</v>
      </c>
      <c r="AB383" s="381">
        <f t="shared" si="135"/>
        <v>0</v>
      </c>
      <c r="AC383" s="381">
        <f t="shared" si="135"/>
        <v>0</v>
      </c>
      <c r="AD383" s="381">
        <f t="shared" si="135"/>
        <v>632</v>
      </c>
      <c r="AE383" s="381">
        <f t="shared" si="135"/>
        <v>0</v>
      </c>
      <c r="AF383" s="381">
        <f t="shared" si="135"/>
        <v>0</v>
      </c>
      <c r="AG383" s="381">
        <f t="shared" si="135"/>
        <v>0</v>
      </c>
      <c r="AH383" s="381">
        <f t="shared" si="135"/>
        <v>0</v>
      </c>
      <c r="AI383" s="381">
        <f t="shared" si="135"/>
        <v>0</v>
      </c>
      <c r="AJ383" s="381">
        <f t="shared" si="135"/>
        <v>0</v>
      </c>
      <c r="AK383" s="381">
        <f t="shared" si="135"/>
        <v>0</v>
      </c>
      <c r="AL383" s="381">
        <f t="shared" si="135"/>
        <v>0</v>
      </c>
      <c r="AM383" s="381">
        <f t="shared" si="135"/>
        <v>0</v>
      </c>
      <c r="AN383" s="381">
        <f t="shared" si="135"/>
        <v>178</v>
      </c>
      <c r="AO383" s="381">
        <f t="shared" si="135"/>
        <v>2.9</v>
      </c>
      <c r="AP383" s="381">
        <f t="shared" si="135"/>
        <v>0</v>
      </c>
      <c r="AQ383" s="381">
        <f t="shared" si="135"/>
        <v>0</v>
      </c>
      <c r="AR383" s="381">
        <f t="shared" ref="AR383:AY383" si="136">SUM(AR355:AR382)</f>
        <v>401</v>
      </c>
      <c r="AS383" s="378">
        <f t="shared" si="136"/>
        <v>76</v>
      </c>
      <c r="AT383" s="378">
        <f t="shared" si="136"/>
        <v>0</v>
      </c>
      <c r="AU383" s="378">
        <f t="shared" si="136"/>
        <v>0</v>
      </c>
      <c r="AV383" s="380">
        <f t="shared" si="136"/>
        <v>0</v>
      </c>
      <c r="AW383" s="381">
        <f t="shared" si="136"/>
        <v>1297</v>
      </c>
      <c r="AX383" s="378">
        <f t="shared" si="136"/>
        <v>559</v>
      </c>
      <c r="AY383" s="380">
        <f t="shared" si="136"/>
        <v>477</v>
      </c>
      <c r="AZ383" s="381">
        <f>SUM(AZ350:AZ382)</f>
        <v>1</v>
      </c>
      <c r="BA383" s="378">
        <f>SUM(BA355:BA382)</f>
        <v>3</v>
      </c>
      <c r="BB383" s="378">
        <f t="shared" ref="BB383:CY383" si="137">SUM(BB351:BB382)</f>
        <v>1</v>
      </c>
      <c r="BC383" s="378">
        <f t="shared" si="137"/>
        <v>1</v>
      </c>
      <c r="BD383" s="378">
        <f t="shared" si="137"/>
        <v>0</v>
      </c>
      <c r="BE383" s="378">
        <f t="shared" si="137"/>
        <v>0</v>
      </c>
      <c r="BF383" s="378">
        <f t="shared" si="137"/>
        <v>0</v>
      </c>
      <c r="BG383" s="378">
        <f t="shared" si="137"/>
        <v>1</v>
      </c>
      <c r="BH383" s="378">
        <f t="shared" si="137"/>
        <v>0</v>
      </c>
      <c r="BI383" s="378">
        <f t="shared" si="137"/>
        <v>1</v>
      </c>
      <c r="BJ383" s="378">
        <f t="shared" si="137"/>
        <v>1</v>
      </c>
      <c r="BK383" s="378">
        <f t="shared" si="137"/>
        <v>4</v>
      </c>
      <c r="BL383" s="378">
        <f t="shared" si="137"/>
        <v>1</v>
      </c>
      <c r="BM383" s="378">
        <f t="shared" si="137"/>
        <v>3</v>
      </c>
      <c r="BN383" s="378">
        <f t="shared" si="137"/>
        <v>16</v>
      </c>
      <c r="BO383" s="378">
        <f t="shared" si="137"/>
        <v>1</v>
      </c>
      <c r="BP383" s="378">
        <f t="shared" si="137"/>
        <v>0</v>
      </c>
      <c r="BQ383" s="378">
        <f t="shared" si="137"/>
        <v>0</v>
      </c>
      <c r="BR383" s="378">
        <f t="shared" si="137"/>
        <v>0</v>
      </c>
      <c r="BS383" s="378">
        <f t="shared" si="137"/>
        <v>0</v>
      </c>
      <c r="BT383" s="378">
        <f t="shared" si="137"/>
        <v>0</v>
      </c>
      <c r="BU383" s="378">
        <f t="shared" si="137"/>
        <v>0</v>
      </c>
      <c r="BV383" s="378">
        <f t="shared" si="137"/>
        <v>0</v>
      </c>
      <c r="BW383" s="378">
        <f t="shared" si="137"/>
        <v>20</v>
      </c>
      <c r="BX383" s="378"/>
      <c r="BY383" s="378">
        <f t="shared" si="137"/>
        <v>0</v>
      </c>
      <c r="BZ383" s="378">
        <f t="shared" si="137"/>
        <v>0</v>
      </c>
      <c r="CA383" s="378">
        <f t="shared" si="137"/>
        <v>1</v>
      </c>
      <c r="CB383" s="378">
        <f t="shared" si="137"/>
        <v>2</v>
      </c>
      <c r="CC383" s="378"/>
      <c r="CD383" s="378">
        <f t="shared" si="137"/>
        <v>6</v>
      </c>
      <c r="CE383" s="378"/>
      <c r="CF383" s="378">
        <f t="shared" si="137"/>
        <v>2</v>
      </c>
      <c r="CG383" s="378"/>
      <c r="CH383" s="378">
        <f t="shared" si="137"/>
        <v>0</v>
      </c>
      <c r="CI383" s="378">
        <f t="shared" si="137"/>
        <v>0</v>
      </c>
      <c r="CJ383" s="378">
        <f t="shared" si="137"/>
        <v>0</v>
      </c>
      <c r="CK383" s="378"/>
      <c r="CL383" s="378"/>
      <c r="CM383" s="378">
        <f t="shared" si="137"/>
        <v>0</v>
      </c>
      <c r="CN383" s="378">
        <f t="shared" si="137"/>
        <v>0</v>
      </c>
      <c r="CO383" s="378">
        <f t="shared" si="137"/>
        <v>0</v>
      </c>
      <c r="CP383" s="378">
        <f t="shared" si="137"/>
        <v>0</v>
      </c>
      <c r="CQ383" s="378">
        <f t="shared" si="137"/>
        <v>0</v>
      </c>
      <c r="CR383" s="378">
        <f t="shared" si="137"/>
        <v>0</v>
      </c>
      <c r="CS383" s="378">
        <f t="shared" si="137"/>
        <v>0</v>
      </c>
      <c r="CT383" s="378">
        <f t="shared" si="137"/>
        <v>0</v>
      </c>
      <c r="CU383" s="378">
        <f t="shared" si="137"/>
        <v>0</v>
      </c>
      <c r="CV383" s="378">
        <f t="shared" si="137"/>
        <v>0</v>
      </c>
      <c r="CW383" s="378">
        <f t="shared" si="137"/>
        <v>0</v>
      </c>
      <c r="CX383" s="378">
        <f t="shared" si="137"/>
        <v>0</v>
      </c>
      <c r="CY383" s="378">
        <f t="shared" si="137"/>
        <v>0</v>
      </c>
      <c r="CZ383" s="378">
        <f t="shared" ref="CZ383:DB383" si="138">SUM(CZ351:CZ382)</f>
        <v>0</v>
      </c>
      <c r="DA383" s="378">
        <f t="shared" si="138"/>
        <v>0</v>
      </c>
      <c r="DB383" s="378">
        <f t="shared" si="138"/>
        <v>57</v>
      </c>
      <c r="DC383" s="380">
        <f>SUM(DC355:DC382)</f>
        <v>0</v>
      </c>
    </row>
    <row r="384" spans="1:116" ht="18.75">
      <c r="A384" s="397"/>
      <c r="B384" s="398"/>
      <c r="C384" s="399"/>
      <c r="D384" s="400"/>
      <c r="E384" s="400"/>
      <c r="F384" s="400"/>
      <c r="G384" s="400"/>
      <c r="H384" s="400"/>
      <c r="I384" s="400"/>
      <c r="J384" s="400"/>
      <c r="K384" s="400"/>
      <c r="L384" s="400"/>
      <c r="M384" s="400"/>
      <c r="N384" s="400"/>
      <c r="O384" s="400"/>
      <c r="P384" s="401"/>
      <c r="Q384" s="401"/>
      <c r="R384" s="401"/>
      <c r="S384" s="401"/>
      <c r="T384" s="402"/>
      <c r="U384" s="396"/>
      <c r="V384" s="396"/>
      <c r="W384" s="396"/>
      <c r="X384" s="399"/>
      <c r="Y384" s="399"/>
      <c r="Z384" s="399"/>
      <c r="AA384" s="399"/>
      <c r="AB384" s="399"/>
      <c r="AC384" s="399"/>
      <c r="AD384" s="399"/>
      <c r="AE384" s="399"/>
      <c r="AF384" s="399"/>
      <c r="AG384" s="399"/>
      <c r="AH384" s="399"/>
      <c r="AI384" s="399"/>
      <c r="AJ384" s="399"/>
      <c r="AK384" s="399"/>
      <c r="AL384" s="399"/>
      <c r="AM384" s="399"/>
      <c r="AN384" s="399"/>
      <c r="AO384" s="399"/>
      <c r="AP384" s="403"/>
      <c r="AQ384" s="404"/>
      <c r="AR384" s="396"/>
      <c r="AS384" s="399"/>
      <c r="AT384" s="399"/>
      <c r="AU384" s="403"/>
      <c r="AV384" s="404"/>
      <c r="AW384" s="396"/>
      <c r="AX384" s="399"/>
      <c r="AY384" s="404"/>
      <c r="AZ384" s="405"/>
      <c r="BA384" s="406"/>
      <c r="BB384" s="406"/>
      <c r="BC384" s="406"/>
      <c r="BD384" s="406"/>
      <c r="BE384" s="406"/>
      <c r="BF384" s="471"/>
      <c r="BG384" s="406"/>
      <c r="BH384" s="406"/>
      <c r="BI384" s="406"/>
      <c r="BJ384" s="406"/>
      <c r="BK384" s="406"/>
      <c r="BL384" s="406"/>
      <c r="BM384" s="406"/>
      <c r="BN384" s="406"/>
      <c r="BO384" s="406"/>
      <c r="BP384" s="471"/>
      <c r="BQ384" s="406"/>
      <c r="BR384" s="406"/>
      <c r="BS384" s="406"/>
      <c r="BT384" s="471"/>
      <c r="BU384" s="471"/>
      <c r="BV384" s="471"/>
      <c r="BW384" s="406"/>
      <c r="BX384" s="471"/>
      <c r="BY384" s="406"/>
      <c r="BZ384" s="406"/>
      <c r="CA384" s="406"/>
      <c r="CB384" s="406"/>
      <c r="CC384" s="473"/>
      <c r="CD384" s="407"/>
      <c r="CE384" s="473"/>
      <c r="CF384" s="407"/>
      <c r="CG384" s="473"/>
      <c r="CH384" s="407"/>
      <c r="CI384" s="407"/>
      <c r="CJ384" s="407"/>
      <c r="CK384" s="473"/>
      <c r="CL384" s="473"/>
      <c r="CM384" s="407"/>
      <c r="CN384" s="407"/>
      <c r="CO384" s="407"/>
      <c r="CP384" s="407"/>
      <c r="CQ384" s="407"/>
      <c r="CR384" s="473"/>
      <c r="CS384" s="473"/>
      <c r="CT384" s="407"/>
      <c r="CU384" s="407"/>
      <c r="CV384" s="407"/>
      <c r="CW384" s="407"/>
      <c r="CX384" s="407"/>
      <c r="CY384" s="407"/>
      <c r="CZ384" s="407"/>
      <c r="DA384" s="407"/>
      <c r="DB384" s="407"/>
      <c r="DC384" s="408"/>
    </row>
    <row r="385" spans="1:107">
      <c r="A385" s="397"/>
      <c r="B385" s="386" t="s">
        <v>248</v>
      </c>
      <c r="C385" s="399"/>
      <c r="D385" s="400"/>
      <c r="E385" s="400"/>
      <c r="F385" s="400"/>
      <c r="G385" s="400"/>
      <c r="H385" s="400"/>
      <c r="I385" s="400"/>
      <c r="J385" s="400"/>
      <c r="K385" s="400"/>
      <c r="L385" s="400"/>
      <c r="M385" s="400"/>
      <c r="N385" s="400"/>
      <c r="O385" s="400"/>
      <c r="P385" s="401"/>
      <c r="Q385" s="401"/>
      <c r="R385" s="401"/>
      <c r="S385" s="401"/>
      <c r="T385" s="402"/>
      <c r="U385" s="396"/>
      <c r="V385" s="396"/>
      <c r="W385" s="396"/>
      <c r="X385" s="399"/>
      <c r="Y385" s="399"/>
      <c r="Z385" s="399"/>
      <c r="AA385" s="399"/>
      <c r="AB385" s="399"/>
      <c r="AC385" s="399"/>
      <c r="AD385" s="399"/>
      <c r="AE385" s="399"/>
      <c r="AF385" s="399"/>
      <c r="AG385" s="399"/>
      <c r="AH385" s="399"/>
      <c r="AI385" s="399"/>
      <c r="AJ385" s="399"/>
      <c r="AK385" s="399"/>
      <c r="AL385" s="399"/>
      <c r="AM385" s="399"/>
      <c r="AN385" s="399"/>
      <c r="AO385" s="399"/>
      <c r="AP385" s="403"/>
      <c r="AQ385" s="404"/>
      <c r="AR385" s="396"/>
      <c r="AS385" s="399"/>
      <c r="AT385" s="399"/>
      <c r="AU385" s="403"/>
      <c r="AV385" s="404"/>
      <c r="AW385" s="396"/>
      <c r="AX385" s="399"/>
      <c r="AY385" s="404"/>
      <c r="AZ385" s="405"/>
      <c r="BA385" s="406"/>
      <c r="BB385" s="406"/>
      <c r="BC385" s="406"/>
      <c r="BD385" s="406"/>
      <c r="BE385" s="406"/>
      <c r="BF385" s="471"/>
      <c r="BG385" s="406"/>
      <c r="BH385" s="406"/>
      <c r="BI385" s="406"/>
      <c r="BJ385" s="406"/>
      <c r="BK385" s="406"/>
      <c r="BL385" s="406"/>
      <c r="BM385" s="406"/>
      <c r="BN385" s="406"/>
      <c r="BO385" s="406"/>
      <c r="BP385" s="471"/>
      <c r="BQ385" s="406"/>
      <c r="BR385" s="406"/>
      <c r="BS385" s="406"/>
      <c r="BT385" s="471"/>
      <c r="BU385" s="471"/>
      <c r="BV385" s="471"/>
      <c r="BW385" s="406"/>
      <c r="BX385" s="471"/>
      <c r="BY385" s="406"/>
      <c r="BZ385" s="406"/>
      <c r="CA385" s="406"/>
      <c r="CB385" s="406"/>
      <c r="CC385" s="473"/>
      <c r="CD385" s="407"/>
      <c r="CE385" s="473"/>
      <c r="CF385" s="407"/>
      <c r="CG385" s="473"/>
      <c r="CH385" s="407"/>
      <c r="CI385" s="407"/>
      <c r="CJ385" s="407"/>
      <c r="CK385" s="473"/>
      <c r="CL385" s="473"/>
      <c r="CM385" s="407"/>
      <c r="CN385" s="407"/>
      <c r="CO385" s="407"/>
      <c r="CP385" s="407"/>
      <c r="CQ385" s="407"/>
      <c r="CR385" s="473"/>
      <c r="CS385" s="473"/>
      <c r="CT385" s="407"/>
      <c r="CU385" s="407"/>
      <c r="CV385" s="407"/>
      <c r="CW385" s="407"/>
      <c r="CX385" s="407"/>
      <c r="CY385" s="407"/>
      <c r="CZ385" s="407"/>
      <c r="DA385" s="407"/>
      <c r="DB385" s="407"/>
      <c r="DC385" s="408"/>
    </row>
    <row r="386" spans="1:107">
      <c r="A386" s="397"/>
      <c r="B386" s="358"/>
      <c r="C386" s="399"/>
      <c r="D386" s="400"/>
      <c r="E386" s="400"/>
      <c r="F386" s="400"/>
      <c r="G386" s="400"/>
      <c r="H386" s="400"/>
      <c r="I386" s="400"/>
      <c r="J386" s="400"/>
      <c r="K386" s="400"/>
      <c r="L386" s="400"/>
      <c r="M386" s="400"/>
      <c r="N386" s="400"/>
      <c r="O386" s="400"/>
      <c r="P386" s="401"/>
      <c r="Q386" s="401"/>
      <c r="R386" s="401"/>
      <c r="S386" s="401"/>
      <c r="T386" s="352">
        <f t="shared" ref="T386" si="139">SUM(C386:O386)</f>
        <v>0</v>
      </c>
      <c r="U386" s="396"/>
      <c r="V386" s="396"/>
      <c r="W386" s="396"/>
      <c r="X386" s="399"/>
      <c r="Y386" s="399"/>
      <c r="Z386" s="399"/>
      <c r="AA386" s="399"/>
      <c r="AB386" s="399"/>
      <c r="AC386" s="399"/>
      <c r="AD386" s="399"/>
      <c r="AE386" s="399"/>
      <c r="AF386" s="399"/>
      <c r="AG386" s="399"/>
      <c r="AH386" s="399"/>
      <c r="AI386" s="399"/>
      <c r="AJ386" s="399"/>
      <c r="AK386" s="399"/>
      <c r="AL386" s="399"/>
      <c r="AM386" s="399"/>
      <c r="AN386" s="399"/>
      <c r="AO386" s="399"/>
      <c r="AP386" s="403"/>
      <c r="AQ386" s="404"/>
      <c r="AR386" s="396"/>
      <c r="AS386" s="399"/>
      <c r="AT386" s="399"/>
      <c r="AU386" s="403"/>
      <c r="AV386" s="404"/>
      <c r="AW386" s="396"/>
      <c r="AX386" s="399"/>
      <c r="AY386" s="404"/>
      <c r="AZ386" s="405"/>
      <c r="BA386" s="406"/>
      <c r="BB386" s="406"/>
      <c r="BC386" s="406"/>
      <c r="BD386" s="406"/>
      <c r="BE386" s="406"/>
      <c r="BF386" s="471"/>
      <c r="BG386" s="406"/>
      <c r="BH386" s="406"/>
      <c r="BI386" s="406"/>
      <c r="BJ386" s="406"/>
      <c r="BK386" s="406"/>
      <c r="BL386" s="406"/>
      <c r="BM386" s="406"/>
      <c r="BN386" s="406"/>
      <c r="BO386" s="406"/>
      <c r="BP386" s="471"/>
      <c r="BQ386" s="406"/>
      <c r="BR386" s="406"/>
      <c r="BS386" s="406"/>
      <c r="BT386" s="471"/>
      <c r="BU386" s="471"/>
      <c r="BV386" s="471"/>
      <c r="BW386" s="406"/>
      <c r="BX386" s="471"/>
      <c r="BY386" s="406"/>
      <c r="BZ386" s="406"/>
      <c r="CA386" s="406"/>
      <c r="CB386" s="406"/>
      <c r="CC386" s="473"/>
      <c r="CD386" s="407"/>
      <c r="CE386" s="473"/>
      <c r="CF386" s="407"/>
      <c r="CG386" s="473"/>
      <c r="CH386" s="407"/>
      <c r="CI386" s="407"/>
      <c r="CJ386" s="407"/>
      <c r="CK386" s="473"/>
      <c r="CL386" s="473"/>
      <c r="CM386" s="407"/>
      <c r="CN386" s="407"/>
      <c r="CO386" s="407"/>
      <c r="CP386" s="407"/>
      <c r="CQ386" s="407"/>
      <c r="CR386" s="473"/>
      <c r="CS386" s="473"/>
      <c r="CT386" s="407"/>
      <c r="CU386" s="407"/>
      <c r="CV386" s="407"/>
      <c r="CW386" s="407"/>
      <c r="CX386" s="407"/>
      <c r="CY386" s="407"/>
      <c r="CZ386" s="407"/>
      <c r="DA386" s="407"/>
      <c r="DB386" s="407"/>
      <c r="DC386" s="408"/>
    </row>
    <row r="387" spans="1:107" ht="18">
      <c r="A387" s="347"/>
      <c r="B387" s="454" t="s">
        <v>280</v>
      </c>
      <c r="C387" s="456"/>
      <c r="D387" s="456">
        <v>176</v>
      </c>
      <c r="E387" s="350"/>
      <c r="F387" s="367"/>
      <c r="G387" s="350"/>
      <c r="H387" s="350"/>
      <c r="I387" s="350"/>
      <c r="J387" s="361"/>
      <c r="K387" s="350"/>
      <c r="L387" s="350"/>
      <c r="M387" s="350"/>
      <c r="N387" s="350"/>
      <c r="O387" s="350"/>
      <c r="P387" s="351"/>
      <c r="Q387" s="351"/>
      <c r="R387" s="351"/>
      <c r="S387" s="351"/>
      <c r="T387" s="352"/>
      <c r="U387" s="353"/>
      <c r="V387" s="353"/>
      <c r="W387" s="353"/>
      <c r="X387" s="349"/>
      <c r="Y387" s="349"/>
      <c r="Z387" s="349"/>
      <c r="AA387" s="349">
        <f>ROUNDUP(((69+5.5+4.92+2+2.5+2+1.5+10.1+(7.2*8)+(12.3*2)+8.6+4.5+3.3+17.9+2.5+1.3+13.6+6.3+2.4)*2.9)-((BE285*2)+BJ285+(BK285*4)+BL285+BM285+(BN285*28)),0)</f>
        <v>697</v>
      </c>
      <c r="AB387" s="349"/>
      <c r="AC387" s="349"/>
      <c r="AD387" s="349"/>
      <c r="AE387" s="349"/>
      <c r="AF387" s="349"/>
      <c r="AG387" s="349"/>
      <c r="AH387" s="349"/>
      <c r="AI387" s="349"/>
      <c r="AJ387" s="349"/>
      <c r="AK387" s="349"/>
      <c r="AL387" s="349"/>
      <c r="AM387" s="349"/>
      <c r="AN387" s="349"/>
      <c r="AO387" s="349"/>
      <c r="AP387" s="354"/>
      <c r="AQ387" s="352"/>
      <c r="AR387" s="389">
        <f>D387</f>
        <v>176</v>
      </c>
      <c r="AS387" s="356"/>
      <c r="AT387" s="362"/>
      <c r="AU387" s="356"/>
      <c r="AV387" s="357"/>
      <c r="AW387" s="355"/>
      <c r="AX387" s="356"/>
      <c r="AY387" s="369">
        <f t="shared" ref="AY387:AY399" si="140">AR387</f>
        <v>176</v>
      </c>
      <c r="AZ387" s="363"/>
      <c r="BA387" s="350"/>
      <c r="BB387" s="350"/>
      <c r="BC387" s="350"/>
      <c r="BD387" s="350"/>
      <c r="BE387" s="350"/>
      <c r="BF387" s="350"/>
      <c r="BG387" s="350"/>
      <c r="BH387" s="350"/>
      <c r="BI387" s="350"/>
      <c r="BJ387" s="350"/>
      <c r="BK387" s="350"/>
      <c r="BL387" s="350"/>
      <c r="BM387" s="350"/>
      <c r="BN387" s="350"/>
      <c r="BO387" s="350"/>
      <c r="BP387" s="350"/>
      <c r="BQ387" s="350"/>
      <c r="BR387" s="350"/>
      <c r="BS387" s="350"/>
      <c r="BT387" s="350"/>
      <c r="BU387" s="350"/>
      <c r="BV387" s="350"/>
      <c r="BW387" s="350"/>
      <c r="BX387" s="350"/>
      <c r="BY387" s="350"/>
      <c r="BZ387" s="350"/>
      <c r="CA387" s="350"/>
      <c r="CB387" s="361"/>
      <c r="CC387" s="392"/>
      <c r="CD387" s="351"/>
      <c r="CE387" s="351"/>
      <c r="CF387" s="351"/>
      <c r="CG387" s="351"/>
      <c r="CH387" s="351"/>
      <c r="CI387" s="351"/>
      <c r="CJ387" s="351"/>
      <c r="CK387" s="351"/>
      <c r="CL387" s="351"/>
      <c r="CM387" s="351"/>
      <c r="CN387" s="351"/>
      <c r="CO387" s="351"/>
      <c r="CP387" s="351"/>
      <c r="CQ387" s="351"/>
      <c r="CR387" s="351"/>
      <c r="CS387" s="351"/>
      <c r="CT387" s="351"/>
      <c r="CU387" s="351"/>
      <c r="CV387" s="351"/>
      <c r="CW387" s="351"/>
      <c r="CX387" s="351"/>
      <c r="CY387" s="351"/>
      <c r="CZ387" s="351"/>
      <c r="DA387" s="351"/>
      <c r="DB387" s="351"/>
      <c r="DC387" s="359"/>
    </row>
    <row r="388" spans="1:107" ht="18">
      <c r="A388" s="347"/>
      <c r="B388" s="447" t="s">
        <v>384</v>
      </c>
      <c r="C388" s="456"/>
      <c r="D388" s="456">
        <v>76</v>
      </c>
      <c r="E388" s="350"/>
      <c r="F388" s="367"/>
      <c r="G388" s="367"/>
      <c r="H388" s="350"/>
      <c r="I388" s="350"/>
      <c r="J388" s="361"/>
      <c r="K388" s="350"/>
      <c r="L388" s="350"/>
      <c r="M388" s="350"/>
      <c r="N388" s="350"/>
      <c r="O388" s="350"/>
      <c r="P388" s="351"/>
      <c r="Q388" s="351"/>
      <c r="R388" s="351"/>
      <c r="S388" s="351"/>
      <c r="T388" s="352"/>
      <c r="U388" s="353">
        <f>ROUNDUP((22*2.9)-(BM285+CB285),0)</f>
        <v>64</v>
      </c>
      <c r="V388" s="353"/>
      <c r="W388" s="353"/>
      <c r="X388" s="349"/>
      <c r="Y388" s="349"/>
      <c r="Z388" s="349"/>
      <c r="AA388" s="349">
        <f>U388</f>
        <v>64</v>
      </c>
      <c r="AB388" s="349"/>
      <c r="AC388" s="349"/>
      <c r="AD388" s="349"/>
      <c r="AE388" s="349"/>
      <c r="AF388" s="349"/>
      <c r="AG388" s="349"/>
      <c r="AH388" s="349"/>
      <c r="AI388" s="349"/>
      <c r="AJ388" s="349"/>
      <c r="AK388" s="349"/>
      <c r="AL388" s="349"/>
      <c r="AM388" s="349"/>
      <c r="AN388" s="349">
        <f>ROUNDUP(BM287+CB287,0)</f>
        <v>0</v>
      </c>
      <c r="AO388" s="349"/>
      <c r="AP388" s="354"/>
      <c r="AQ388" s="352">
        <f>ROUNDUP(BM286+CB286,0)</f>
        <v>0</v>
      </c>
      <c r="AR388" s="389">
        <f>C388</f>
        <v>0</v>
      </c>
      <c r="AS388" s="356"/>
      <c r="AT388" s="362"/>
      <c r="AU388" s="356"/>
      <c r="AV388" s="357"/>
      <c r="AW388" s="355">
        <f t="shared" ref="AW388:AW399" si="141">AA388</f>
        <v>64</v>
      </c>
      <c r="AX388" s="356"/>
      <c r="AY388" s="369">
        <f t="shared" si="140"/>
        <v>0</v>
      </c>
      <c r="AZ388" s="363"/>
      <c r="BA388" s="350"/>
      <c r="BB388" s="350"/>
      <c r="BC388" s="350"/>
      <c r="BD388" s="350"/>
      <c r="BE388" s="350"/>
      <c r="BF388" s="350"/>
      <c r="BG388" s="350"/>
      <c r="BH388" s="350"/>
      <c r="BI388" s="350"/>
      <c r="BJ388" s="350"/>
      <c r="BK388" s="350"/>
      <c r="BL388" s="350"/>
      <c r="BM388" s="361">
        <v>1</v>
      </c>
      <c r="BN388" s="350"/>
      <c r="BO388" s="350"/>
      <c r="BP388" s="350"/>
      <c r="BQ388" s="350"/>
      <c r="BR388" s="350"/>
      <c r="BS388" s="350"/>
      <c r="BT388" s="350"/>
      <c r="BU388" s="350"/>
      <c r="BV388" s="350"/>
      <c r="BW388" s="350"/>
      <c r="BX388" s="350"/>
      <c r="BY388" s="350"/>
      <c r="BZ388" s="350"/>
      <c r="CA388" s="350"/>
      <c r="CB388" s="361">
        <v>1</v>
      </c>
      <c r="CC388" s="392"/>
      <c r="CD388" s="351"/>
      <c r="CE388" s="351"/>
      <c r="CF388" s="351"/>
      <c r="CG388" s="351"/>
      <c r="CH388" s="351"/>
      <c r="CI388" s="351"/>
      <c r="CJ388" s="351"/>
      <c r="CK388" s="351"/>
      <c r="CL388" s="351"/>
      <c r="CM388" s="351"/>
      <c r="CN388" s="351"/>
      <c r="CO388" s="351"/>
      <c r="CP388" s="351"/>
      <c r="CQ388" s="351"/>
      <c r="CR388" s="351"/>
      <c r="CS388" s="351"/>
      <c r="CT388" s="351"/>
      <c r="CU388" s="351"/>
      <c r="CV388" s="351"/>
      <c r="CW388" s="351"/>
      <c r="CX388" s="351"/>
      <c r="CY388" s="351"/>
      <c r="CZ388" s="351"/>
      <c r="DA388" s="351"/>
      <c r="DB388" s="351"/>
      <c r="DC388" s="359"/>
    </row>
    <row r="389" spans="1:107" ht="18">
      <c r="A389" s="347"/>
      <c r="B389" s="447" t="s">
        <v>269</v>
      </c>
      <c r="C389" s="456"/>
      <c r="D389" s="456">
        <v>888</v>
      </c>
      <c r="E389" s="350"/>
      <c r="F389" s="367"/>
      <c r="G389" s="367"/>
      <c r="H389" s="350"/>
      <c r="I389" s="350"/>
      <c r="J389" s="361"/>
      <c r="K389" s="350"/>
      <c r="L389" s="350"/>
      <c r="M389" s="350"/>
      <c r="N389" s="350"/>
      <c r="O389" s="350"/>
      <c r="P389" s="351"/>
      <c r="Q389" s="351"/>
      <c r="R389" s="351"/>
      <c r="S389" s="351"/>
      <c r="T389" s="352"/>
      <c r="U389" s="353">
        <f>ROUNDUP((21.83*4.7)-(BG285+CA285),0)</f>
        <v>103</v>
      </c>
      <c r="V389" s="353"/>
      <c r="W389" s="353"/>
      <c r="X389" s="349"/>
      <c r="Y389" s="349"/>
      <c r="Z389" s="349">
        <f>ROUNDUP(((6+3.3)*4.7)-BW285,0)</f>
        <v>43</v>
      </c>
      <c r="AA389" s="349">
        <f>U389</f>
        <v>103</v>
      </c>
      <c r="AB389" s="349"/>
      <c r="AC389" s="349"/>
      <c r="AD389" s="349"/>
      <c r="AE389" s="349"/>
      <c r="AF389" s="349"/>
      <c r="AG389" s="349"/>
      <c r="AH389" s="349"/>
      <c r="AI389" s="349"/>
      <c r="AJ389" s="349"/>
      <c r="AK389" s="349"/>
      <c r="AL389" s="349"/>
      <c r="AM389" s="349"/>
      <c r="AN389" s="349">
        <f>ROUNDUP(BG287+BW287,0)</f>
        <v>0</v>
      </c>
      <c r="AO389" s="349"/>
      <c r="AP389" s="354"/>
      <c r="AQ389" s="352">
        <f>ROUNDUP(BG286+BW286,0)</f>
        <v>0</v>
      </c>
      <c r="AR389" s="389">
        <f>C389</f>
        <v>0</v>
      </c>
      <c r="AS389" s="356"/>
      <c r="AT389" s="362"/>
      <c r="AU389" s="356"/>
      <c r="AV389" s="357"/>
      <c r="AW389" s="355">
        <f t="shared" si="141"/>
        <v>103</v>
      </c>
      <c r="AX389" s="356">
        <f t="shared" ref="AX389:AX399" si="142">Z389</f>
        <v>43</v>
      </c>
      <c r="AY389" s="369">
        <f t="shared" si="140"/>
        <v>0</v>
      </c>
      <c r="AZ389" s="363"/>
      <c r="BA389" s="350"/>
      <c r="BB389" s="350"/>
      <c r="BC389" s="350"/>
      <c r="BD389" s="350"/>
      <c r="BE389" s="361">
        <v>1</v>
      </c>
      <c r="BF389" s="361"/>
      <c r="BG389" s="361"/>
      <c r="BH389" s="350"/>
      <c r="BI389" s="350"/>
      <c r="BJ389" s="350"/>
      <c r="BK389" s="350"/>
      <c r="BL389" s="350"/>
      <c r="BM389" s="361"/>
      <c r="BN389" s="350"/>
      <c r="BO389" s="350"/>
      <c r="BP389" s="350"/>
      <c r="BQ389" s="350"/>
      <c r="BR389" s="350"/>
      <c r="BS389" s="350"/>
      <c r="BT389" s="350"/>
      <c r="BU389" s="350"/>
      <c r="BV389" s="350"/>
      <c r="BW389" s="350"/>
      <c r="BX389" s="350"/>
      <c r="BY389" s="350"/>
      <c r="BZ389" s="350"/>
      <c r="CA389" s="361">
        <v>1</v>
      </c>
      <c r="CB389" s="361"/>
      <c r="CC389" s="392"/>
      <c r="CD389" s="351"/>
      <c r="CE389" s="351"/>
      <c r="CF389" s="351"/>
      <c r="CG389" s="351"/>
      <c r="CH389" s="351"/>
      <c r="CI389" s="351"/>
      <c r="CJ389" s="351"/>
      <c r="CK389" s="351"/>
      <c r="CL389" s="351"/>
      <c r="CM389" s="351"/>
      <c r="CN389" s="351"/>
      <c r="CO389" s="351"/>
      <c r="CP389" s="351"/>
      <c r="CQ389" s="351"/>
      <c r="CR389" s="351"/>
      <c r="CS389" s="351"/>
      <c r="CT389" s="351"/>
      <c r="CU389" s="351"/>
      <c r="CV389" s="351"/>
      <c r="CW389" s="351"/>
      <c r="CX389" s="351"/>
      <c r="CY389" s="351"/>
      <c r="CZ389" s="351"/>
      <c r="DA389" s="351"/>
      <c r="DB389" s="351"/>
      <c r="DC389" s="359"/>
    </row>
    <row r="390" spans="1:107" ht="18">
      <c r="A390" s="347"/>
      <c r="B390" s="447" t="s">
        <v>281</v>
      </c>
      <c r="C390" s="456">
        <v>12</v>
      </c>
      <c r="D390" s="350"/>
      <c r="E390" s="350"/>
      <c r="F390" s="367"/>
      <c r="G390" s="350"/>
      <c r="H390" s="350"/>
      <c r="I390" s="350"/>
      <c r="J390" s="361"/>
      <c r="K390" s="350"/>
      <c r="L390" s="350"/>
      <c r="M390" s="350"/>
      <c r="N390" s="350"/>
      <c r="O390" s="350"/>
      <c r="P390" s="351"/>
      <c r="Q390" s="351"/>
      <c r="R390" s="351"/>
      <c r="S390" s="351"/>
      <c r="T390" s="352"/>
      <c r="U390" s="353">
        <f>ROUNDUP(((5.8*2)*4.7)-BJ285,0)</f>
        <v>55</v>
      </c>
      <c r="V390" s="353">
        <f>ROUNDUP((3.11*2)*4.7,0)</f>
        <v>30</v>
      </c>
      <c r="W390" s="353"/>
      <c r="X390" s="349"/>
      <c r="Y390" s="349"/>
      <c r="Z390" s="349">
        <f>ROUNDUP((11.3*4.7)-(BJ285+CB285),0)</f>
        <v>54</v>
      </c>
      <c r="AA390" s="349">
        <f>ROUNDUP((U390/2)+(V390*2),0)</f>
        <v>88</v>
      </c>
      <c r="AB390" s="349"/>
      <c r="AC390" s="349"/>
      <c r="AD390" s="349"/>
      <c r="AE390" s="349"/>
      <c r="AF390" s="349"/>
      <c r="AG390" s="349"/>
      <c r="AH390" s="349"/>
      <c r="AI390" s="349"/>
      <c r="AJ390" s="349"/>
      <c r="AK390" s="349"/>
      <c r="AL390" s="349"/>
      <c r="AM390" s="349"/>
      <c r="AN390" s="349">
        <f>ROUNDUP((3*4.7)+BJ287,0)</f>
        <v>15</v>
      </c>
      <c r="AO390" s="349"/>
      <c r="AP390" s="354"/>
      <c r="AQ390" s="352">
        <f>BJ286</f>
        <v>0</v>
      </c>
      <c r="AR390" s="389">
        <f>C390</f>
        <v>12</v>
      </c>
      <c r="AS390" s="356"/>
      <c r="AT390" s="362"/>
      <c r="AU390" s="356"/>
      <c r="AV390" s="357"/>
      <c r="AW390" s="355">
        <f t="shared" si="141"/>
        <v>88</v>
      </c>
      <c r="AX390" s="356">
        <f t="shared" si="142"/>
        <v>54</v>
      </c>
      <c r="AY390" s="369">
        <f t="shared" si="140"/>
        <v>12</v>
      </c>
      <c r="AZ390" s="363"/>
      <c r="BA390" s="350"/>
      <c r="BB390" s="350"/>
      <c r="BC390" s="350"/>
      <c r="BD390" s="350"/>
      <c r="BE390" s="350"/>
      <c r="BF390" s="350"/>
      <c r="BG390" s="350"/>
      <c r="BH390" s="350"/>
      <c r="BI390" s="350"/>
      <c r="BJ390" s="361">
        <v>1</v>
      </c>
      <c r="BK390" s="350"/>
      <c r="BL390" s="350"/>
      <c r="BM390" s="350"/>
      <c r="BN390" s="350"/>
      <c r="BO390" s="350"/>
      <c r="BP390" s="350"/>
      <c r="BQ390" s="350"/>
      <c r="BR390" s="350"/>
      <c r="BS390" s="350"/>
      <c r="BT390" s="350"/>
      <c r="BU390" s="350"/>
      <c r="BV390" s="350"/>
      <c r="BW390" s="350"/>
      <c r="BX390" s="350"/>
      <c r="BY390" s="350"/>
      <c r="BZ390" s="350"/>
      <c r="CA390" s="350"/>
      <c r="CB390" s="350"/>
      <c r="CC390" s="351"/>
      <c r="CD390" s="351"/>
      <c r="CE390" s="351"/>
      <c r="CF390" s="351"/>
      <c r="CG390" s="351"/>
      <c r="CH390" s="351"/>
      <c r="CI390" s="351"/>
      <c r="CJ390" s="351"/>
      <c r="CK390" s="351"/>
      <c r="CL390" s="351"/>
      <c r="CM390" s="351"/>
      <c r="CN390" s="351"/>
      <c r="CO390" s="351"/>
      <c r="CP390" s="351"/>
      <c r="CQ390" s="351"/>
      <c r="CR390" s="351"/>
      <c r="CS390" s="351"/>
      <c r="CT390" s="351"/>
      <c r="CU390" s="351"/>
      <c r="CV390" s="351"/>
      <c r="CW390" s="351"/>
      <c r="CX390" s="351"/>
      <c r="CY390" s="351"/>
      <c r="CZ390" s="351"/>
      <c r="DA390" s="351"/>
      <c r="DB390" s="351"/>
      <c r="DC390" s="359"/>
    </row>
    <row r="391" spans="1:107" s="59" customFormat="1" ht="18">
      <c r="A391" s="365"/>
      <c r="B391" s="447" t="s">
        <v>288</v>
      </c>
      <c r="C391" s="456">
        <v>24</v>
      </c>
      <c r="D391" s="456"/>
      <c r="E391" s="367"/>
      <c r="F391" s="349"/>
      <c r="G391" s="349"/>
      <c r="H391" s="349"/>
      <c r="I391" s="349"/>
      <c r="J391" s="349"/>
      <c r="K391" s="349"/>
      <c r="L391" s="349"/>
      <c r="M391" s="349"/>
      <c r="N391" s="349"/>
      <c r="O391" s="349"/>
      <c r="P391" s="354"/>
      <c r="Q391" s="354"/>
      <c r="R391" s="354"/>
      <c r="S391" s="354"/>
      <c r="T391" s="352"/>
      <c r="U391" s="353">
        <f>ROUNDUP((39*2.9)-(BE285+CA285),0)</f>
        <v>114</v>
      </c>
      <c r="V391" s="353"/>
      <c r="W391" s="353"/>
      <c r="X391" s="349"/>
      <c r="Y391" s="349"/>
      <c r="Z391" s="349"/>
      <c r="AA391" s="349">
        <f>U391</f>
        <v>114</v>
      </c>
      <c r="AB391" s="349"/>
      <c r="AC391" s="349"/>
      <c r="AD391" s="349"/>
      <c r="AE391" s="349"/>
      <c r="AF391" s="349"/>
      <c r="AG391" s="349"/>
      <c r="AH391" s="349"/>
      <c r="AI391" s="349"/>
      <c r="AJ391" s="349"/>
      <c r="AK391" s="349"/>
      <c r="AL391" s="349"/>
      <c r="AM391" s="349"/>
      <c r="AN391" s="349">
        <f>ROUNDUP(BE287+CA287,0)</f>
        <v>0</v>
      </c>
      <c r="AO391" s="349"/>
      <c r="AP391" s="354"/>
      <c r="AQ391" s="352">
        <f>ROUNDUP(BE286+CA286,0)</f>
        <v>0</v>
      </c>
      <c r="AR391" s="366">
        <f>D391</f>
        <v>0</v>
      </c>
      <c r="AS391" s="349"/>
      <c r="AT391" s="349"/>
      <c r="AU391" s="349"/>
      <c r="AV391" s="352"/>
      <c r="AW391" s="355">
        <f t="shared" si="141"/>
        <v>114</v>
      </c>
      <c r="AX391" s="356">
        <f t="shared" si="142"/>
        <v>0</v>
      </c>
      <c r="AY391" s="369">
        <f t="shared" si="140"/>
        <v>0</v>
      </c>
      <c r="AZ391" s="353"/>
      <c r="BA391" s="349"/>
      <c r="BB391" s="349"/>
      <c r="BC391" s="349"/>
      <c r="BD391" s="349"/>
      <c r="BE391" s="349"/>
      <c r="BF391" s="349"/>
      <c r="BG391" s="409">
        <v>1</v>
      </c>
      <c r="BH391" s="349"/>
      <c r="BI391" s="349"/>
      <c r="BJ391" s="349"/>
      <c r="BK391" s="349"/>
      <c r="BL391" s="349"/>
      <c r="BM391" s="349"/>
      <c r="BN391" s="367"/>
      <c r="BO391" s="367"/>
      <c r="BP391" s="367"/>
      <c r="BQ391" s="349"/>
      <c r="BR391" s="349"/>
      <c r="BS391" s="349"/>
      <c r="BT391" s="349"/>
      <c r="BU391" s="349"/>
      <c r="BV391" s="349"/>
      <c r="BW391" s="367"/>
      <c r="BX391" s="367"/>
      <c r="BY391" s="349"/>
      <c r="BZ391" s="349"/>
      <c r="CA391" s="367">
        <v>1</v>
      </c>
      <c r="CB391" s="349"/>
      <c r="CC391" s="354"/>
      <c r="CD391" s="354"/>
      <c r="CE391" s="354"/>
      <c r="CF391" s="354"/>
      <c r="CG391" s="354"/>
      <c r="CH391" s="354"/>
      <c r="CI391" s="354"/>
      <c r="CJ391" s="354"/>
      <c r="CK391" s="354"/>
      <c r="CL391" s="354"/>
      <c r="CM391" s="354"/>
      <c r="CN391" s="354"/>
      <c r="CO391" s="354"/>
      <c r="CP391" s="354"/>
      <c r="CQ391" s="354"/>
      <c r="CR391" s="354"/>
      <c r="CS391" s="354"/>
      <c r="CT391" s="354"/>
      <c r="CU391" s="354"/>
      <c r="CV391" s="354"/>
      <c r="CW391" s="354"/>
      <c r="CX391" s="354"/>
      <c r="CY391" s="354"/>
      <c r="CZ391" s="354"/>
      <c r="DA391" s="354"/>
      <c r="DB391" s="354"/>
      <c r="DC391" s="352"/>
    </row>
    <row r="392" spans="1:107" s="59" customFormat="1" ht="18">
      <c r="A392" s="365"/>
      <c r="B392" s="447" t="s">
        <v>282</v>
      </c>
      <c r="C392" s="462"/>
      <c r="D392" s="367"/>
      <c r="E392" s="462">
        <v>35</v>
      </c>
      <c r="F392" s="349"/>
      <c r="G392" s="349"/>
      <c r="H392" s="349"/>
      <c r="I392" s="349"/>
      <c r="J392" s="349"/>
      <c r="K392" s="349"/>
      <c r="L392" s="349"/>
      <c r="M392" s="349"/>
      <c r="N392" s="349"/>
      <c r="O392" s="349"/>
      <c r="P392" s="354"/>
      <c r="Q392" s="354"/>
      <c r="R392" s="354"/>
      <c r="S392" s="354"/>
      <c r="T392" s="352"/>
      <c r="U392" s="353">
        <f>ROUNDUP((28*2.9)-(BN285+BW285),0)</f>
        <v>81</v>
      </c>
      <c r="V392" s="353"/>
      <c r="W392" s="353"/>
      <c r="X392" s="349"/>
      <c r="Y392" s="349"/>
      <c r="Z392" s="349">
        <f>ROUNDUP(((5.6+(1.5*2)+(0.3*2))*3.8)-BW285,0)</f>
        <v>34</v>
      </c>
      <c r="AA392" s="349">
        <f t="shared" ref="AA392:AA399" si="143">U392</f>
        <v>81</v>
      </c>
      <c r="AB392" s="349"/>
      <c r="AC392" s="349"/>
      <c r="AD392" s="349"/>
      <c r="AE392" s="349"/>
      <c r="AF392" s="349"/>
      <c r="AG392" s="349"/>
      <c r="AH392" s="349"/>
      <c r="AI392" s="349"/>
      <c r="AJ392" s="349"/>
      <c r="AK392" s="349"/>
      <c r="AL392" s="349"/>
      <c r="AM392" s="349"/>
      <c r="AN392" s="349">
        <f>ROUNDUP(BN287+BW287,0)</f>
        <v>0</v>
      </c>
      <c r="AO392" s="349"/>
      <c r="AP392" s="354"/>
      <c r="AQ392" s="352">
        <f>ROUNDUP(BN286+BW286,0)</f>
        <v>0</v>
      </c>
      <c r="AR392" s="366">
        <f t="shared" ref="AR392:AR398" si="144">D392</f>
        <v>0</v>
      </c>
      <c r="AS392" s="349"/>
      <c r="AT392" s="349"/>
      <c r="AU392" s="349"/>
      <c r="AV392" s="352"/>
      <c r="AW392" s="355">
        <f t="shared" si="141"/>
        <v>81</v>
      </c>
      <c r="AX392" s="356">
        <f t="shared" si="142"/>
        <v>34</v>
      </c>
      <c r="AY392" s="369">
        <f t="shared" si="140"/>
        <v>0</v>
      </c>
      <c r="AZ392" s="353"/>
      <c r="BA392" s="367"/>
      <c r="BB392" s="367"/>
      <c r="BC392" s="367"/>
      <c r="BD392" s="349"/>
      <c r="BE392" s="349"/>
      <c r="BF392" s="349"/>
      <c r="BG392" s="349"/>
      <c r="BH392" s="349"/>
      <c r="BI392" s="349"/>
      <c r="BJ392" s="349"/>
      <c r="BK392" s="349"/>
      <c r="BL392" s="349"/>
      <c r="BM392" s="349"/>
      <c r="BN392" s="367">
        <v>1</v>
      </c>
      <c r="BO392" s="349"/>
      <c r="BP392" s="349"/>
      <c r="BQ392" s="349"/>
      <c r="BR392" s="349"/>
      <c r="BS392" s="349"/>
      <c r="BT392" s="349"/>
      <c r="BU392" s="349"/>
      <c r="BV392" s="349"/>
      <c r="BW392" s="367">
        <v>1</v>
      </c>
      <c r="BX392" s="367"/>
      <c r="BY392" s="367"/>
      <c r="BZ392" s="349"/>
      <c r="CA392" s="349"/>
      <c r="CB392" s="349"/>
      <c r="CC392" s="354"/>
      <c r="CD392" s="354"/>
      <c r="CE392" s="354"/>
      <c r="CF392" s="354"/>
      <c r="CG392" s="354"/>
      <c r="CH392" s="354"/>
      <c r="CI392" s="354"/>
      <c r="CJ392" s="354"/>
      <c r="CK392" s="354"/>
      <c r="CL392" s="354"/>
      <c r="CM392" s="354"/>
      <c r="CN392" s="354"/>
      <c r="CO392" s="354"/>
      <c r="CP392" s="354"/>
      <c r="CQ392" s="354"/>
      <c r="CR392" s="354"/>
      <c r="CS392" s="354"/>
      <c r="CT392" s="354"/>
      <c r="CU392" s="354"/>
      <c r="CV392" s="354"/>
      <c r="CW392" s="354"/>
      <c r="CX392" s="354"/>
      <c r="CY392" s="354"/>
      <c r="CZ392" s="354"/>
      <c r="DA392" s="354"/>
      <c r="DB392" s="354"/>
      <c r="DC392" s="352"/>
    </row>
    <row r="393" spans="1:107" s="59" customFormat="1" ht="18">
      <c r="A393" s="365"/>
      <c r="B393" s="447" t="s">
        <v>283</v>
      </c>
      <c r="C393" s="462"/>
      <c r="D393" s="367"/>
      <c r="E393" s="462">
        <v>35</v>
      </c>
      <c r="F393" s="349"/>
      <c r="G393" s="349"/>
      <c r="H393" s="349"/>
      <c r="I393" s="349"/>
      <c r="J393" s="349"/>
      <c r="K393" s="349"/>
      <c r="L393" s="349"/>
      <c r="M393" s="349"/>
      <c r="N393" s="349"/>
      <c r="O393" s="349"/>
      <c r="P393" s="354"/>
      <c r="Q393" s="354"/>
      <c r="R393" s="354"/>
      <c r="S393" s="354"/>
      <c r="T393" s="352"/>
      <c r="U393" s="353">
        <f>ROUNDUP((28*2.9)-(BN285+BW285),0)</f>
        <v>81</v>
      </c>
      <c r="V393" s="353"/>
      <c r="W393" s="353"/>
      <c r="X393" s="349"/>
      <c r="Y393" s="349"/>
      <c r="Z393" s="349">
        <f>ROUNDUP(((5.6+(1.5*2)+(0.3*2))*3.8)-BW285,0)</f>
        <v>34</v>
      </c>
      <c r="AA393" s="349">
        <f t="shared" si="143"/>
        <v>81</v>
      </c>
      <c r="AB393" s="349"/>
      <c r="AC393" s="349"/>
      <c r="AD393" s="349"/>
      <c r="AE393" s="349"/>
      <c r="AF393" s="349"/>
      <c r="AG393" s="349"/>
      <c r="AH393" s="349"/>
      <c r="AI393" s="349"/>
      <c r="AJ393" s="349"/>
      <c r="AK393" s="349"/>
      <c r="AL393" s="349"/>
      <c r="AM393" s="349"/>
      <c r="AN393" s="349">
        <f>ROUNDUP(BN287+BW287,0)</f>
        <v>0</v>
      </c>
      <c r="AO393" s="349"/>
      <c r="AP393" s="354"/>
      <c r="AQ393" s="352">
        <f>ROUNDUP(BN286+BW286,0)</f>
        <v>0</v>
      </c>
      <c r="AR393" s="366">
        <f t="shared" si="144"/>
        <v>0</v>
      </c>
      <c r="AS393" s="349"/>
      <c r="AT393" s="349"/>
      <c r="AU393" s="349"/>
      <c r="AV393" s="352"/>
      <c r="AW393" s="355">
        <f t="shared" si="141"/>
        <v>81</v>
      </c>
      <c r="AX393" s="356">
        <f t="shared" si="142"/>
        <v>34</v>
      </c>
      <c r="AY393" s="369">
        <f t="shared" si="140"/>
        <v>0</v>
      </c>
      <c r="AZ393" s="353"/>
      <c r="BA393" s="349"/>
      <c r="BB393" s="367">
        <v>1</v>
      </c>
      <c r="BC393" s="349"/>
      <c r="BD393" s="349"/>
      <c r="BE393" s="349"/>
      <c r="BF393" s="349"/>
      <c r="BG393" s="349"/>
      <c r="BH393" s="349"/>
      <c r="BI393" s="349"/>
      <c r="BJ393" s="349"/>
      <c r="BK393" s="349"/>
      <c r="BL393" s="349"/>
      <c r="BM393" s="349"/>
      <c r="BN393" s="367">
        <v>1</v>
      </c>
      <c r="BO393" s="349"/>
      <c r="BP393" s="349"/>
      <c r="BQ393" s="349"/>
      <c r="BR393" s="349"/>
      <c r="BS393" s="349"/>
      <c r="BT393" s="349"/>
      <c r="BU393" s="349"/>
      <c r="BV393" s="349"/>
      <c r="BW393" s="367">
        <v>1</v>
      </c>
      <c r="BX393" s="367"/>
      <c r="BY393" s="367"/>
      <c r="BZ393" s="349"/>
      <c r="CA393" s="349"/>
      <c r="CB393" s="349"/>
      <c r="CC393" s="354"/>
      <c r="CD393" s="354"/>
      <c r="CE393" s="354"/>
      <c r="CF393" s="354"/>
      <c r="CG393" s="354"/>
      <c r="CH393" s="354"/>
      <c r="CI393" s="354"/>
      <c r="CJ393" s="354"/>
      <c r="CK393" s="354"/>
      <c r="CL393" s="354"/>
      <c r="CM393" s="354"/>
      <c r="CN393" s="354"/>
      <c r="CO393" s="354"/>
      <c r="CP393" s="354"/>
      <c r="CQ393" s="354"/>
      <c r="CR393" s="354"/>
      <c r="CS393" s="354"/>
      <c r="CT393" s="354"/>
      <c r="CU393" s="354"/>
      <c r="CV393" s="354"/>
      <c r="CW393" s="354"/>
      <c r="CX393" s="354"/>
      <c r="CY393" s="354"/>
      <c r="CZ393" s="354"/>
      <c r="DA393" s="354"/>
      <c r="DB393" s="354"/>
      <c r="DC393" s="352"/>
    </row>
    <row r="394" spans="1:107" s="59" customFormat="1" ht="18">
      <c r="A394" s="365"/>
      <c r="B394" s="447" t="s">
        <v>382</v>
      </c>
      <c r="C394" s="462"/>
      <c r="D394" s="462">
        <v>77</v>
      </c>
      <c r="E394" s="367"/>
      <c r="F394" s="349"/>
      <c r="G394" s="349"/>
      <c r="H394" s="349"/>
      <c r="I394" s="349"/>
      <c r="J394" s="349"/>
      <c r="K394" s="349"/>
      <c r="L394" s="349"/>
      <c r="M394" s="349"/>
      <c r="N394" s="349"/>
      <c r="O394" s="349"/>
      <c r="P394" s="354"/>
      <c r="Q394" s="354"/>
      <c r="R394" s="354"/>
      <c r="S394" s="354"/>
      <c r="T394" s="352"/>
      <c r="U394" s="353">
        <f>ROUNDUP((28*2.9)-(BN285+BW285),0)</f>
        <v>81</v>
      </c>
      <c r="V394" s="353"/>
      <c r="W394" s="353"/>
      <c r="X394" s="349"/>
      <c r="Y394" s="349"/>
      <c r="Z394" s="349">
        <f>ROUNDUP(((5.6+(1.5*2)+(0.3*2))*3.8)-BW285,0)</f>
        <v>34</v>
      </c>
      <c r="AA394" s="349">
        <f t="shared" si="143"/>
        <v>81</v>
      </c>
      <c r="AB394" s="349"/>
      <c r="AC394" s="349"/>
      <c r="AD394" s="349"/>
      <c r="AE394" s="349"/>
      <c r="AF394" s="349"/>
      <c r="AG394" s="349"/>
      <c r="AH394" s="349"/>
      <c r="AI394" s="349"/>
      <c r="AJ394" s="349"/>
      <c r="AK394" s="349"/>
      <c r="AL394" s="349"/>
      <c r="AM394" s="349"/>
      <c r="AN394" s="349">
        <f>ROUNDUP(BN287+BW287,0)</f>
        <v>0</v>
      </c>
      <c r="AO394" s="349"/>
      <c r="AP394" s="354"/>
      <c r="AQ394" s="352">
        <f>ROUNDUP(BN286+BW286,0)</f>
        <v>0</v>
      </c>
      <c r="AR394" s="366">
        <f t="shared" si="144"/>
        <v>77</v>
      </c>
      <c r="AS394" s="349"/>
      <c r="AT394" s="349"/>
      <c r="AU394" s="349"/>
      <c r="AV394" s="352"/>
      <c r="AW394" s="355">
        <f t="shared" si="141"/>
        <v>81</v>
      </c>
      <c r="AX394" s="356">
        <f t="shared" si="142"/>
        <v>34</v>
      </c>
      <c r="AY394" s="369">
        <f t="shared" si="140"/>
        <v>77</v>
      </c>
      <c r="AZ394" s="353"/>
      <c r="BA394" s="367">
        <v>1</v>
      </c>
      <c r="BB394" s="349"/>
      <c r="BC394" s="349"/>
      <c r="BD394" s="349"/>
      <c r="BE394" s="349"/>
      <c r="BF394" s="349"/>
      <c r="BG394" s="349"/>
      <c r="BH394" s="349"/>
      <c r="BI394" s="349"/>
      <c r="BJ394" s="349"/>
      <c r="BK394" s="349"/>
      <c r="BL394" s="349"/>
      <c r="BM394" s="349"/>
      <c r="BN394" s="367">
        <v>1</v>
      </c>
      <c r="BO394" s="349"/>
      <c r="BP394" s="349"/>
      <c r="BQ394" s="349"/>
      <c r="BR394" s="349"/>
      <c r="BS394" s="349"/>
      <c r="BT394" s="349"/>
      <c r="BU394" s="349"/>
      <c r="BV394" s="349"/>
      <c r="BW394" s="367">
        <v>1</v>
      </c>
      <c r="BX394" s="367"/>
      <c r="BY394" s="367"/>
      <c r="BZ394" s="367"/>
      <c r="CA394" s="349"/>
      <c r="CB394" s="349"/>
      <c r="CC394" s="354"/>
      <c r="CD394" s="354"/>
      <c r="CE394" s="354"/>
      <c r="CF394" s="354"/>
      <c r="CG394" s="354"/>
      <c r="CH394" s="354"/>
      <c r="CI394" s="354"/>
      <c r="CJ394" s="354"/>
      <c r="CK394" s="354"/>
      <c r="CL394" s="354"/>
      <c r="CM394" s="354"/>
      <c r="CN394" s="354"/>
      <c r="CO394" s="354"/>
      <c r="CP394" s="354"/>
      <c r="CQ394" s="354"/>
      <c r="CR394" s="354"/>
      <c r="CS394" s="354"/>
      <c r="CT394" s="354"/>
      <c r="CU394" s="354"/>
      <c r="CV394" s="354"/>
      <c r="CW394" s="354"/>
      <c r="CX394" s="354"/>
      <c r="CY394" s="354"/>
      <c r="CZ394" s="354"/>
      <c r="DA394" s="354"/>
      <c r="DB394" s="354"/>
      <c r="DC394" s="352"/>
    </row>
    <row r="395" spans="1:107" s="59" customFormat="1" ht="18">
      <c r="A395" s="368"/>
      <c r="B395" s="447" t="s">
        <v>383</v>
      </c>
      <c r="C395" s="462"/>
      <c r="D395" s="462">
        <v>378</v>
      </c>
      <c r="E395" s="367"/>
      <c r="F395" s="349"/>
      <c r="G395" s="349"/>
      <c r="H395" s="349"/>
      <c r="I395" s="349"/>
      <c r="J395" s="349"/>
      <c r="K395" s="349"/>
      <c r="L395" s="349"/>
      <c r="M395" s="349"/>
      <c r="N395" s="349"/>
      <c r="O395" s="349"/>
      <c r="P395" s="354"/>
      <c r="Q395" s="354"/>
      <c r="R395" s="354"/>
      <c r="S395" s="354"/>
      <c r="T395" s="352"/>
      <c r="U395" s="353">
        <f>ROUNDUP((28*2.9)-(BN285+BW285),0)</f>
        <v>81</v>
      </c>
      <c r="V395" s="353"/>
      <c r="W395" s="353"/>
      <c r="X395" s="349"/>
      <c r="Y395" s="349"/>
      <c r="Z395" s="349">
        <f>ROUNDUP(((5.6+(1.5*2)+(0.3*2))*3.8)-BW285,0)</f>
        <v>34</v>
      </c>
      <c r="AA395" s="349">
        <f t="shared" si="143"/>
        <v>81</v>
      </c>
      <c r="AB395" s="349"/>
      <c r="AC395" s="349"/>
      <c r="AD395" s="349"/>
      <c r="AE395" s="349"/>
      <c r="AF395" s="349"/>
      <c r="AG395" s="349"/>
      <c r="AH395" s="349"/>
      <c r="AI395" s="349"/>
      <c r="AJ395" s="349"/>
      <c r="AK395" s="349"/>
      <c r="AL395" s="349"/>
      <c r="AM395" s="349"/>
      <c r="AN395" s="349">
        <f>ROUNDUP(BN287+BW287,0)</f>
        <v>0</v>
      </c>
      <c r="AO395" s="349"/>
      <c r="AP395" s="354"/>
      <c r="AQ395" s="352">
        <f>ROUNDUP(BN286+BW286,0)</f>
        <v>0</v>
      </c>
      <c r="AR395" s="366">
        <f t="shared" si="144"/>
        <v>378</v>
      </c>
      <c r="AS395" s="349"/>
      <c r="AT395" s="349"/>
      <c r="AU395" s="349"/>
      <c r="AV395" s="352"/>
      <c r="AW395" s="355">
        <f t="shared" si="141"/>
        <v>81</v>
      </c>
      <c r="AX395" s="356">
        <f t="shared" si="142"/>
        <v>34</v>
      </c>
      <c r="AY395" s="369">
        <f t="shared" si="140"/>
        <v>378</v>
      </c>
      <c r="AZ395" s="353"/>
      <c r="BA395" s="349"/>
      <c r="BB395" s="349"/>
      <c r="BC395" s="349"/>
      <c r="BD395" s="349"/>
      <c r="BE395" s="349"/>
      <c r="BF395" s="349"/>
      <c r="BG395" s="367"/>
      <c r="BH395" s="349"/>
      <c r="BI395" s="349"/>
      <c r="BJ395" s="349"/>
      <c r="BK395" s="349"/>
      <c r="BL395" s="349"/>
      <c r="BM395" s="349"/>
      <c r="BN395" s="367">
        <v>1</v>
      </c>
      <c r="BO395" s="349"/>
      <c r="BP395" s="349"/>
      <c r="BQ395" s="349"/>
      <c r="BR395" s="349"/>
      <c r="BS395" s="349"/>
      <c r="BT395" s="349"/>
      <c r="BU395" s="349"/>
      <c r="BV395" s="349"/>
      <c r="BW395" s="367">
        <v>1</v>
      </c>
      <c r="BX395" s="367"/>
      <c r="BY395" s="349"/>
      <c r="BZ395" s="349"/>
      <c r="CA395" s="349"/>
      <c r="CB395" s="349"/>
      <c r="CC395" s="354"/>
      <c r="CD395" s="354"/>
      <c r="CE395" s="354"/>
      <c r="CF395" s="354"/>
      <c r="CG395" s="354"/>
      <c r="CH395" s="354"/>
      <c r="CI395" s="354"/>
      <c r="CJ395" s="354"/>
      <c r="CK395" s="354"/>
      <c r="CL395" s="354"/>
      <c r="CM395" s="354"/>
      <c r="CN395" s="354"/>
      <c r="CO395" s="354"/>
      <c r="CP395" s="354"/>
      <c r="CQ395" s="354"/>
      <c r="CR395" s="354"/>
      <c r="CS395" s="354"/>
      <c r="CT395" s="354"/>
      <c r="CU395" s="354"/>
      <c r="CV395" s="354"/>
      <c r="CW395" s="354"/>
      <c r="CX395" s="354"/>
      <c r="CY395" s="354"/>
      <c r="CZ395" s="354"/>
      <c r="DA395" s="354"/>
      <c r="DB395" s="354"/>
      <c r="DC395" s="352"/>
    </row>
    <row r="396" spans="1:107" s="59" customFormat="1" ht="18">
      <c r="A396" s="365"/>
      <c r="B396" s="447" t="s">
        <v>284</v>
      </c>
      <c r="C396" s="462"/>
      <c r="D396" s="462">
        <v>15</v>
      </c>
      <c r="E396" s="367"/>
      <c r="F396" s="349"/>
      <c r="G396" s="349"/>
      <c r="H396" s="349"/>
      <c r="I396" s="349"/>
      <c r="J396" s="349"/>
      <c r="K396" s="349"/>
      <c r="L396" s="349"/>
      <c r="M396" s="349"/>
      <c r="N396" s="349"/>
      <c r="O396" s="349"/>
      <c r="P396" s="354"/>
      <c r="Q396" s="354"/>
      <c r="R396" s="354"/>
      <c r="S396" s="354"/>
      <c r="T396" s="352"/>
      <c r="U396" s="353">
        <f>ROUNDUP((28*2.9)-(BN285+BW285),0)</f>
        <v>81</v>
      </c>
      <c r="V396" s="353"/>
      <c r="W396" s="353"/>
      <c r="X396" s="349"/>
      <c r="Y396" s="349"/>
      <c r="Z396" s="349">
        <f>ROUNDUP(((5.6+(1.5*2)+(0.3*2))*3.8)-BW285,0)</f>
        <v>34</v>
      </c>
      <c r="AA396" s="349">
        <f t="shared" si="143"/>
        <v>81</v>
      </c>
      <c r="AB396" s="349"/>
      <c r="AC396" s="349"/>
      <c r="AD396" s="349"/>
      <c r="AE396" s="349"/>
      <c r="AF396" s="349"/>
      <c r="AG396" s="349"/>
      <c r="AH396" s="349"/>
      <c r="AI396" s="349"/>
      <c r="AJ396" s="349"/>
      <c r="AK396" s="349"/>
      <c r="AL396" s="349"/>
      <c r="AM396" s="349"/>
      <c r="AN396" s="349">
        <f>ROUNDUP(BN287+BW287,0)</f>
        <v>0</v>
      </c>
      <c r="AO396" s="349"/>
      <c r="AP396" s="354"/>
      <c r="AQ396" s="352">
        <f>ROUNDUP(BN286+BW286,0)</f>
        <v>0</v>
      </c>
      <c r="AR396" s="366">
        <f t="shared" si="144"/>
        <v>15</v>
      </c>
      <c r="AS396" s="349"/>
      <c r="AT396" s="349"/>
      <c r="AU396" s="349"/>
      <c r="AV396" s="352"/>
      <c r="AW396" s="355">
        <f t="shared" si="141"/>
        <v>81</v>
      </c>
      <c r="AX396" s="356">
        <f t="shared" si="142"/>
        <v>34</v>
      </c>
      <c r="AY396" s="369">
        <f t="shared" si="140"/>
        <v>15</v>
      </c>
      <c r="AZ396" s="353"/>
      <c r="BA396" s="349"/>
      <c r="BB396" s="349"/>
      <c r="BC396" s="349"/>
      <c r="BD396" s="349"/>
      <c r="BE396" s="349"/>
      <c r="BF396" s="349"/>
      <c r="BG396" s="367"/>
      <c r="BH396" s="349"/>
      <c r="BI396" s="349"/>
      <c r="BJ396" s="349"/>
      <c r="BK396" s="349"/>
      <c r="BL396" s="349"/>
      <c r="BM396" s="349"/>
      <c r="BN396" s="367">
        <v>1</v>
      </c>
      <c r="BO396" s="349"/>
      <c r="BP396" s="349"/>
      <c r="BQ396" s="349"/>
      <c r="BR396" s="349"/>
      <c r="BS396" s="349"/>
      <c r="BT396" s="349"/>
      <c r="BU396" s="349"/>
      <c r="BV396" s="349"/>
      <c r="BW396" s="367">
        <v>1</v>
      </c>
      <c r="BX396" s="367"/>
      <c r="BY396" s="349"/>
      <c r="BZ396" s="349"/>
      <c r="CA396" s="349"/>
      <c r="CB396" s="349"/>
      <c r="CC396" s="354"/>
      <c r="CD396" s="354"/>
      <c r="CE396" s="354"/>
      <c r="CF396" s="354"/>
      <c r="CG396" s="354"/>
      <c r="CH396" s="354"/>
      <c r="CI396" s="354"/>
      <c r="CJ396" s="354"/>
      <c r="CK396" s="354"/>
      <c r="CL396" s="354"/>
      <c r="CM396" s="354"/>
      <c r="CN396" s="354"/>
      <c r="CO396" s="354"/>
      <c r="CP396" s="354"/>
      <c r="CQ396" s="354"/>
      <c r="CR396" s="354"/>
      <c r="CS396" s="354"/>
      <c r="CT396" s="354"/>
      <c r="CU396" s="354"/>
      <c r="CV396" s="354"/>
      <c r="CW396" s="354"/>
      <c r="CX396" s="354"/>
      <c r="CY396" s="354"/>
      <c r="CZ396" s="354"/>
      <c r="DA396" s="354"/>
      <c r="DB396" s="354"/>
      <c r="DC396" s="352"/>
    </row>
    <row r="397" spans="1:107" s="59" customFormat="1" ht="18">
      <c r="A397" s="365"/>
      <c r="B397" s="447" t="s">
        <v>287</v>
      </c>
      <c r="C397" s="462">
        <v>32</v>
      </c>
      <c r="D397" s="367"/>
      <c r="E397" s="367"/>
      <c r="F397" s="349"/>
      <c r="G397" s="349"/>
      <c r="H397" s="349"/>
      <c r="I397" s="349"/>
      <c r="J397" s="349"/>
      <c r="K397" s="349"/>
      <c r="L397" s="349"/>
      <c r="M397" s="349"/>
      <c r="N397" s="349"/>
      <c r="O397" s="349"/>
      <c r="P397" s="354"/>
      <c r="Q397" s="354"/>
      <c r="R397" s="354"/>
      <c r="S397" s="354"/>
      <c r="T397" s="352"/>
      <c r="U397" s="353">
        <f>ROUNDUP((24.53*2.9)-(BN285+BW285),0)</f>
        <v>71</v>
      </c>
      <c r="V397" s="353"/>
      <c r="W397" s="353"/>
      <c r="X397" s="349"/>
      <c r="Y397" s="349"/>
      <c r="Z397" s="349">
        <f>ROUNDUP((6.35*3.8)-BW285,0)</f>
        <v>24</v>
      </c>
      <c r="AA397" s="349">
        <f t="shared" si="143"/>
        <v>71</v>
      </c>
      <c r="AB397" s="349"/>
      <c r="AC397" s="349"/>
      <c r="AD397" s="349"/>
      <c r="AE397" s="349"/>
      <c r="AF397" s="349"/>
      <c r="AG397" s="349"/>
      <c r="AH397" s="349"/>
      <c r="AI397" s="349"/>
      <c r="AJ397" s="349"/>
      <c r="AK397" s="349"/>
      <c r="AL397" s="349"/>
      <c r="AM397" s="349"/>
      <c r="AN397" s="349">
        <f>ROUNDUP(BN287+BW287,0)</f>
        <v>0</v>
      </c>
      <c r="AO397" s="349"/>
      <c r="AP397" s="354"/>
      <c r="AQ397" s="352">
        <f>ROUNDUP(BN286+BW286,0)</f>
        <v>0</v>
      </c>
      <c r="AR397" s="366">
        <f t="shared" si="144"/>
        <v>0</v>
      </c>
      <c r="AS397" s="349"/>
      <c r="AT397" s="349"/>
      <c r="AU397" s="349"/>
      <c r="AV397" s="352"/>
      <c r="AW397" s="355">
        <f t="shared" si="141"/>
        <v>71</v>
      </c>
      <c r="AX397" s="356">
        <f t="shared" si="142"/>
        <v>24</v>
      </c>
      <c r="AY397" s="369">
        <f t="shared" si="140"/>
        <v>0</v>
      </c>
      <c r="AZ397" s="353"/>
      <c r="BA397" s="349"/>
      <c r="BB397" s="349"/>
      <c r="BC397" s="349"/>
      <c r="BD397" s="349"/>
      <c r="BE397" s="349"/>
      <c r="BF397" s="349"/>
      <c r="BG397" s="367"/>
      <c r="BH397" s="349"/>
      <c r="BI397" s="349"/>
      <c r="BJ397" s="349"/>
      <c r="BK397" s="349"/>
      <c r="BL397" s="349"/>
      <c r="BM397" s="349"/>
      <c r="BN397" s="367">
        <v>1</v>
      </c>
      <c r="BO397" s="349"/>
      <c r="BP397" s="349"/>
      <c r="BQ397" s="349"/>
      <c r="BR397" s="349"/>
      <c r="BS397" s="349"/>
      <c r="BT397" s="349"/>
      <c r="BU397" s="349"/>
      <c r="BV397" s="349"/>
      <c r="BW397" s="367">
        <v>1</v>
      </c>
      <c r="BX397" s="367"/>
      <c r="BY397" s="349"/>
      <c r="BZ397" s="349"/>
      <c r="CA397" s="349"/>
      <c r="CB397" s="349"/>
      <c r="CC397" s="354"/>
      <c r="CD397" s="354"/>
      <c r="CE397" s="354"/>
      <c r="CF397" s="354"/>
      <c r="CG397" s="354"/>
      <c r="CH397" s="354"/>
      <c r="CI397" s="354"/>
      <c r="CJ397" s="354"/>
      <c r="CK397" s="354"/>
      <c r="CL397" s="354"/>
      <c r="CM397" s="354"/>
      <c r="CN397" s="354"/>
      <c r="CO397" s="354"/>
      <c r="CP397" s="354"/>
      <c r="CQ397" s="354"/>
      <c r="CR397" s="354"/>
      <c r="CS397" s="354"/>
      <c r="CT397" s="354"/>
      <c r="CU397" s="354"/>
      <c r="CV397" s="354"/>
      <c r="CW397" s="354"/>
      <c r="CX397" s="354"/>
      <c r="CY397" s="354"/>
      <c r="CZ397" s="354"/>
      <c r="DA397" s="354"/>
      <c r="DB397" s="354"/>
      <c r="DC397" s="352"/>
    </row>
    <row r="398" spans="1:107" s="59" customFormat="1" ht="18">
      <c r="A398" s="365"/>
      <c r="B398" s="447" t="s">
        <v>285</v>
      </c>
      <c r="C398" s="462"/>
      <c r="D398" s="367"/>
      <c r="E398" s="462">
        <v>20</v>
      </c>
      <c r="F398" s="349"/>
      <c r="G398" s="349"/>
      <c r="H398" s="349"/>
      <c r="I398" s="349"/>
      <c r="J398" s="349"/>
      <c r="K398" s="349"/>
      <c r="L398" s="349"/>
      <c r="M398" s="349"/>
      <c r="N398" s="349"/>
      <c r="O398" s="349"/>
      <c r="P398" s="354"/>
      <c r="Q398" s="354"/>
      <c r="R398" s="354"/>
      <c r="S398" s="354"/>
      <c r="T398" s="352"/>
      <c r="U398" s="353">
        <f>ROUNDUP((24.53*2.9)-(BN285+BW285),0)</f>
        <v>71</v>
      </c>
      <c r="V398" s="353"/>
      <c r="W398" s="353"/>
      <c r="X398" s="349"/>
      <c r="Y398" s="349"/>
      <c r="Z398" s="349">
        <f>ROUNDUP((6.35*3.8)-BW285,0)</f>
        <v>24</v>
      </c>
      <c r="AA398" s="349">
        <f t="shared" si="143"/>
        <v>71</v>
      </c>
      <c r="AB398" s="349"/>
      <c r="AC398" s="349"/>
      <c r="AD398" s="349"/>
      <c r="AE398" s="349"/>
      <c r="AF398" s="349"/>
      <c r="AG398" s="349"/>
      <c r="AH398" s="349"/>
      <c r="AI398" s="349"/>
      <c r="AJ398" s="349"/>
      <c r="AK398" s="349"/>
      <c r="AL398" s="349"/>
      <c r="AM398" s="349"/>
      <c r="AN398" s="349">
        <f>ROUNDUP(BN287+BW287,0)</f>
        <v>0</v>
      </c>
      <c r="AO398" s="349"/>
      <c r="AP398" s="354"/>
      <c r="AQ398" s="352">
        <f>ROUNDUP(BN286+BW286,0)</f>
        <v>0</v>
      </c>
      <c r="AR398" s="366">
        <f t="shared" si="144"/>
        <v>0</v>
      </c>
      <c r="AS398" s="349"/>
      <c r="AT398" s="349"/>
      <c r="AU398" s="349"/>
      <c r="AV398" s="352"/>
      <c r="AW398" s="355">
        <f t="shared" si="141"/>
        <v>71</v>
      </c>
      <c r="AX398" s="356">
        <f t="shared" si="142"/>
        <v>24</v>
      </c>
      <c r="AY398" s="369">
        <f t="shared" si="140"/>
        <v>0</v>
      </c>
      <c r="AZ398" s="353"/>
      <c r="BA398" s="349"/>
      <c r="BB398" s="349"/>
      <c r="BC398" s="349"/>
      <c r="BD398" s="349"/>
      <c r="BE398" s="349"/>
      <c r="BF398" s="349"/>
      <c r="BG398" s="367"/>
      <c r="BH398" s="349"/>
      <c r="BI398" s="349"/>
      <c r="BJ398" s="349"/>
      <c r="BK398" s="349"/>
      <c r="BL398" s="349"/>
      <c r="BM398" s="349"/>
      <c r="BN398" s="367">
        <v>1</v>
      </c>
      <c r="BO398" s="349"/>
      <c r="BP398" s="349"/>
      <c r="BQ398" s="349"/>
      <c r="BR398" s="349"/>
      <c r="BS398" s="349"/>
      <c r="BT398" s="349"/>
      <c r="BU398" s="349"/>
      <c r="BV398" s="349"/>
      <c r="BW398" s="367">
        <v>1</v>
      </c>
      <c r="BX398" s="367"/>
      <c r="BY398" s="349"/>
      <c r="BZ398" s="349"/>
      <c r="CA398" s="349"/>
      <c r="CB398" s="349"/>
      <c r="CC398" s="354"/>
      <c r="CD398" s="354"/>
      <c r="CE398" s="354"/>
      <c r="CF398" s="354"/>
      <c r="CG398" s="354"/>
      <c r="CH398" s="354"/>
      <c r="CI398" s="354"/>
      <c r="CJ398" s="354"/>
      <c r="CK398" s="354"/>
      <c r="CL398" s="354"/>
      <c r="CM398" s="354"/>
      <c r="CN398" s="354"/>
      <c r="CO398" s="354"/>
      <c r="CP398" s="354"/>
      <c r="CQ398" s="354"/>
      <c r="CR398" s="354"/>
      <c r="CS398" s="354"/>
      <c r="CT398" s="354"/>
      <c r="CU398" s="354"/>
      <c r="CV398" s="354"/>
      <c r="CW398" s="354"/>
      <c r="CX398" s="354"/>
      <c r="CY398" s="354"/>
      <c r="CZ398" s="354"/>
      <c r="DA398" s="354"/>
      <c r="DB398" s="354"/>
      <c r="DC398" s="352"/>
    </row>
    <row r="399" spans="1:107" s="59" customFormat="1" ht="18">
      <c r="A399" s="368"/>
      <c r="B399" s="447" t="s">
        <v>286</v>
      </c>
      <c r="C399" s="462"/>
      <c r="D399" s="367"/>
      <c r="E399" s="462">
        <v>20</v>
      </c>
      <c r="F399" s="349"/>
      <c r="G399" s="349"/>
      <c r="H399" s="349"/>
      <c r="I399" s="349"/>
      <c r="J399" s="349"/>
      <c r="K399" s="349"/>
      <c r="L399" s="349"/>
      <c r="M399" s="349"/>
      <c r="N399" s="349"/>
      <c r="O399" s="349"/>
      <c r="P399" s="354"/>
      <c r="Q399" s="354"/>
      <c r="R399" s="354"/>
      <c r="S399" s="354"/>
      <c r="T399" s="352"/>
      <c r="U399" s="353">
        <f>ROUNDUP((24.53*2.9)-(BN285+BW285),0)</f>
        <v>71</v>
      </c>
      <c r="V399" s="353"/>
      <c r="W399" s="353"/>
      <c r="X399" s="349"/>
      <c r="Y399" s="349"/>
      <c r="Z399" s="349">
        <f>ROUNDUP((6.35*3.8)-BW285,0)</f>
        <v>24</v>
      </c>
      <c r="AA399" s="349">
        <f t="shared" si="143"/>
        <v>71</v>
      </c>
      <c r="AB399" s="349"/>
      <c r="AC399" s="349"/>
      <c r="AD399" s="349"/>
      <c r="AE399" s="349"/>
      <c r="AF399" s="349"/>
      <c r="AG399" s="349"/>
      <c r="AH399" s="349"/>
      <c r="AI399" s="349"/>
      <c r="AJ399" s="349"/>
      <c r="AK399" s="349"/>
      <c r="AL399" s="349"/>
      <c r="AM399" s="349"/>
      <c r="AN399" s="349">
        <f>ROUNDUP(BN287+BW287,0)</f>
        <v>0</v>
      </c>
      <c r="AO399" s="349"/>
      <c r="AP399" s="354"/>
      <c r="AQ399" s="352">
        <f>ROUNDUP(BN286+BW286,0)</f>
        <v>0</v>
      </c>
      <c r="AR399" s="366">
        <f>D399</f>
        <v>0</v>
      </c>
      <c r="AS399" s="349"/>
      <c r="AT399" s="349"/>
      <c r="AU399" s="349"/>
      <c r="AV399" s="352"/>
      <c r="AW399" s="355">
        <f t="shared" si="141"/>
        <v>71</v>
      </c>
      <c r="AX399" s="356">
        <f t="shared" si="142"/>
        <v>24</v>
      </c>
      <c r="AY399" s="369">
        <f t="shared" si="140"/>
        <v>0</v>
      </c>
      <c r="AZ399" s="353"/>
      <c r="BA399" s="349"/>
      <c r="BB399" s="349"/>
      <c r="BC399" s="349"/>
      <c r="BD399" s="349"/>
      <c r="BE399" s="349"/>
      <c r="BF399" s="349"/>
      <c r="BG399" s="367"/>
      <c r="BH399" s="349"/>
      <c r="BI399" s="349"/>
      <c r="BJ399" s="349"/>
      <c r="BK399" s="349"/>
      <c r="BL399" s="349"/>
      <c r="BM399" s="349"/>
      <c r="BN399" s="367">
        <v>1</v>
      </c>
      <c r="BO399" s="349"/>
      <c r="BP399" s="349"/>
      <c r="BQ399" s="349"/>
      <c r="BR399" s="349"/>
      <c r="BS399" s="349"/>
      <c r="BT399" s="349"/>
      <c r="BU399" s="349"/>
      <c r="BV399" s="349"/>
      <c r="BW399" s="367">
        <v>1</v>
      </c>
      <c r="BX399" s="367"/>
      <c r="BY399" s="349"/>
      <c r="BZ399" s="349"/>
      <c r="CA399" s="349"/>
      <c r="CB399" s="349"/>
      <c r="CC399" s="354"/>
      <c r="CD399" s="354"/>
      <c r="CE399" s="354"/>
      <c r="CF399" s="354"/>
      <c r="CG399" s="354"/>
      <c r="CH399" s="354"/>
      <c r="CI399" s="354"/>
      <c r="CJ399" s="354"/>
      <c r="CK399" s="354"/>
      <c r="CL399" s="354"/>
      <c r="CM399" s="354"/>
      <c r="CN399" s="354"/>
      <c r="CO399" s="354"/>
      <c r="CP399" s="354"/>
      <c r="CQ399" s="354"/>
      <c r="CR399" s="354"/>
      <c r="CS399" s="354"/>
      <c r="CT399" s="354"/>
      <c r="CU399" s="354"/>
      <c r="CV399" s="354"/>
      <c r="CW399" s="354"/>
      <c r="CX399" s="354"/>
      <c r="CY399" s="354"/>
      <c r="CZ399" s="354"/>
      <c r="DA399" s="354"/>
      <c r="DB399" s="354"/>
      <c r="DC399" s="352"/>
    </row>
    <row r="400" spans="1:107">
      <c r="A400" s="394"/>
      <c r="B400" s="395" t="s">
        <v>464</v>
      </c>
      <c r="C400" s="349"/>
      <c r="D400" s="349"/>
      <c r="E400" s="349"/>
      <c r="F400" s="349"/>
      <c r="G400" s="349"/>
      <c r="H400" s="349"/>
      <c r="I400" s="349"/>
      <c r="J400" s="349"/>
      <c r="K400" s="349"/>
      <c r="L400" s="349"/>
      <c r="M400" s="349"/>
      <c r="N400" s="349"/>
      <c r="O400" s="349"/>
      <c r="P400" s="354"/>
      <c r="Q400" s="354"/>
      <c r="R400" s="354"/>
      <c r="S400" s="354"/>
      <c r="T400" s="352"/>
      <c r="U400" s="353"/>
      <c r="V400" s="353"/>
      <c r="W400" s="353"/>
      <c r="X400" s="349"/>
      <c r="Y400" s="349"/>
      <c r="Z400" s="349"/>
      <c r="AA400" s="349"/>
      <c r="AB400" s="349"/>
      <c r="AC400" s="349"/>
      <c r="AD400" s="349"/>
      <c r="AE400" s="349"/>
      <c r="AF400" s="349"/>
      <c r="AG400" s="349"/>
      <c r="AH400" s="349"/>
      <c r="AI400" s="349"/>
      <c r="AJ400" s="349"/>
      <c r="AK400" s="349"/>
      <c r="AL400" s="349"/>
      <c r="AM400" s="349"/>
      <c r="AN400" s="349"/>
      <c r="AO400" s="349"/>
      <c r="AP400" s="354"/>
      <c r="AQ400" s="352"/>
      <c r="AR400" s="355"/>
      <c r="AS400" s="356"/>
      <c r="AT400" s="356"/>
      <c r="AU400" s="387"/>
      <c r="AV400" s="357"/>
      <c r="AW400" s="353"/>
      <c r="AX400" s="349"/>
      <c r="AY400" s="352"/>
      <c r="AZ400" s="372"/>
      <c r="BA400" s="373"/>
      <c r="BB400" s="373"/>
      <c r="BC400" s="373"/>
      <c r="BD400" s="373"/>
      <c r="BE400" s="373"/>
      <c r="BF400" s="373"/>
      <c r="BG400" s="373"/>
      <c r="BH400" s="373"/>
      <c r="BI400" s="373"/>
      <c r="BJ400" s="373"/>
      <c r="BK400" s="373"/>
      <c r="BL400" s="373"/>
      <c r="BM400" s="373"/>
      <c r="BN400" s="373"/>
      <c r="BO400" s="373"/>
      <c r="BP400" s="373"/>
      <c r="BQ400" s="373"/>
      <c r="BR400" s="373"/>
      <c r="BS400" s="373"/>
      <c r="BT400" s="373"/>
      <c r="BU400" s="373"/>
      <c r="BV400" s="373"/>
      <c r="BW400" s="373"/>
      <c r="BX400" s="373"/>
      <c r="BY400" s="373"/>
      <c r="BZ400" s="373"/>
      <c r="CA400" s="373"/>
      <c r="CB400" s="373"/>
      <c r="CC400" s="374"/>
      <c r="CD400" s="374"/>
      <c r="CE400" s="374"/>
      <c r="CF400" s="374"/>
      <c r="CG400" s="374"/>
      <c r="CH400" s="374"/>
      <c r="CI400" s="374"/>
      <c r="CJ400" s="374"/>
      <c r="CK400" s="374"/>
      <c r="CL400" s="374"/>
      <c r="CM400" s="374"/>
      <c r="CN400" s="374"/>
      <c r="CO400" s="374"/>
      <c r="CP400" s="374"/>
      <c r="CQ400" s="374"/>
      <c r="CR400" s="374"/>
      <c r="CS400" s="374"/>
      <c r="CT400" s="374"/>
      <c r="CU400" s="374"/>
      <c r="CV400" s="374"/>
      <c r="CW400" s="374"/>
      <c r="CX400" s="374"/>
      <c r="CY400" s="374"/>
      <c r="CZ400" s="374"/>
      <c r="DA400" s="374"/>
      <c r="DB400" s="392">
        <f>ROUNDUP(56.57,0)</f>
        <v>57</v>
      </c>
      <c r="DC400" s="375"/>
    </row>
    <row r="401" spans="1:116">
      <c r="A401" s="397"/>
      <c r="B401" s="396"/>
      <c r="C401" s="399"/>
      <c r="D401" s="400"/>
      <c r="E401" s="400"/>
      <c r="F401" s="400"/>
      <c r="G401" s="400"/>
      <c r="H401" s="400"/>
      <c r="I401" s="400"/>
      <c r="J401" s="400"/>
      <c r="K401" s="400"/>
      <c r="L401" s="400"/>
      <c r="M401" s="400"/>
      <c r="N401" s="400"/>
      <c r="O401" s="400"/>
      <c r="P401" s="401"/>
      <c r="Q401" s="401"/>
      <c r="R401" s="401"/>
      <c r="S401" s="401"/>
      <c r="T401" s="352"/>
      <c r="U401" s="396"/>
      <c r="V401" s="396"/>
      <c r="W401" s="396"/>
      <c r="X401" s="399"/>
      <c r="Y401" s="399"/>
      <c r="Z401" s="399"/>
      <c r="AA401" s="399"/>
      <c r="AB401" s="399"/>
      <c r="AC401" s="399"/>
      <c r="AD401" s="399"/>
      <c r="AE401" s="399"/>
      <c r="AF401" s="399"/>
      <c r="AG401" s="399"/>
      <c r="AH401" s="399"/>
      <c r="AI401" s="399"/>
      <c r="AJ401" s="399"/>
      <c r="AK401" s="399"/>
      <c r="AL401" s="399"/>
      <c r="AM401" s="399"/>
      <c r="AN401" s="399"/>
      <c r="AO401" s="399"/>
      <c r="AP401" s="403"/>
      <c r="AQ401" s="404"/>
      <c r="AR401" s="396"/>
      <c r="AS401" s="399"/>
      <c r="AT401" s="399"/>
      <c r="AU401" s="403"/>
      <c r="AV401" s="404"/>
      <c r="AW401" s="396"/>
      <c r="AX401" s="399"/>
      <c r="AY401" s="404"/>
      <c r="AZ401" s="405"/>
      <c r="BA401" s="406"/>
      <c r="BB401" s="406"/>
      <c r="BC401" s="406"/>
      <c r="BD401" s="406"/>
      <c r="BE401" s="406"/>
      <c r="BF401" s="471"/>
      <c r="BG401" s="406"/>
      <c r="BH401" s="406"/>
      <c r="BI401" s="406"/>
      <c r="BJ401" s="406"/>
      <c r="BK401" s="406"/>
      <c r="BL401" s="406"/>
      <c r="BM401" s="406"/>
      <c r="BN401" s="406"/>
      <c r="BO401" s="406"/>
      <c r="BP401" s="471"/>
      <c r="BQ401" s="406"/>
      <c r="BR401" s="406"/>
      <c r="BS401" s="406"/>
      <c r="BT401" s="471"/>
      <c r="BU401" s="471"/>
      <c r="BV401" s="471"/>
      <c r="BW401" s="406"/>
      <c r="BX401" s="471"/>
      <c r="BY401" s="406"/>
      <c r="BZ401" s="406"/>
      <c r="CA401" s="406"/>
      <c r="CB401" s="406"/>
      <c r="CC401" s="473"/>
      <c r="CD401" s="407"/>
      <c r="CE401" s="473"/>
      <c r="CF401" s="407"/>
      <c r="CG401" s="473"/>
      <c r="CH401" s="407"/>
      <c r="CI401" s="407"/>
      <c r="CJ401" s="407"/>
      <c r="CK401" s="473"/>
      <c r="CL401" s="473"/>
      <c r="CM401" s="407"/>
      <c r="CN401" s="407"/>
      <c r="CO401" s="407"/>
      <c r="CP401" s="407"/>
      <c r="CQ401" s="407"/>
      <c r="CR401" s="473"/>
      <c r="CS401" s="473"/>
      <c r="CT401" s="407"/>
      <c r="CU401" s="407"/>
      <c r="CV401" s="407"/>
      <c r="CW401" s="407"/>
      <c r="CX401" s="407"/>
      <c r="CY401" s="407"/>
      <c r="CZ401" s="407"/>
      <c r="DA401" s="407"/>
      <c r="DB401" s="407"/>
      <c r="DC401" s="408"/>
    </row>
    <row r="402" spans="1:116">
      <c r="A402" s="397"/>
      <c r="B402" s="396"/>
      <c r="C402" s="399"/>
      <c r="D402" s="400"/>
      <c r="E402" s="400"/>
      <c r="F402" s="400"/>
      <c r="G402" s="400"/>
      <c r="H402" s="400"/>
      <c r="I402" s="400"/>
      <c r="J402" s="400"/>
      <c r="K402" s="400"/>
      <c r="L402" s="400"/>
      <c r="M402" s="400"/>
      <c r="N402" s="400"/>
      <c r="O402" s="400"/>
      <c r="P402" s="401"/>
      <c r="Q402" s="401"/>
      <c r="R402" s="401"/>
      <c r="S402" s="401"/>
      <c r="T402" s="352"/>
      <c r="U402" s="396"/>
      <c r="V402" s="396"/>
      <c r="W402" s="396"/>
      <c r="X402" s="399"/>
      <c r="Y402" s="399"/>
      <c r="Z402" s="399"/>
      <c r="AA402" s="399"/>
      <c r="AB402" s="399"/>
      <c r="AC402" s="399"/>
      <c r="AD402" s="399"/>
      <c r="AE402" s="399"/>
      <c r="AF402" s="399"/>
      <c r="AG402" s="399"/>
      <c r="AH402" s="399"/>
      <c r="AI402" s="399"/>
      <c r="AJ402" s="399"/>
      <c r="AK402" s="399"/>
      <c r="AL402" s="399"/>
      <c r="AM402" s="399"/>
      <c r="AN402" s="399"/>
      <c r="AO402" s="399"/>
      <c r="AP402" s="403"/>
      <c r="AQ402" s="404"/>
      <c r="AR402" s="396"/>
      <c r="AS402" s="399"/>
      <c r="AT402" s="399"/>
      <c r="AU402" s="403"/>
      <c r="AV402" s="404"/>
      <c r="AW402" s="396"/>
      <c r="AX402" s="399"/>
      <c r="AY402" s="404"/>
      <c r="AZ402" s="405"/>
      <c r="BA402" s="406"/>
      <c r="BB402" s="406"/>
      <c r="BC402" s="406"/>
      <c r="BD402" s="406"/>
      <c r="BE402" s="406"/>
      <c r="BF402" s="471"/>
      <c r="BG402" s="406"/>
      <c r="BH402" s="406"/>
      <c r="BI402" s="406"/>
      <c r="BJ402" s="406"/>
      <c r="BK402" s="406"/>
      <c r="BL402" s="406"/>
      <c r="BM402" s="406"/>
      <c r="BN402" s="406"/>
      <c r="BO402" s="406"/>
      <c r="BP402" s="471"/>
      <c r="BQ402" s="406"/>
      <c r="BR402" s="406"/>
      <c r="BS402" s="406"/>
      <c r="BT402" s="471"/>
      <c r="BU402" s="471"/>
      <c r="BV402" s="471"/>
      <c r="BW402" s="406"/>
      <c r="BX402" s="471"/>
      <c r="BY402" s="406"/>
      <c r="BZ402" s="406"/>
      <c r="CA402" s="406"/>
      <c r="CB402" s="406"/>
      <c r="CC402" s="473"/>
      <c r="CD402" s="407"/>
      <c r="CE402" s="473"/>
      <c r="CF402" s="407"/>
      <c r="CG402" s="473"/>
      <c r="CH402" s="407"/>
      <c r="CI402" s="407"/>
      <c r="CJ402" s="407"/>
      <c r="CK402" s="473"/>
      <c r="CL402" s="473"/>
      <c r="CM402" s="407"/>
      <c r="CN402" s="407"/>
      <c r="CO402" s="407"/>
      <c r="CP402" s="407"/>
      <c r="CQ402" s="407"/>
      <c r="CR402" s="473"/>
      <c r="CS402" s="473"/>
      <c r="CT402" s="407"/>
      <c r="CU402" s="407"/>
      <c r="CV402" s="407"/>
      <c r="CW402" s="407"/>
      <c r="CX402" s="407"/>
      <c r="CY402" s="407"/>
      <c r="CZ402" s="407"/>
      <c r="DA402" s="407"/>
      <c r="DB402" s="407"/>
      <c r="DC402" s="408"/>
    </row>
    <row r="403" spans="1:116">
      <c r="A403" s="397"/>
      <c r="B403" s="396"/>
      <c r="C403" s="399"/>
      <c r="D403" s="400"/>
      <c r="E403" s="400"/>
      <c r="F403" s="400"/>
      <c r="G403" s="400"/>
      <c r="H403" s="400"/>
      <c r="I403" s="400"/>
      <c r="J403" s="400"/>
      <c r="K403" s="400"/>
      <c r="L403" s="400"/>
      <c r="M403" s="400"/>
      <c r="N403" s="400"/>
      <c r="O403" s="400"/>
      <c r="P403" s="401"/>
      <c r="Q403" s="401"/>
      <c r="R403" s="401"/>
      <c r="S403" s="401"/>
      <c r="T403" s="352"/>
      <c r="U403" s="396"/>
      <c r="V403" s="396"/>
      <c r="W403" s="396"/>
      <c r="X403" s="399"/>
      <c r="Y403" s="399"/>
      <c r="Z403" s="399"/>
      <c r="AA403" s="399"/>
      <c r="AB403" s="399"/>
      <c r="AC403" s="399"/>
      <c r="AD403" s="399"/>
      <c r="AE403" s="399"/>
      <c r="AF403" s="399"/>
      <c r="AG403" s="399"/>
      <c r="AH403" s="399"/>
      <c r="AI403" s="399"/>
      <c r="AJ403" s="399"/>
      <c r="AK403" s="399"/>
      <c r="AL403" s="399"/>
      <c r="AM403" s="399"/>
      <c r="AN403" s="399"/>
      <c r="AO403" s="399"/>
      <c r="AP403" s="403"/>
      <c r="AQ403" s="404"/>
      <c r="AR403" s="396"/>
      <c r="AS403" s="399"/>
      <c r="AT403" s="399"/>
      <c r="AU403" s="403"/>
      <c r="AV403" s="404"/>
      <c r="AW403" s="396"/>
      <c r="AX403" s="399"/>
      <c r="AY403" s="404"/>
      <c r="AZ403" s="405"/>
      <c r="BA403" s="406"/>
      <c r="BB403" s="406"/>
      <c r="BC403" s="406"/>
      <c r="BD403" s="406"/>
      <c r="BE403" s="406"/>
      <c r="BF403" s="471"/>
      <c r="BG403" s="406"/>
      <c r="BH403" s="406"/>
      <c r="BI403" s="406"/>
      <c r="BJ403" s="406"/>
      <c r="BK403" s="406"/>
      <c r="BL403" s="406"/>
      <c r="BM403" s="406"/>
      <c r="BN403" s="406"/>
      <c r="BO403" s="406"/>
      <c r="BP403" s="471"/>
      <c r="BQ403" s="406"/>
      <c r="BR403" s="406"/>
      <c r="BS403" s="406"/>
      <c r="BT403" s="471"/>
      <c r="BU403" s="471"/>
      <c r="BV403" s="471"/>
      <c r="BW403" s="406"/>
      <c r="BX403" s="471"/>
      <c r="BY403" s="406"/>
      <c r="BZ403" s="406"/>
      <c r="CA403" s="406"/>
      <c r="CB403" s="406"/>
      <c r="CC403" s="473"/>
      <c r="CD403" s="407"/>
      <c r="CE403" s="473"/>
      <c r="CF403" s="407"/>
      <c r="CG403" s="473"/>
      <c r="CH403" s="407"/>
      <c r="CI403" s="407"/>
      <c r="CJ403" s="407"/>
      <c r="CK403" s="473"/>
      <c r="CL403" s="473"/>
      <c r="CM403" s="407"/>
      <c r="CN403" s="407"/>
      <c r="CO403" s="407"/>
      <c r="CP403" s="407"/>
      <c r="CQ403" s="407"/>
      <c r="CR403" s="473"/>
      <c r="CS403" s="473"/>
      <c r="CT403" s="407"/>
      <c r="CU403" s="407"/>
      <c r="CV403" s="407"/>
      <c r="CW403" s="407"/>
      <c r="CX403" s="407"/>
      <c r="CY403" s="407"/>
      <c r="CZ403" s="407"/>
      <c r="DA403" s="407"/>
      <c r="DB403" s="407"/>
      <c r="DC403" s="408"/>
    </row>
    <row r="404" spans="1:116">
      <c r="A404" s="397"/>
      <c r="B404" s="396"/>
      <c r="C404" s="399"/>
      <c r="D404" s="400"/>
      <c r="E404" s="400"/>
      <c r="F404" s="400"/>
      <c r="G404" s="400"/>
      <c r="H404" s="400"/>
      <c r="I404" s="400"/>
      <c r="J404" s="400"/>
      <c r="K404" s="400"/>
      <c r="L404" s="400"/>
      <c r="M404" s="400"/>
      <c r="N404" s="400"/>
      <c r="O404" s="400"/>
      <c r="P404" s="401"/>
      <c r="Q404" s="401"/>
      <c r="R404" s="401"/>
      <c r="S404" s="401"/>
      <c r="T404" s="352"/>
      <c r="U404" s="396"/>
      <c r="V404" s="396"/>
      <c r="W404" s="396"/>
      <c r="X404" s="399"/>
      <c r="Y404" s="399"/>
      <c r="Z404" s="399"/>
      <c r="AA404" s="399"/>
      <c r="AB404" s="399"/>
      <c r="AC404" s="399"/>
      <c r="AD404" s="399"/>
      <c r="AE404" s="399"/>
      <c r="AF404" s="399"/>
      <c r="AG404" s="399"/>
      <c r="AH404" s="399"/>
      <c r="AI404" s="399"/>
      <c r="AJ404" s="399"/>
      <c r="AK404" s="399"/>
      <c r="AL404" s="399"/>
      <c r="AM404" s="399"/>
      <c r="AN404" s="399"/>
      <c r="AO404" s="399"/>
      <c r="AP404" s="403"/>
      <c r="AQ404" s="404"/>
      <c r="AR404" s="396"/>
      <c r="AS404" s="399"/>
      <c r="AT404" s="399"/>
      <c r="AU404" s="403"/>
      <c r="AV404" s="404"/>
      <c r="AW404" s="396"/>
      <c r="AX404" s="399"/>
      <c r="AY404" s="404"/>
      <c r="AZ404" s="405"/>
      <c r="BA404" s="406"/>
      <c r="BB404" s="406"/>
      <c r="BC404" s="406"/>
      <c r="BD404" s="406"/>
      <c r="BE404" s="406"/>
      <c r="BF404" s="471"/>
      <c r="BG404" s="406"/>
      <c r="BH404" s="406"/>
      <c r="BI404" s="406"/>
      <c r="BJ404" s="406"/>
      <c r="BK404" s="406"/>
      <c r="BL404" s="406"/>
      <c r="BM404" s="406"/>
      <c r="BN404" s="406"/>
      <c r="BO404" s="406"/>
      <c r="BP404" s="471"/>
      <c r="BQ404" s="406"/>
      <c r="BR404" s="406"/>
      <c r="BS404" s="406"/>
      <c r="BT404" s="471"/>
      <c r="BU404" s="471"/>
      <c r="BV404" s="471"/>
      <c r="BW404" s="406"/>
      <c r="BX404" s="471"/>
      <c r="BY404" s="406"/>
      <c r="BZ404" s="406"/>
      <c r="CA404" s="406"/>
      <c r="CB404" s="406"/>
      <c r="CC404" s="473"/>
      <c r="CD404" s="407"/>
      <c r="CE404" s="473"/>
      <c r="CF404" s="407"/>
      <c r="CG404" s="473"/>
      <c r="CH404" s="407"/>
      <c r="CI404" s="407"/>
      <c r="CJ404" s="407"/>
      <c r="CK404" s="473"/>
      <c r="CL404" s="473"/>
      <c r="CM404" s="407"/>
      <c r="CN404" s="407"/>
      <c r="CO404" s="407"/>
      <c r="CP404" s="407"/>
      <c r="CQ404" s="407"/>
      <c r="CR404" s="473"/>
      <c r="CS404" s="473"/>
      <c r="CT404" s="407"/>
      <c r="CU404" s="407"/>
      <c r="CV404" s="407"/>
      <c r="CW404" s="407"/>
      <c r="CX404" s="407"/>
      <c r="CY404" s="407"/>
      <c r="CZ404" s="407"/>
      <c r="DA404" s="407"/>
      <c r="DB404" s="407"/>
      <c r="DC404" s="408"/>
    </row>
    <row r="405" spans="1:116">
      <c r="A405" s="397"/>
      <c r="B405" s="396"/>
      <c r="C405" s="399"/>
      <c r="D405" s="400"/>
      <c r="E405" s="400"/>
      <c r="F405" s="400"/>
      <c r="G405" s="400"/>
      <c r="H405" s="400"/>
      <c r="I405" s="400"/>
      <c r="J405" s="400"/>
      <c r="K405" s="400"/>
      <c r="L405" s="400"/>
      <c r="M405" s="400"/>
      <c r="N405" s="400"/>
      <c r="O405" s="400"/>
      <c r="P405" s="401"/>
      <c r="Q405" s="401"/>
      <c r="R405" s="401"/>
      <c r="S405" s="401"/>
      <c r="T405" s="352"/>
      <c r="U405" s="396"/>
      <c r="V405" s="396"/>
      <c r="W405" s="396"/>
      <c r="X405" s="399"/>
      <c r="Y405" s="399"/>
      <c r="Z405" s="399"/>
      <c r="AA405" s="399"/>
      <c r="AB405" s="399"/>
      <c r="AC405" s="399"/>
      <c r="AD405" s="399"/>
      <c r="AE405" s="399"/>
      <c r="AF405" s="399"/>
      <c r="AG405" s="399"/>
      <c r="AH405" s="399"/>
      <c r="AI405" s="399"/>
      <c r="AJ405" s="399"/>
      <c r="AK405" s="399"/>
      <c r="AL405" s="399"/>
      <c r="AM405" s="399"/>
      <c r="AN405" s="399"/>
      <c r="AO405" s="399"/>
      <c r="AP405" s="403"/>
      <c r="AQ405" s="404"/>
      <c r="AR405" s="396"/>
      <c r="AS405" s="399"/>
      <c r="AT405" s="399"/>
      <c r="AU405" s="403"/>
      <c r="AV405" s="404"/>
      <c r="AW405" s="396"/>
      <c r="AX405" s="399"/>
      <c r="AY405" s="404"/>
      <c r="AZ405" s="405"/>
      <c r="BA405" s="406"/>
      <c r="BB405" s="406"/>
      <c r="BC405" s="406"/>
      <c r="BD405" s="406"/>
      <c r="BE405" s="406"/>
      <c r="BF405" s="471"/>
      <c r="BG405" s="406"/>
      <c r="BH405" s="406"/>
      <c r="BI405" s="406"/>
      <c r="BJ405" s="406"/>
      <c r="BK405" s="406"/>
      <c r="BL405" s="406"/>
      <c r="BM405" s="406"/>
      <c r="BN405" s="406"/>
      <c r="BO405" s="406"/>
      <c r="BP405" s="471"/>
      <c r="BQ405" s="406"/>
      <c r="BR405" s="406"/>
      <c r="BS405" s="406"/>
      <c r="BT405" s="471"/>
      <c r="BU405" s="471"/>
      <c r="BV405" s="471"/>
      <c r="BW405" s="406"/>
      <c r="BX405" s="471"/>
      <c r="BY405" s="406"/>
      <c r="BZ405" s="406"/>
      <c r="CA405" s="406"/>
      <c r="CB405" s="406"/>
      <c r="CC405" s="473"/>
      <c r="CD405" s="407"/>
      <c r="CE405" s="473"/>
      <c r="CF405" s="407"/>
      <c r="CG405" s="473"/>
      <c r="CH405" s="407"/>
      <c r="CI405" s="407"/>
      <c r="CJ405" s="407"/>
      <c r="CK405" s="473"/>
      <c r="CL405" s="473"/>
      <c r="CM405" s="407"/>
      <c r="CN405" s="407"/>
      <c r="CO405" s="407"/>
      <c r="CP405" s="407"/>
      <c r="CQ405" s="407"/>
      <c r="CR405" s="473"/>
      <c r="CS405" s="473"/>
      <c r="CT405" s="407"/>
      <c r="CU405" s="407"/>
      <c r="CV405" s="407"/>
      <c r="CW405" s="407"/>
      <c r="CX405" s="407"/>
      <c r="CY405" s="407"/>
      <c r="CZ405" s="407"/>
      <c r="DA405" s="407"/>
      <c r="DB405" s="407"/>
      <c r="DC405" s="408"/>
    </row>
    <row r="406" spans="1:116">
      <c r="A406" s="397"/>
      <c r="B406" s="396"/>
      <c r="C406" s="399"/>
      <c r="D406" s="400"/>
      <c r="E406" s="400"/>
      <c r="F406" s="400"/>
      <c r="G406" s="400"/>
      <c r="H406" s="400"/>
      <c r="I406" s="400"/>
      <c r="J406" s="400"/>
      <c r="K406" s="400"/>
      <c r="L406" s="400"/>
      <c r="M406" s="400"/>
      <c r="N406" s="400"/>
      <c r="O406" s="400"/>
      <c r="P406" s="401"/>
      <c r="Q406" s="401"/>
      <c r="R406" s="401"/>
      <c r="S406" s="401"/>
      <c r="T406" s="352">
        <f t="shared" ref="T406:T408" si="145">SUM(C406:O406)</f>
        <v>0</v>
      </c>
      <c r="U406" s="396"/>
      <c r="V406" s="396"/>
      <c r="W406" s="396"/>
      <c r="X406" s="399"/>
      <c r="Y406" s="399"/>
      <c r="Z406" s="399"/>
      <c r="AA406" s="399"/>
      <c r="AB406" s="399"/>
      <c r="AC406" s="399"/>
      <c r="AD406" s="399"/>
      <c r="AE406" s="399"/>
      <c r="AF406" s="399"/>
      <c r="AG406" s="399"/>
      <c r="AH406" s="399"/>
      <c r="AI406" s="399"/>
      <c r="AJ406" s="399"/>
      <c r="AK406" s="399"/>
      <c r="AL406" s="399"/>
      <c r="AM406" s="399"/>
      <c r="AN406" s="399"/>
      <c r="AO406" s="399"/>
      <c r="AP406" s="403"/>
      <c r="AQ406" s="404"/>
      <c r="AR406" s="396"/>
      <c r="AS406" s="399"/>
      <c r="AT406" s="399"/>
      <c r="AU406" s="403"/>
      <c r="AV406" s="404"/>
      <c r="AW406" s="396"/>
      <c r="AX406" s="399"/>
      <c r="AY406" s="404"/>
      <c r="AZ406" s="405"/>
      <c r="BA406" s="406"/>
      <c r="BB406" s="406"/>
      <c r="BC406" s="406"/>
      <c r="BD406" s="406"/>
      <c r="BE406" s="406"/>
      <c r="BF406" s="471"/>
      <c r="BG406" s="406"/>
      <c r="BH406" s="406"/>
      <c r="BI406" s="406"/>
      <c r="BJ406" s="406"/>
      <c r="BK406" s="406"/>
      <c r="BL406" s="406"/>
      <c r="BM406" s="406"/>
      <c r="BN406" s="406"/>
      <c r="BO406" s="406"/>
      <c r="BP406" s="471"/>
      <c r="BQ406" s="406"/>
      <c r="BR406" s="406"/>
      <c r="BS406" s="406"/>
      <c r="BT406" s="471"/>
      <c r="BU406" s="471"/>
      <c r="BV406" s="471"/>
      <c r="BW406" s="406"/>
      <c r="BX406" s="471"/>
      <c r="BY406" s="406"/>
      <c r="BZ406" s="406"/>
      <c r="CA406" s="406"/>
      <c r="CB406" s="406"/>
      <c r="CC406" s="473"/>
      <c r="CD406" s="407"/>
      <c r="CE406" s="473"/>
      <c r="CF406" s="407"/>
      <c r="CG406" s="473"/>
      <c r="CH406" s="407"/>
      <c r="CI406" s="407"/>
      <c r="CJ406" s="407"/>
      <c r="CK406" s="473"/>
      <c r="CL406" s="473"/>
      <c r="CM406" s="407"/>
      <c r="CN406" s="407"/>
      <c r="CO406" s="407"/>
      <c r="CP406" s="407"/>
      <c r="CQ406" s="407"/>
      <c r="CR406" s="473"/>
      <c r="CS406" s="473"/>
      <c r="CT406" s="407"/>
      <c r="CU406" s="407"/>
      <c r="CV406" s="407"/>
      <c r="CW406" s="407"/>
      <c r="CX406" s="407"/>
      <c r="CY406" s="407"/>
      <c r="CZ406" s="407"/>
      <c r="DA406" s="407"/>
      <c r="DB406" s="407"/>
      <c r="DC406" s="375"/>
    </row>
    <row r="407" spans="1:116">
      <c r="A407" s="397"/>
      <c r="B407" s="396"/>
      <c r="C407" s="399"/>
      <c r="D407" s="400"/>
      <c r="E407" s="400"/>
      <c r="F407" s="400"/>
      <c r="G407" s="400"/>
      <c r="H407" s="400"/>
      <c r="I407" s="400"/>
      <c r="J407" s="400"/>
      <c r="K407" s="400"/>
      <c r="L407" s="400"/>
      <c r="M407" s="400"/>
      <c r="N407" s="400"/>
      <c r="O407" s="400"/>
      <c r="P407" s="401"/>
      <c r="Q407" s="401"/>
      <c r="R407" s="401"/>
      <c r="S407" s="401"/>
      <c r="T407" s="352">
        <f t="shared" si="145"/>
        <v>0</v>
      </c>
      <c r="U407" s="396"/>
      <c r="V407" s="396"/>
      <c r="W407" s="396"/>
      <c r="X407" s="399"/>
      <c r="Y407" s="399"/>
      <c r="Z407" s="399"/>
      <c r="AA407" s="399"/>
      <c r="AB407" s="399"/>
      <c r="AC407" s="399"/>
      <c r="AD407" s="399"/>
      <c r="AE407" s="399"/>
      <c r="AF407" s="399"/>
      <c r="AG407" s="399"/>
      <c r="AH407" s="399"/>
      <c r="AI407" s="399"/>
      <c r="AJ407" s="399"/>
      <c r="AK407" s="399"/>
      <c r="AL407" s="399"/>
      <c r="AM407" s="399"/>
      <c r="AN407" s="399"/>
      <c r="AO407" s="399"/>
      <c r="AP407" s="403"/>
      <c r="AQ407" s="404"/>
      <c r="AR407" s="396"/>
      <c r="AS407" s="399"/>
      <c r="AT407" s="399"/>
      <c r="AU407" s="403"/>
      <c r="AV407" s="404"/>
      <c r="AW407" s="396"/>
      <c r="AX407" s="399"/>
      <c r="AY407" s="404"/>
      <c r="AZ407" s="405"/>
      <c r="BA407" s="406"/>
      <c r="BB407" s="406"/>
      <c r="BC407" s="406"/>
      <c r="BD407" s="406"/>
      <c r="BE407" s="406"/>
      <c r="BF407" s="471"/>
      <c r="BG407" s="406"/>
      <c r="BH407" s="406"/>
      <c r="BI407" s="406"/>
      <c r="BJ407" s="406"/>
      <c r="BK407" s="406"/>
      <c r="BL407" s="406"/>
      <c r="BM407" s="406"/>
      <c r="BN407" s="406"/>
      <c r="BO407" s="406"/>
      <c r="BP407" s="471"/>
      <c r="BQ407" s="406"/>
      <c r="BR407" s="406"/>
      <c r="BS407" s="406"/>
      <c r="BT407" s="471"/>
      <c r="BU407" s="471"/>
      <c r="BV407" s="471"/>
      <c r="BW407" s="406"/>
      <c r="BX407" s="471"/>
      <c r="BY407" s="406"/>
      <c r="BZ407" s="406"/>
      <c r="CA407" s="406"/>
      <c r="CB407" s="406"/>
      <c r="CC407" s="473"/>
      <c r="CD407" s="407"/>
      <c r="CE407" s="473"/>
      <c r="CF407" s="407"/>
      <c r="CG407" s="473"/>
      <c r="CH407" s="407"/>
      <c r="CI407" s="407"/>
      <c r="CJ407" s="407"/>
      <c r="CK407" s="473"/>
      <c r="CL407" s="473"/>
      <c r="CM407" s="407"/>
      <c r="CN407" s="407"/>
      <c r="CO407" s="407"/>
      <c r="CP407" s="407"/>
      <c r="CQ407" s="407"/>
      <c r="CR407" s="473"/>
      <c r="CS407" s="473"/>
      <c r="CT407" s="407"/>
      <c r="CU407" s="407"/>
      <c r="CV407" s="407"/>
      <c r="CW407" s="407"/>
      <c r="CX407" s="407"/>
      <c r="CY407" s="407"/>
      <c r="CZ407" s="407"/>
      <c r="DA407" s="407"/>
      <c r="DB407" s="407"/>
      <c r="DC407" s="408"/>
    </row>
    <row r="408" spans="1:116">
      <c r="A408" s="397"/>
      <c r="B408" s="396"/>
      <c r="C408" s="399"/>
      <c r="D408" s="400"/>
      <c r="E408" s="400"/>
      <c r="F408" s="400"/>
      <c r="G408" s="400"/>
      <c r="H408" s="400"/>
      <c r="I408" s="400"/>
      <c r="J408" s="400"/>
      <c r="K408" s="400"/>
      <c r="L408" s="400"/>
      <c r="M408" s="400"/>
      <c r="N408" s="400"/>
      <c r="O408" s="400"/>
      <c r="P408" s="401"/>
      <c r="Q408" s="401"/>
      <c r="R408" s="401"/>
      <c r="S408" s="401"/>
      <c r="T408" s="352">
        <f t="shared" si="145"/>
        <v>0</v>
      </c>
      <c r="U408" s="396"/>
      <c r="V408" s="396"/>
      <c r="W408" s="396"/>
      <c r="X408" s="399"/>
      <c r="Y408" s="399"/>
      <c r="Z408" s="399"/>
      <c r="AA408" s="399"/>
      <c r="AB408" s="399"/>
      <c r="AC408" s="399"/>
      <c r="AD408" s="399"/>
      <c r="AE408" s="399"/>
      <c r="AF408" s="399"/>
      <c r="AG408" s="399"/>
      <c r="AH408" s="399"/>
      <c r="AI408" s="399"/>
      <c r="AJ408" s="399"/>
      <c r="AK408" s="399"/>
      <c r="AL408" s="399"/>
      <c r="AM408" s="399"/>
      <c r="AN408" s="399"/>
      <c r="AO408" s="399"/>
      <c r="AP408" s="403"/>
      <c r="AQ408" s="404"/>
      <c r="AR408" s="396"/>
      <c r="AS408" s="399"/>
      <c r="AT408" s="399"/>
      <c r="AU408" s="403"/>
      <c r="AV408" s="404"/>
      <c r="AW408" s="396"/>
      <c r="AX408" s="399"/>
      <c r="AY408" s="404"/>
      <c r="AZ408" s="405"/>
      <c r="BA408" s="406"/>
      <c r="BB408" s="406"/>
      <c r="BC408" s="406"/>
      <c r="BD408" s="406"/>
      <c r="BE408" s="406"/>
      <c r="BF408" s="471"/>
      <c r="BG408" s="406"/>
      <c r="BH408" s="406"/>
      <c r="BI408" s="406"/>
      <c r="BJ408" s="406"/>
      <c r="BK408" s="406"/>
      <c r="BL408" s="406"/>
      <c r="BM408" s="406"/>
      <c r="BN408" s="406"/>
      <c r="BO408" s="406"/>
      <c r="BP408" s="471"/>
      <c r="BQ408" s="406"/>
      <c r="BR408" s="406"/>
      <c r="BS408" s="406"/>
      <c r="BT408" s="471"/>
      <c r="BU408" s="471"/>
      <c r="BV408" s="471"/>
      <c r="BW408" s="406"/>
      <c r="BX408" s="471"/>
      <c r="BY408" s="406"/>
      <c r="BZ408" s="406"/>
      <c r="CA408" s="406"/>
      <c r="CB408" s="406"/>
      <c r="CC408" s="473"/>
      <c r="CD408" s="407"/>
      <c r="CE408" s="473"/>
      <c r="CF408" s="407"/>
      <c r="CG408" s="473"/>
      <c r="CH408" s="407"/>
      <c r="CI408" s="407"/>
      <c r="CJ408" s="407"/>
      <c r="CK408" s="473"/>
      <c r="CL408" s="473"/>
      <c r="CM408" s="407"/>
      <c r="CN408" s="407"/>
      <c r="CO408" s="407"/>
      <c r="CP408" s="407"/>
      <c r="CQ408" s="407"/>
      <c r="CR408" s="473"/>
      <c r="CS408" s="473"/>
      <c r="CT408" s="407"/>
      <c r="CU408" s="407"/>
      <c r="CV408" s="407"/>
      <c r="CW408" s="407"/>
      <c r="CX408" s="407"/>
      <c r="CY408" s="407"/>
      <c r="CZ408" s="407"/>
      <c r="DA408" s="407"/>
      <c r="DB408" s="407"/>
      <c r="DC408" s="408"/>
    </row>
    <row r="409" spans="1:116">
      <c r="A409" s="397"/>
      <c r="B409" s="396"/>
      <c r="C409" s="399"/>
      <c r="D409" s="400"/>
      <c r="E409" s="400"/>
      <c r="F409" s="400"/>
      <c r="G409" s="400"/>
      <c r="H409" s="400"/>
      <c r="I409" s="400"/>
      <c r="J409" s="400"/>
      <c r="K409" s="400"/>
      <c r="L409" s="400"/>
      <c r="M409" s="400"/>
      <c r="N409" s="400"/>
      <c r="O409" s="400"/>
      <c r="P409" s="401"/>
      <c r="Q409" s="401"/>
      <c r="R409" s="401"/>
      <c r="S409" s="401"/>
      <c r="T409" s="402"/>
      <c r="U409" s="396"/>
      <c r="V409" s="396"/>
      <c r="W409" s="396"/>
      <c r="X409" s="399"/>
      <c r="Y409" s="399"/>
      <c r="Z409" s="399"/>
      <c r="AA409" s="399"/>
      <c r="AB409" s="399"/>
      <c r="AC409" s="399"/>
      <c r="AD409" s="399"/>
      <c r="AE409" s="399"/>
      <c r="AF409" s="399"/>
      <c r="AG409" s="399"/>
      <c r="AH409" s="399"/>
      <c r="AI409" s="399"/>
      <c r="AJ409" s="399"/>
      <c r="AK409" s="399"/>
      <c r="AL409" s="399"/>
      <c r="AM409" s="399"/>
      <c r="AN409" s="399"/>
      <c r="AO409" s="399"/>
      <c r="AP409" s="403"/>
      <c r="AQ409" s="404"/>
      <c r="AR409" s="396"/>
      <c r="AS409" s="399"/>
      <c r="AT409" s="399"/>
      <c r="AU409" s="403"/>
      <c r="AV409" s="404"/>
      <c r="AW409" s="396"/>
      <c r="AX409" s="399"/>
      <c r="AY409" s="404"/>
      <c r="AZ409" s="405"/>
      <c r="BA409" s="406"/>
      <c r="BB409" s="406"/>
      <c r="BC409" s="406"/>
      <c r="BD409" s="406"/>
      <c r="BE409" s="406"/>
      <c r="BF409" s="471"/>
      <c r="BG409" s="406"/>
      <c r="BH409" s="406"/>
      <c r="BI409" s="406"/>
      <c r="BJ409" s="406"/>
      <c r="BK409" s="406"/>
      <c r="BL409" s="406"/>
      <c r="BM409" s="406"/>
      <c r="BN409" s="406"/>
      <c r="BO409" s="406"/>
      <c r="BP409" s="471"/>
      <c r="BQ409" s="406"/>
      <c r="BR409" s="406"/>
      <c r="BS409" s="406"/>
      <c r="BT409" s="471"/>
      <c r="BU409" s="471"/>
      <c r="BV409" s="471"/>
      <c r="BW409" s="406"/>
      <c r="BX409" s="471"/>
      <c r="BY409" s="406"/>
      <c r="BZ409" s="406"/>
      <c r="CA409" s="406"/>
      <c r="CB409" s="406"/>
      <c r="CC409" s="473"/>
      <c r="CD409" s="407"/>
      <c r="CE409" s="473"/>
      <c r="CF409" s="407"/>
      <c r="CG409" s="473"/>
      <c r="CH409" s="407"/>
      <c r="CI409" s="407"/>
      <c r="CJ409" s="407"/>
      <c r="CK409" s="473"/>
      <c r="CL409" s="473"/>
      <c r="CM409" s="407"/>
      <c r="CN409" s="407"/>
      <c r="CO409" s="407"/>
      <c r="CP409" s="407"/>
      <c r="CQ409" s="407"/>
      <c r="CR409" s="473"/>
      <c r="CS409" s="473"/>
      <c r="CT409" s="407"/>
      <c r="CU409" s="407"/>
      <c r="CV409" s="407"/>
      <c r="CW409" s="407"/>
      <c r="CX409" s="407"/>
      <c r="CY409" s="407"/>
      <c r="CZ409" s="407"/>
      <c r="DA409" s="407"/>
      <c r="DB409" s="407"/>
      <c r="DC409" s="408"/>
    </row>
    <row r="410" spans="1:116">
      <c r="A410" s="397"/>
      <c r="B410" s="396"/>
      <c r="C410" s="399"/>
      <c r="D410" s="400"/>
      <c r="E410" s="400"/>
      <c r="F410" s="400"/>
      <c r="G410" s="400"/>
      <c r="H410" s="400"/>
      <c r="I410" s="400"/>
      <c r="J410" s="400"/>
      <c r="K410" s="400"/>
      <c r="L410" s="400"/>
      <c r="M410" s="400"/>
      <c r="N410" s="400"/>
      <c r="O410" s="400"/>
      <c r="P410" s="401"/>
      <c r="Q410" s="401"/>
      <c r="R410" s="401"/>
      <c r="S410" s="401"/>
      <c r="T410" s="402"/>
      <c r="U410" s="396"/>
      <c r="V410" s="396"/>
      <c r="W410" s="396"/>
      <c r="X410" s="399"/>
      <c r="Y410" s="399"/>
      <c r="Z410" s="399"/>
      <c r="AA410" s="399"/>
      <c r="AB410" s="399"/>
      <c r="AC410" s="399"/>
      <c r="AD410" s="399"/>
      <c r="AE410" s="399"/>
      <c r="AF410" s="399"/>
      <c r="AG410" s="399"/>
      <c r="AH410" s="399"/>
      <c r="AI410" s="399"/>
      <c r="AJ410" s="399"/>
      <c r="AK410" s="399"/>
      <c r="AL410" s="399"/>
      <c r="AM410" s="399"/>
      <c r="AN410" s="399"/>
      <c r="AO410" s="399"/>
      <c r="AP410" s="403"/>
      <c r="AQ410" s="404"/>
      <c r="AR410" s="396"/>
      <c r="AS410" s="399"/>
      <c r="AT410" s="399"/>
      <c r="AU410" s="403"/>
      <c r="AV410" s="404"/>
      <c r="AW410" s="396"/>
      <c r="AX410" s="399"/>
      <c r="AY410" s="404"/>
      <c r="AZ410" s="405"/>
      <c r="BA410" s="406"/>
      <c r="BB410" s="406"/>
      <c r="BC410" s="406"/>
      <c r="BD410" s="406"/>
      <c r="BE410" s="406"/>
      <c r="BF410" s="471"/>
      <c r="BG410" s="406"/>
      <c r="BH410" s="406"/>
      <c r="BI410" s="406"/>
      <c r="BJ410" s="406"/>
      <c r="BK410" s="406"/>
      <c r="BL410" s="406"/>
      <c r="BM410" s="406"/>
      <c r="BN410" s="406"/>
      <c r="BO410" s="406"/>
      <c r="BP410" s="471"/>
      <c r="BQ410" s="406"/>
      <c r="BR410" s="406"/>
      <c r="BS410" s="406"/>
      <c r="BT410" s="471"/>
      <c r="BU410" s="471"/>
      <c r="BV410" s="471"/>
      <c r="BW410" s="406"/>
      <c r="BX410" s="471"/>
      <c r="BY410" s="406"/>
      <c r="BZ410" s="406"/>
      <c r="CA410" s="406"/>
      <c r="CB410" s="406"/>
      <c r="CC410" s="473"/>
      <c r="CD410" s="407"/>
      <c r="CE410" s="473"/>
      <c r="CF410" s="407"/>
      <c r="CG410" s="473"/>
      <c r="CH410" s="407"/>
      <c r="CI410" s="407"/>
      <c r="CJ410" s="407"/>
      <c r="CK410" s="473"/>
      <c r="CL410" s="473"/>
      <c r="CM410" s="407"/>
      <c r="CN410" s="407"/>
      <c r="CO410" s="407"/>
      <c r="CP410" s="407"/>
      <c r="CQ410" s="407"/>
      <c r="CR410" s="473"/>
      <c r="CS410" s="473"/>
      <c r="CT410" s="407"/>
      <c r="CU410" s="407"/>
      <c r="CV410" s="407"/>
      <c r="CW410" s="407"/>
      <c r="CX410" s="407"/>
      <c r="CY410" s="407"/>
      <c r="CZ410" s="407"/>
      <c r="DA410" s="407"/>
      <c r="DB410" s="407"/>
      <c r="DC410" s="408"/>
    </row>
    <row r="411" spans="1:116" ht="18.75">
      <c r="A411" s="397"/>
      <c r="B411" s="377" t="s">
        <v>171</v>
      </c>
      <c r="C411" s="378">
        <f t="shared" ref="C411:BO411" si="146">SUM(C385:C410)</f>
        <v>68</v>
      </c>
      <c r="D411" s="378">
        <f t="shared" si="146"/>
        <v>1610</v>
      </c>
      <c r="E411" s="378">
        <f t="shared" si="146"/>
        <v>110</v>
      </c>
      <c r="F411" s="378">
        <f t="shared" si="146"/>
        <v>0</v>
      </c>
      <c r="G411" s="378">
        <f t="shared" si="146"/>
        <v>0</v>
      </c>
      <c r="H411" s="378">
        <f t="shared" si="146"/>
        <v>0</v>
      </c>
      <c r="I411" s="378">
        <f t="shared" si="146"/>
        <v>0</v>
      </c>
      <c r="J411" s="378">
        <f t="shared" si="146"/>
        <v>0</v>
      </c>
      <c r="K411" s="378">
        <f t="shared" si="146"/>
        <v>0</v>
      </c>
      <c r="L411" s="378">
        <f t="shared" si="146"/>
        <v>0</v>
      </c>
      <c r="M411" s="378">
        <f t="shared" si="146"/>
        <v>0</v>
      </c>
      <c r="N411" s="378">
        <f t="shared" si="146"/>
        <v>0</v>
      </c>
      <c r="O411" s="378">
        <f t="shared" si="146"/>
        <v>0</v>
      </c>
      <c r="P411" s="378">
        <f t="shared" si="146"/>
        <v>0</v>
      </c>
      <c r="Q411" s="378">
        <f t="shared" si="146"/>
        <v>0</v>
      </c>
      <c r="R411" s="378">
        <f t="shared" si="146"/>
        <v>0</v>
      </c>
      <c r="S411" s="378">
        <f t="shared" si="146"/>
        <v>0</v>
      </c>
      <c r="T411" s="380">
        <f t="shared" si="146"/>
        <v>0</v>
      </c>
      <c r="U411" s="381">
        <f t="shared" si="146"/>
        <v>954</v>
      </c>
      <c r="V411" s="381">
        <f t="shared" si="146"/>
        <v>30</v>
      </c>
      <c r="W411" s="381">
        <f t="shared" si="146"/>
        <v>0</v>
      </c>
      <c r="X411" s="381">
        <f t="shared" si="146"/>
        <v>0</v>
      </c>
      <c r="Y411" s="381">
        <f t="shared" si="146"/>
        <v>0</v>
      </c>
      <c r="Z411" s="381">
        <f t="shared" si="146"/>
        <v>339</v>
      </c>
      <c r="AA411" s="381">
        <f t="shared" si="146"/>
        <v>1684</v>
      </c>
      <c r="AB411" s="381">
        <f t="shared" si="146"/>
        <v>0</v>
      </c>
      <c r="AC411" s="381">
        <f t="shared" si="146"/>
        <v>0</v>
      </c>
      <c r="AD411" s="381">
        <f t="shared" si="146"/>
        <v>0</v>
      </c>
      <c r="AE411" s="381">
        <f t="shared" si="146"/>
        <v>0</v>
      </c>
      <c r="AF411" s="381">
        <f t="shared" si="146"/>
        <v>0</v>
      </c>
      <c r="AG411" s="381">
        <f t="shared" si="146"/>
        <v>0</v>
      </c>
      <c r="AH411" s="381">
        <f t="shared" si="146"/>
        <v>0</v>
      </c>
      <c r="AI411" s="381">
        <f t="shared" si="146"/>
        <v>0</v>
      </c>
      <c r="AJ411" s="381">
        <f t="shared" si="146"/>
        <v>0</v>
      </c>
      <c r="AK411" s="381">
        <f t="shared" si="146"/>
        <v>0</v>
      </c>
      <c r="AL411" s="381">
        <f t="shared" si="146"/>
        <v>0</v>
      </c>
      <c r="AM411" s="381">
        <f t="shared" si="146"/>
        <v>0</v>
      </c>
      <c r="AN411" s="381">
        <f t="shared" si="146"/>
        <v>15</v>
      </c>
      <c r="AO411" s="381">
        <f t="shared" si="146"/>
        <v>0</v>
      </c>
      <c r="AP411" s="381">
        <f t="shared" si="146"/>
        <v>0</v>
      </c>
      <c r="AQ411" s="380">
        <f t="shared" si="146"/>
        <v>0</v>
      </c>
      <c r="AR411" s="381">
        <f t="shared" si="146"/>
        <v>658</v>
      </c>
      <c r="AS411" s="381">
        <f t="shared" si="146"/>
        <v>0</v>
      </c>
      <c r="AT411" s="381">
        <f t="shared" si="146"/>
        <v>0</v>
      </c>
      <c r="AU411" s="381">
        <f t="shared" si="146"/>
        <v>0</v>
      </c>
      <c r="AV411" s="380">
        <f t="shared" si="146"/>
        <v>0</v>
      </c>
      <c r="AW411" s="381">
        <f t="shared" si="146"/>
        <v>987</v>
      </c>
      <c r="AX411" s="381">
        <f t="shared" si="146"/>
        <v>339</v>
      </c>
      <c r="AY411" s="380">
        <f t="shared" si="146"/>
        <v>658</v>
      </c>
      <c r="AZ411" s="381">
        <f t="shared" si="146"/>
        <v>0</v>
      </c>
      <c r="BA411" s="381">
        <f t="shared" si="146"/>
        <v>1</v>
      </c>
      <c r="BB411" s="381">
        <f t="shared" si="146"/>
        <v>1</v>
      </c>
      <c r="BC411" s="381">
        <f t="shared" si="146"/>
        <v>0</v>
      </c>
      <c r="BD411" s="381">
        <f t="shared" si="146"/>
        <v>0</v>
      </c>
      <c r="BE411" s="381">
        <f t="shared" si="146"/>
        <v>1</v>
      </c>
      <c r="BF411" s="381">
        <f t="shared" si="146"/>
        <v>0</v>
      </c>
      <c r="BG411" s="381">
        <f t="shared" si="146"/>
        <v>1</v>
      </c>
      <c r="BH411" s="381">
        <f t="shared" si="146"/>
        <v>0</v>
      </c>
      <c r="BI411" s="381">
        <f t="shared" si="146"/>
        <v>0</v>
      </c>
      <c r="BJ411" s="381">
        <f t="shared" si="146"/>
        <v>1</v>
      </c>
      <c r="BK411" s="381">
        <f t="shared" si="146"/>
        <v>0</v>
      </c>
      <c r="BL411" s="381">
        <f t="shared" si="146"/>
        <v>0</v>
      </c>
      <c r="BM411" s="381">
        <f t="shared" si="146"/>
        <v>1</v>
      </c>
      <c r="BN411" s="381">
        <f t="shared" si="146"/>
        <v>8</v>
      </c>
      <c r="BO411" s="381">
        <f t="shared" si="146"/>
        <v>0</v>
      </c>
      <c r="BP411" s="381">
        <f t="shared" ref="BP411:CB411" si="147">SUM(BP385:BP410)</f>
        <v>0</v>
      </c>
      <c r="BQ411" s="381">
        <f t="shared" si="147"/>
        <v>0</v>
      </c>
      <c r="BR411" s="381">
        <f t="shared" si="147"/>
        <v>0</v>
      </c>
      <c r="BS411" s="381">
        <f t="shared" si="147"/>
        <v>0</v>
      </c>
      <c r="BT411" s="381">
        <f t="shared" si="147"/>
        <v>0</v>
      </c>
      <c r="BU411" s="381">
        <f t="shared" si="147"/>
        <v>0</v>
      </c>
      <c r="BV411" s="381">
        <f t="shared" si="147"/>
        <v>0</v>
      </c>
      <c r="BW411" s="381">
        <f t="shared" si="147"/>
        <v>8</v>
      </c>
      <c r="BX411" s="472"/>
      <c r="BY411" s="381">
        <f t="shared" si="147"/>
        <v>0</v>
      </c>
      <c r="BZ411" s="381">
        <f t="shared" si="147"/>
        <v>0</v>
      </c>
      <c r="CA411" s="381">
        <f t="shared" si="147"/>
        <v>2</v>
      </c>
      <c r="CB411" s="381">
        <f t="shared" si="147"/>
        <v>1</v>
      </c>
      <c r="CC411" s="472"/>
      <c r="CD411" s="381">
        <f t="shared" ref="CD411:CS411" si="148">SUM(CD385:CD410)</f>
        <v>0</v>
      </c>
      <c r="CE411" s="472"/>
      <c r="CF411" s="381">
        <f t="shared" si="148"/>
        <v>0</v>
      </c>
      <c r="CG411" s="472"/>
      <c r="CH411" s="381">
        <f t="shared" si="148"/>
        <v>0</v>
      </c>
      <c r="CI411" s="381">
        <f t="shared" si="148"/>
        <v>0</v>
      </c>
      <c r="CJ411" s="381">
        <f t="shared" si="148"/>
        <v>0</v>
      </c>
      <c r="CK411" s="472"/>
      <c r="CL411" s="472"/>
      <c r="CM411" s="381">
        <f t="shared" si="148"/>
        <v>0</v>
      </c>
      <c r="CN411" s="381">
        <f t="shared" si="148"/>
        <v>0</v>
      </c>
      <c r="CO411" s="381">
        <f t="shared" si="148"/>
        <v>0</v>
      </c>
      <c r="CP411" s="381">
        <f t="shared" si="148"/>
        <v>0</v>
      </c>
      <c r="CQ411" s="381">
        <f t="shared" si="148"/>
        <v>0</v>
      </c>
      <c r="CR411" s="381">
        <f t="shared" si="148"/>
        <v>0</v>
      </c>
      <c r="CS411" s="381">
        <f t="shared" si="148"/>
        <v>0</v>
      </c>
      <c r="CT411" s="381">
        <f t="shared" ref="CT411:DC411" si="149">SUM(CT385:CT410)</f>
        <v>0</v>
      </c>
      <c r="CU411" s="381">
        <f t="shared" si="149"/>
        <v>0</v>
      </c>
      <c r="CV411" s="381">
        <f t="shared" si="149"/>
        <v>0</v>
      </c>
      <c r="CW411" s="381">
        <f t="shared" si="149"/>
        <v>0</v>
      </c>
      <c r="CX411" s="381">
        <f t="shared" si="149"/>
        <v>0</v>
      </c>
      <c r="CY411" s="381">
        <f t="shared" si="149"/>
        <v>0</v>
      </c>
      <c r="CZ411" s="381">
        <f t="shared" si="149"/>
        <v>0</v>
      </c>
      <c r="DA411" s="381">
        <f t="shared" si="149"/>
        <v>0</v>
      </c>
      <c r="DB411" s="381">
        <f t="shared" si="149"/>
        <v>57</v>
      </c>
      <c r="DC411" s="380">
        <f t="shared" si="149"/>
        <v>0</v>
      </c>
    </row>
    <row r="412" spans="1:116">
      <c r="A412" s="397"/>
      <c r="B412" s="396"/>
      <c r="C412" s="399"/>
      <c r="D412" s="400"/>
      <c r="E412" s="400"/>
      <c r="F412" s="400"/>
      <c r="G412" s="400"/>
      <c r="H412" s="400"/>
      <c r="I412" s="400"/>
      <c r="J412" s="400"/>
      <c r="K412" s="400"/>
      <c r="L412" s="400"/>
      <c r="M412" s="400"/>
      <c r="N412" s="400"/>
      <c r="O412" s="400"/>
      <c r="P412" s="401"/>
      <c r="Q412" s="401"/>
      <c r="R412" s="401"/>
      <c r="S412" s="401"/>
      <c r="T412" s="402"/>
      <c r="U412" s="396"/>
      <c r="V412" s="396"/>
      <c r="W412" s="396"/>
      <c r="X412" s="399"/>
      <c r="Y412" s="399"/>
      <c r="Z412" s="399"/>
      <c r="AA412" s="399"/>
      <c r="AB412" s="399"/>
      <c r="AC412" s="399"/>
      <c r="AD412" s="399"/>
      <c r="AE412" s="399"/>
      <c r="AF412" s="399"/>
      <c r="AG412" s="399"/>
      <c r="AH412" s="399"/>
      <c r="AI412" s="399"/>
      <c r="AJ412" s="399"/>
      <c r="AK412" s="399"/>
      <c r="AL412" s="399"/>
      <c r="AM412" s="399"/>
      <c r="AN412" s="399"/>
      <c r="AO412" s="399"/>
      <c r="AP412" s="403"/>
      <c r="AQ412" s="404"/>
      <c r="AR412" s="396"/>
      <c r="AS412" s="399"/>
      <c r="AT412" s="399"/>
      <c r="AU412" s="403"/>
      <c r="AV412" s="404"/>
      <c r="AW412" s="396"/>
      <c r="AX412" s="399"/>
      <c r="AY412" s="404"/>
      <c r="AZ412" s="405"/>
      <c r="BA412" s="406"/>
      <c r="BB412" s="406"/>
      <c r="BC412" s="406"/>
      <c r="BD412" s="406"/>
      <c r="BE412" s="406"/>
      <c r="BF412" s="471"/>
      <c r="BG412" s="406"/>
      <c r="BH412" s="406"/>
      <c r="BI412" s="406"/>
      <c r="BJ412" s="406"/>
      <c r="BK412" s="406"/>
      <c r="BL412" s="406"/>
      <c r="BM412" s="406"/>
      <c r="BN412" s="406"/>
      <c r="BO412" s="406"/>
      <c r="BP412" s="471"/>
      <c r="BQ412" s="406"/>
      <c r="BR412" s="406"/>
      <c r="BS412" s="406"/>
      <c r="BT412" s="471"/>
      <c r="BU412" s="471"/>
      <c r="BV412" s="471"/>
      <c r="BW412" s="406"/>
      <c r="BX412" s="471"/>
      <c r="BY412" s="406"/>
      <c r="BZ412" s="406"/>
      <c r="CA412" s="406"/>
      <c r="CB412" s="406"/>
      <c r="CC412" s="473"/>
      <c r="CD412" s="407"/>
      <c r="CE412" s="473"/>
      <c r="CF412" s="407"/>
      <c r="CG412" s="473"/>
      <c r="CH412" s="407"/>
      <c r="CI412" s="407"/>
      <c r="CJ412" s="407"/>
      <c r="CK412" s="473"/>
      <c r="CL412" s="473"/>
      <c r="CM412" s="407"/>
      <c r="CN412" s="407"/>
      <c r="CO412" s="407"/>
      <c r="CP412" s="407"/>
      <c r="CQ412" s="407"/>
      <c r="CR412" s="473"/>
      <c r="CS412" s="473"/>
      <c r="CT412" s="407"/>
      <c r="CU412" s="407"/>
      <c r="CV412" s="407"/>
      <c r="CW412" s="407"/>
      <c r="CX412" s="407"/>
      <c r="CY412" s="407"/>
      <c r="CZ412" s="407"/>
      <c r="DA412" s="407"/>
      <c r="DB412" s="407"/>
      <c r="DC412" s="408"/>
    </row>
    <row r="413" spans="1:116">
      <c r="A413" s="397"/>
      <c r="B413" s="386" t="s">
        <v>249</v>
      </c>
      <c r="C413" s="399"/>
      <c r="D413" s="400"/>
      <c r="E413" s="400"/>
      <c r="F413" s="400"/>
      <c r="G413" s="400"/>
      <c r="H413" s="400"/>
      <c r="I413" s="400"/>
      <c r="J413" s="400"/>
      <c r="K413" s="400"/>
      <c r="L413" s="400"/>
      <c r="M413" s="400"/>
      <c r="N413" s="400"/>
      <c r="O413" s="400"/>
      <c r="P413" s="401"/>
      <c r="Q413" s="401"/>
      <c r="R413" s="401"/>
      <c r="S413" s="401"/>
      <c r="T413" s="402"/>
      <c r="U413" s="396"/>
      <c r="V413" s="396"/>
      <c r="W413" s="396"/>
      <c r="X413" s="399"/>
      <c r="Y413" s="399"/>
      <c r="Z413" s="399"/>
      <c r="AA413" s="399"/>
      <c r="AB413" s="399"/>
      <c r="AC413" s="399"/>
      <c r="AD413" s="399"/>
      <c r="AE413" s="399"/>
      <c r="AF413" s="399"/>
      <c r="AG413" s="399"/>
      <c r="AH413" s="399"/>
      <c r="AI413" s="399"/>
      <c r="AJ413" s="399"/>
      <c r="AK413" s="399"/>
      <c r="AL413" s="399"/>
      <c r="AM413" s="399"/>
      <c r="AN413" s="399"/>
      <c r="AO413" s="399"/>
      <c r="AP413" s="403"/>
      <c r="AQ413" s="404"/>
      <c r="AR413" s="396"/>
      <c r="AS413" s="399"/>
      <c r="AT413" s="399"/>
      <c r="AU413" s="403"/>
      <c r="AV413" s="404"/>
      <c r="AW413" s="396"/>
      <c r="AX413" s="399"/>
      <c r="AY413" s="404"/>
      <c r="AZ413" s="405"/>
      <c r="BA413" s="406"/>
      <c r="BB413" s="406"/>
      <c r="BC413" s="406"/>
      <c r="BD413" s="406"/>
      <c r="BE413" s="406"/>
      <c r="BF413" s="471"/>
      <c r="BG413" s="406"/>
      <c r="BH413" s="406"/>
      <c r="BI413" s="406"/>
      <c r="BJ413" s="406"/>
      <c r="BK413" s="406"/>
      <c r="BL413" s="406"/>
      <c r="BM413" s="406"/>
      <c r="BN413" s="406"/>
      <c r="BO413" s="406"/>
      <c r="BP413" s="471"/>
      <c r="BQ413" s="406"/>
      <c r="BR413" s="406"/>
      <c r="BS413" s="406"/>
      <c r="BT413" s="471"/>
      <c r="BU413" s="471"/>
      <c r="BV413" s="471"/>
      <c r="BW413" s="406"/>
      <c r="BX413" s="471"/>
      <c r="BY413" s="406"/>
      <c r="BZ413" s="406"/>
      <c r="CA413" s="406"/>
      <c r="CB413" s="406"/>
      <c r="CC413" s="473"/>
      <c r="CD413" s="407"/>
      <c r="CE413" s="473"/>
      <c r="CF413" s="407"/>
      <c r="CG413" s="473"/>
      <c r="CH413" s="407"/>
      <c r="CI413" s="407"/>
      <c r="CJ413" s="407"/>
      <c r="CK413" s="473"/>
      <c r="CL413" s="473"/>
      <c r="CM413" s="407"/>
      <c r="CN413" s="407"/>
      <c r="CO413" s="407"/>
      <c r="CP413" s="407"/>
      <c r="CQ413" s="407"/>
      <c r="CR413" s="473"/>
      <c r="CS413" s="473"/>
      <c r="CT413" s="407"/>
      <c r="CU413" s="407"/>
      <c r="CV413" s="407"/>
      <c r="CW413" s="407"/>
      <c r="CX413" s="407"/>
      <c r="CY413" s="407"/>
      <c r="CZ413" s="407"/>
      <c r="DA413" s="407"/>
      <c r="DB413" s="407"/>
      <c r="DC413" s="408"/>
    </row>
    <row r="414" spans="1:116">
      <c r="A414" s="397"/>
      <c r="B414" s="396"/>
      <c r="C414" s="399"/>
      <c r="D414" s="400"/>
      <c r="E414" s="400"/>
      <c r="F414" s="400"/>
      <c r="G414" s="400"/>
      <c r="H414" s="400"/>
      <c r="I414" s="400"/>
      <c r="J414" s="400"/>
      <c r="K414" s="400"/>
      <c r="L414" s="400"/>
      <c r="M414" s="400"/>
      <c r="N414" s="400"/>
      <c r="O414" s="400"/>
      <c r="P414" s="401"/>
      <c r="Q414" s="401"/>
      <c r="R414" s="401"/>
      <c r="S414" s="401"/>
      <c r="T414" s="402"/>
      <c r="U414" s="396"/>
      <c r="V414" s="396"/>
      <c r="W414" s="396"/>
      <c r="X414" s="399"/>
      <c r="Y414" s="399"/>
      <c r="Z414" s="399"/>
      <c r="AA414" s="399"/>
      <c r="AB414" s="399"/>
      <c r="AC414" s="399"/>
      <c r="AD414" s="399"/>
      <c r="AE414" s="399"/>
      <c r="AF414" s="399"/>
      <c r="AG414" s="399"/>
      <c r="AH414" s="399"/>
      <c r="AI414" s="399"/>
      <c r="AJ414" s="399"/>
      <c r="AK414" s="399"/>
      <c r="AL414" s="399"/>
      <c r="AM414" s="399"/>
      <c r="AN414" s="399"/>
      <c r="AO414" s="399"/>
      <c r="AP414" s="403"/>
      <c r="AQ414" s="404"/>
      <c r="AR414" s="396"/>
      <c r="AS414" s="399"/>
      <c r="AT414" s="399"/>
      <c r="AU414" s="403"/>
      <c r="AV414" s="404"/>
      <c r="AW414" s="396"/>
      <c r="AX414" s="399"/>
      <c r="AY414" s="404"/>
      <c r="AZ414" s="405"/>
      <c r="BA414" s="406"/>
      <c r="BB414" s="406"/>
      <c r="BC414" s="406"/>
      <c r="BD414" s="406"/>
      <c r="BE414" s="406"/>
      <c r="BF414" s="471"/>
      <c r="BG414" s="406"/>
      <c r="BH414" s="406"/>
      <c r="BI414" s="406"/>
      <c r="BJ414" s="406"/>
      <c r="BK414" s="406"/>
      <c r="BL414" s="406"/>
      <c r="BM414" s="406"/>
      <c r="BN414" s="406"/>
      <c r="BO414" s="406"/>
      <c r="BP414" s="471"/>
      <c r="BQ414" s="406"/>
      <c r="BR414" s="406"/>
      <c r="BS414" s="406"/>
      <c r="BT414" s="471"/>
      <c r="BU414" s="471"/>
      <c r="BV414" s="471"/>
      <c r="BW414" s="406"/>
      <c r="BX414" s="471"/>
      <c r="BY414" s="406"/>
      <c r="BZ414" s="406"/>
      <c r="CA414" s="406"/>
      <c r="CB414" s="406"/>
      <c r="CC414" s="473"/>
      <c r="CD414" s="407"/>
      <c r="CE414" s="473"/>
      <c r="CF414" s="407"/>
      <c r="CG414" s="473"/>
      <c r="CH414" s="407"/>
      <c r="CI414" s="407"/>
      <c r="CJ414" s="407"/>
      <c r="CK414" s="473"/>
      <c r="CL414" s="473"/>
      <c r="CM414" s="407"/>
      <c r="CN414" s="407"/>
      <c r="CO414" s="407"/>
      <c r="CP414" s="407"/>
      <c r="CQ414" s="407"/>
      <c r="CR414" s="473"/>
      <c r="CS414" s="473"/>
      <c r="CT414" s="407"/>
      <c r="CU414" s="407"/>
      <c r="CV414" s="407"/>
      <c r="CW414" s="407"/>
      <c r="CX414" s="407"/>
      <c r="CY414" s="407"/>
      <c r="CZ414" s="407"/>
      <c r="DA414" s="407"/>
      <c r="DB414" s="407"/>
      <c r="DC414" s="375"/>
    </row>
    <row r="415" spans="1:116" s="59" customFormat="1">
      <c r="A415" s="368"/>
      <c r="B415" s="366" t="s">
        <v>484</v>
      </c>
      <c r="C415" s="349"/>
      <c r="D415" s="367"/>
      <c r="E415" s="349"/>
      <c r="F415" s="349"/>
      <c r="G415" s="349"/>
      <c r="H415" s="367"/>
      <c r="I415" s="349"/>
      <c r="J415" s="349"/>
      <c r="K415" s="367"/>
      <c r="L415" s="349"/>
      <c r="M415" s="349"/>
      <c r="N415" s="349"/>
      <c r="O415" s="349"/>
      <c r="P415" s="354"/>
      <c r="Q415" s="354"/>
      <c r="R415" s="354"/>
      <c r="S415" s="354"/>
      <c r="T415" s="352"/>
      <c r="U415" s="353"/>
      <c r="V415" s="353"/>
      <c r="W415" s="353"/>
      <c r="X415" s="349"/>
      <c r="Y415" s="349"/>
      <c r="Z415" s="349"/>
      <c r="AA415" s="349"/>
      <c r="AB415" s="349"/>
      <c r="AC415" s="349"/>
      <c r="AD415" s="349"/>
      <c r="AE415" s="349"/>
      <c r="AF415" s="349"/>
      <c r="AG415" s="349"/>
      <c r="AH415" s="349"/>
      <c r="AI415" s="349"/>
      <c r="AJ415" s="349"/>
      <c r="AK415" s="349"/>
      <c r="AL415" s="349"/>
      <c r="AM415" s="349"/>
      <c r="AN415" s="349"/>
      <c r="AO415" s="349"/>
      <c r="AP415" s="354"/>
      <c r="AQ415" s="352"/>
      <c r="AR415" s="366"/>
      <c r="AS415" s="349"/>
      <c r="AT415" s="349"/>
      <c r="AU415" s="349"/>
      <c r="AV415" s="352"/>
      <c r="AW415" s="353"/>
      <c r="AX415" s="349"/>
      <c r="AY415" s="369"/>
      <c r="AZ415" s="353"/>
      <c r="BA415" s="349"/>
      <c r="BB415" s="349"/>
      <c r="BC415" s="349"/>
      <c r="BD415" s="349"/>
      <c r="BE415" s="349"/>
      <c r="BF415" s="349"/>
      <c r="BG415" s="349"/>
      <c r="BH415" s="349"/>
      <c r="BI415" s="349"/>
      <c r="BJ415" s="349"/>
      <c r="BK415" s="349"/>
      <c r="BL415" s="349"/>
      <c r="BM415" s="349"/>
      <c r="BN415" s="349"/>
      <c r="BO415" s="349"/>
      <c r="BP415" s="349"/>
      <c r="BQ415" s="349"/>
      <c r="BR415" s="349"/>
      <c r="BS415" s="349"/>
      <c r="BT415" s="349"/>
      <c r="BU415" s="349"/>
      <c r="BV415" s="349"/>
      <c r="BW415" s="349"/>
      <c r="BX415" s="349"/>
      <c r="BY415" s="349"/>
      <c r="BZ415" s="349"/>
      <c r="CA415" s="349"/>
      <c r="CB415" s="349"/>
      <c r="CC415" s="354"/>
      <c r="CD415" s="354"/>
      <c r="CE415" s="354"/>
      <c r="CF415" s="354"/>
      <c r="CG415" s="354"/>
      <c r="CH415" s="354"/>
      <c r="CI415" s="354"/>
      <c r="CJ415" s="354"/>
      <c r="CK415" s="354"/>
      <c r="CL415" s="354"/>
      <c r="CM415" s="354"/>
      <c r="CN415" s="354"/>
      <c r="CO415" s="354"/>
      <c r="CP415" s="354"/>
      <c r="CQ415" s="354"/>
      <c r="CR415" s="354"/>
      <c r="CS415" s="354"/>
      <c r="CT415" s="354"/>
      <c r="CU415" s="354"/>
      <c r="CV415" s="354"/>
      <c r="CW415" s="354"/>
      <c r="CX415" s="354"/>
      <c r="CY415" s="354"/>
      <c r="CZ415" s="354"/>
      <c r="DA415" s="354"/>
      <c r="DB415" s="354"/>
      <c r="DC415" s="352"/>
    </row>
    <row r="416" spans="1:116" s="59" customFormat="1">
      <c r="A416" s="368"/>
      <c r="B416" s="360" t="s">
        <v>561</v>
      </c>
      <c r="C416" s="367"/>
      <c r="D416" s="349"/>
      <c r="E416" s="349"/>
      <c r="F416" s="349"/>
      <c r="G416" s="349"/>
      <c r="H416" s="349"/>
      <c r="I416" s="349"/>
      <c r="J416" s="349"/>
      <c r="K416" s="349"/>
      <c r="L416" s="349"/>
      <c r="M416" s="349"/>
      <c r="N416" s="349"/>
      <c r="O416" s="349"/>
      <c r="P416" s="354"/>
      <c r="Q416" s="354"/>
      <c r="R416" s="354"/>
      <c r="S416" s="354"/>
      <c r="T416" s="352"/>
      <c r="U416" s="353">
        <f>ROUNDUP((37.4*2.9)-((BM285*3)+CF285),0)</f>
        <v>109</v>
      </c>
      <c r="V416" s="353"/>
      <c r="W416" s="353"/>
      <c r="X416" s="349"/>
      <c r="Y416" s="349"/>
      <c r="Z416" s="349">
        <f>U416</f>
        <v>109</v>
      </c>
      <c r="AA416" s="349">
        <f>U416</f>
        <v>109</v>
      </c>
      <c r="AB416" s="349"/>
      <c r="AC416" s="349"/>
      <c r="AD416" s="349"/>
      <c r="AE416" s="349"/>
      <c r="AF416" s="349"/>
      <c r="AG416" s="349"/>
      <c r="AH416" s="349"/>
      <c r="AI416" s="349"/>
      <c r="AJ416" s="349"/>
      <c r="AK416" s="349"/>
      <c r="AL416" s="349"/>
      <c r="AM416" s="349"/>
      <c r="AN416" s="349">
        <f>ROUNDUP((BM287*3)+CF287,0)</f>
        <v>0</v>
      </c>
      <c r="AO416" s="349"/>
      <c r="AP416" s="354"/>
      <c r="AQ416" s="352">
        <f>ROUNDUP((BM286*3)+CF286,0)</f>
        <v>0</v>
      </c>
      <c r="AR416" s="366"/>
      <c r="AS416" s="349"/>
      <c r="AT416" s="349"/>
      <c r="AU416" s="349"/>
      <c r="AV416" s="352"/>
      <c r="AW416" s="353">
        <f>AA416</f>
        <v>109</v>
      </c>
      <c r="AX416" s="349">
        <f>Z416</f>
        <v>109</v>
      </c>
      <c r="AY416" s="369"/>
      <c r="AZ416" s="353"/>
      <c r="BA416" s="349"/>
      <c r="BB416" s="349"/>
      <c r="BC416" s="349"/>
      <c r="BD416" s="349"/>
      <c r="BE416" s="349"/>
      <c r="BF416" s="349"/>
      <c r="BG416" s="349"/>
      <c r="BH416" s="349"/>
      <c r="BI416" s="349">
        <v>1</v>
      </c>
      <c r="BJ416" s="349"/>
      <c r="BK416" s="349"/>
      <c r="BL416" s="349"/>
      <c r="BM416" s="349">
        <v>1</v>
      </c>
      <c r="BN416" s="349"/>
      <c r="BO416" s="349"/>
      <c r="BP416" s="349"/>
      <c r="BQ416" s="349"/>
      <c r="BR416" s="349"/>
      <c r="BS416" s="349"/>
      <c r="BT416" s="349"/>
      <c r="BU416" s="349"/>
      <c r="BV416" s="349"/>
      <c r="BW416" s="349"/>
      <c r="BX416" s="349"/>
      <c r="BY416" s="349"/>
      <c r="BZ416" s="349"/>
      <c r="CA416" s="349"/>
      <c r="CB416" s="349"/>
      <c r="CC416" s="354"/>
      <c r="CD416" s="354"/>
      <c r="CE416" s="354"/>
      <c r="CF416" s="354">
        <v>1</v>
      </c>
      <c r="CG416" s="354"/>
      <c r="CH416" s="354"/>
      <c r="CI416" s="354"/>
      <c r="CJ416" s="354"/>
      <c r="CK416" s="354"/>
      <c r="CL416" s="354"/>
      <c r="CM416" s="354"/>
      <c r="CN416" s="354"/>
      <c r="CO416" s="354"/>
      <c r="CP416" s="354"/>
      <c r="CQ416" s="354"/>
      <c r="CR416" s="354"/>
      <c r="CS416" s="354"/>
      <c r="CT416" s="354"/>
      <c r="CU416" s="354"/>
      <c r="CV416" s="354"/>
      <c r="CW416" s="354"/>
      <c r="CX416" s="354"/>
      <c r="CY416" s="354"/>
      <c r="CZ416" s="354"/>
      <c r="DA416" s="354"/>
      <c r="DB416" s="354"/>
      <c r="DC416" s="352"/>
      <c r="DJ416" s="58"/>
      <c r="DL416" s="364"/>
    </row>
    <row r="417" spans="1:107">
      <c r="A417" s="394"/>
      <c r="B417" s="395" t="s">
        <v>464</v>
      </c>
      <c r="C417" s="349"/>
      <c r="D417" s="349"/>
      <c r="E417" s="349"/>
      <c r="F417" s="349"/>
      <c r="G417" s="349"/>
      <c r="H417" s="349"/>
      <c r="I417" s="349"/>
      <c r="J417" s="349"/>
      <c r="K417" s="349"/>
      <c r="L417" s="349"/>
      <c r="M417" s="349"/>
      <c r="N417" s="349"/>
      <c r="O417" s="349"/>
      <c r="P417" s="354"/>
      <c r="Q417" s="354"/>
      <c r="R417" s="354"/>
      <c r="S417" s="354"/>
      <c r="T417" s="352"/>
      <c r="U417" s="353"/>
      <c r="V417" s="353"/>
      <c r="W417" s="353"/>
      <c r="X417" s="349"/>
      <c r="Y417" s="349"/>
      <c r="Z417" s="349"/>
      <c r="AA417" s="349"/>
      <c r="AB417" s="349"/>
      <c r="AC417" s="349"/>
      <c r="AD417" s="349"/>
      <c r="AE417" s="349"/>
      <c r="AF417" s="349"/>
      <c r="AG417" s="349"/>
      <c r="AH417" s="349"/>
      <c r="AI417" s="349"/>
      <c r="AJ417" s="349"/>
      <c r="AK417" s="349"/>
      <c r="AL417" s="349"/>
      <c r="AM417" s="349"/>
      <c r="AN417" s="349"/>
      <c r="AO417" s="349"/>
      <c r="AP417" s="354"/>
      <c r="AQ417" s="352"/>
      <c r="AR417" s="355"/>
      <c r="AS417" s="356"/>
      <c r="AT417" s="356"/>
      <c r="AU417" s="387"/>
      <c r="AV417" s="357"/>
      <c r="AW417" s="353"/>
      <c r="AX417" s="349"/>
      <c r="AY417" s="352"/>
      <c r="AZ417" s="372"/>
      <c r="BA417" s="373"/>
      <c r="BB417" s="373"/>
      <c r="BC417" s="373"/>
      <c r="BD417" s="373"/>
      <c r="BE417" s="373"/>
      <c r="BF417" s="373"/>
      <c r="BG417" s="373"/>
      <c r="BH417" s="373"/>
      <c r="BI417" s="373"/>
      <c r="BJ417" s="373"/>
      <c r="BK417" s="373"/>
      <c r="BL417" s="373"/>
      <c r="BM417" s="373"/>
      <c r="BN417" s="373"/>
      <c r="BO417" s="373"/>
      <c r="BP417" s="373"/>
      <c r="BQ417" s="373"/>
      <c r="BR417" s="373"/>
      <c r="BS417" s="373"/>
      <c r="BT417" s="373"/>
      <c r="BU417" s="373"/>
      <c r="BV417" s="373"/>
      <c r="BW417" s="373"/>
      <c r="BX417" s="373"/>
      <c r="BY417" s="373"/>
      <c r="BZ417" s="373"/>
      <c r="CA417" s="373"/>
      <c r="CB417" s="373"/>
      <c r="CC417" s="374"/>
      <c r="CD417" s="374"/>
      <c r="CE417" s="374"/>
      <c r="CF417" s="374"/>
      <c r="CG417" s="374"/>
      <c r="CH417" s="374"/>
      <c r="CI417" s="374"/>
      <c r="CJ417" s="374"/>
      <c r="CK417" s="374"/>
      <c r="CL417" s="374"/>
      <c r="CM417" s="374"/>
      <c r="CN417" s="374"/>
      <c r="CO417" s="374"/>
      <c r="CP417" s="374"/>
      <c r="CQ417" s="374"/>
      <c r="CR417" s="374"/>
      <c r="CS417" s="374"/>
      <c r="CT417" s="374"/>
      <c r="CU417" s="374"/>
      <c r="CV417" s="374"/>
      <c r="CW417" s="374"/>
      <c r="CX417" s="374"/>
      <c r="CY417" s="374"/>
      <c r="CZ417" s="374"/>
      <c r="DA417" s="374"/>
      <c r="DB417" s="392">
        <f>ROUNDUP(56.57,0)</f>
        <v>57</v>
      </c>
      <c r="DC417" s="375"/>
    </row>
    <row r="418" spans="1:107">
      <c r="A418" s="397"/>
      <c r="B418" s="396"/>
      <c r="C418" s="399"/>
      <c r="D418" s="400"/>
      <c r="E418" s="400"/>
      <c r="F418" s="400"/>
      <c r="G418" s="400"/>
      <c r="H418" s="400"/>
      <c r="I418" s="400"/>
      <c r="J418" s="400"/>
      <c r="K418" s="400"/>
      <c r="L418" s="400"/>
      <c r="M418" s="400"/>
      <c r="N418" s="400"/>
      <c r="O418" s="400"/>
      <c r="P418" s="401"/>
      <c r="Q418" s="401"/>
      <c r="R418" s="401"/>
      <c r="S418" s="401"/>
      <c r="T418" s="402"/>
      <c r="U418" s="396"/>
      <c r="V418" s="396"/>
      <c r="W418" s="396"/>
      <c r="X418" s="399"/>
      <c r="Y418" s="399"/>
      <c r="Z418" s="399"/>
      <c r="AA418" s="399"/>
      <c r="AB418" s="399"/>
      <c r="AC418" s="399"/>
      <c r="AD418" s="399"/>
      <c r="AE418" s="399"/>
      <c r="AF418" s="399"/>
      <c r="AG418" s="399"/>
      <c r="AH418" s="399"/>
      <c r="AI418" s="399"/>
      <c r="AJ418" s="399"/>
      <c r="AK418" s="399"/>
      <c r="AL418" s="399"/>
      <c r="AM418" s="399"/>
      <c r="AN418" s="399"/>
      <c r="AO418" s="399"/>
      <c r="AP418" s="403"/>
      <c r="AQ418" s="404"/>
      <c r="AR418" s="396"/>
      <c r="AS418" s="399"/>
      <c r="AT418" s="399"/>
      <c r="AU418" s="403"/>
      <c r="AV418" s="404"/>
      <c r="AW418" s="396"/>
      <c r="AX418" s="399"/>
      <c r="AY418" s="404"/>
      <c r="AZ418" s="405"/>
      <c r="BA418" s="406"/>
      <c r="BB418" s="406"/>
      <c r="BC418" s="406"/>
      <c r="BD418" s="406"/>
      <c r="BE418" s="406"/>
      <c r="BF418" s="471"/>
      <c r="BG418" s="406"/>
      <c r="BH418" s="406"/>
      <c r="BI418" s="406"/>
      <c r="BJ418" s="406"/>
      <c r="BK418" s="406"/>
      <c r="BL418" s="406"/>
      <c r="BM418" s="406"/>
      <c r="BN418" s="406"/>
      <c r="BO418" s="406"/>
      <c r="BP418" s="471"/>
      <c r="BQ418" s="406"/>
      <c r="BR418" s="406"/>
      <c r="BS418" s="406"/>
      <c r="BT418" s="471"/>
      <c r="BU418" s="471"/>
      <c r="BV418" s="471"/>
      <c r="BW418" s="406"/>
      <c r="BX418" s="471"/>
      <c r="BY418" s="406"/>
      <c r="BZ418" s="406"/>
      <c r="CA418" s="406"/>
      <c r="CB418" s="406"/>
      <c r="CC418" s="473"/>
      <c r="CD418" s="407"/>
      <c r="CE418" s="473"/>
      <c r="CF418" s="407"/>
      <c r="CG418" s="473"/>
      <c r="CH418" s="407"/>
      <c r="CI418" s="407"/>
      <c r="CJ418" s="407"/>
      <c r="CK418" s="473"/>
      <c r="CL418" s="473"/>
      <c r="CM418" s="407"/>
      <c r="CN418" s="407"/>
      <c r="CO418" s="407"/>
      <c r="CP418" s="407"/>
      <c r="CQ418" s="407"/>
      <c r="CR418" s="473"/>
      <c r="CS418" s="473"/>
      <c r="CT418" s="407"/>
      <c r="CU418" s="407"/>
      <c r="CV418" s="407"/>
      <c r="CW418" s="407"/>
      <c r="CX418" s="407"/>
      <c r="CY418" s="407"/>
      <c r="CZ418" s="407"/>
      <c r="DA418" s="407"/>
      <c r="DB418" s="407"/>
      <c r="DC418" s="408"/>
    </row>
    <row r="419" spans="1:107">
      <c r="A419" s="397"/>
      <c r="B419" s="396"/>
      <c r="C419" s="399"/>
      <c r="D419" s="400"/>
      <c r="E419" s="400"/>
      <c r="F419" s="400"/>
      <c r="G419" s="400"/>
      <c r="H419" s="400"/>
      <c r="I419" s="400"/>
      <c r="J419" s="400"/>
      <c r="K419" s="400"/>
      <c r="L419" s="400"/>
      <c r="M419" s="400"/>
      <c r="N419" s="400"/>
      <c r="O419" s="400"/>
      <c r="P419" s="401"/>
      <c r="Q419" s="401"/>
      <c r="R419" s="401"/>
      <c r="S419" s="401"/>
      <c r="T419" s="402"/>
      <c r="U419" s="396"/>
      <c r="V419" s="396"/>
      <c r="W419" s="396"/>
      <c r="X419" s="399"/>
      <c r="Y419" s="399"/>
      <c r="Z419" s="399"/>
      <c r="AA419" s="399"/>
      <c r="AB419" s="399"/>
      <c r="AC419" s="399"/>
      <c r="AD419" s="399"/>
      <c r="AE419" s="399"/>
      <c r="AF419" s="399"/>
      <c r="AG419" s="399"/>
      <c r="AH419" s="399"/>
      <c r="AI419" s="399"/>
      <c r="AJ419" s="399"/>
      <c r="AK419" s="399"/>
      <c r="AL419" s="399"/>
      <c r="AM419" s="399"/>
      <c r="AN419" s="399"/>
      <c r="AO419" s="399"/>
      <c r="AP419" s="403"/>
      <c r="AQ419" s="404"/>
      <c r="AR419" s="396"/>
      <c r="AS419" s="399"/>
      <c r="AT419" s="399"/>
      <c r="AU419" s="403"/>
      <c r="AV419" s="404"/>
      <c r="AW419" s="396"/>
      <c r="AX419" s="399"/>
      <c r="AY419" s="404"/>
      <c r="AZ419" s="405"/>
      <c r="BA419" s="406"/>
      <c r="BB419" s="406"/>
      <c r="BC419" s="406"/>
      <c r="BD419" s="406"/>
      <c r="BE419" s="406"/>
      <c r="BF419" s="471"/>
      <c r="BG419" s="406"/>
      <c r="BH419" s="406"/>
      <c r="BI419" s="406"/>
      <c r="BJ419" s="406"/>
      <c r="BK419" s="406"/>
      <c r="BL419" s="406"/>
      <c r="BM419" s="406"/>
      <c r="BN419" s="406"/>
      <c r="BO419" s="406"/>
      <c r="BP419" s="471"/>
      <c r="BQ419" s="406"/>
      <c r="BR419" s="406"/>
      <c r="BS419" s="406"/>
      <c r="BT419" s="471"/>
      <c r="BU419" s="471"/>
      <c r="BV419" s="471"/>
      <c r="BW419" s="406"/>
      <c r="BX419" s="471"/>
      <c r="BY419" s="406"/>
      <c r="BZ419" s="406"/>
      <c r="CA419" s="406"/>
      <c r="CB419" s="406"/>
      <c r="CC419" s="473"/>
      <c r="CD419" s="407"/>
      <c r="CE419" s="473"/>
      <c r="CF419" s="407"/>
      <c r="CG419" s="473"/>
      <c r="CH419" s="407"/>
      <c r="CI419" s="407"/>
      <c r="CJ419" s="407"/>
      <c r="CK419" s="473"/>
      <c r="CL419" s="473"/>
      <c r="CM419" s="407"/>
      <c r="CN419" s="407"/>
      <c r="CO419" s="407"/>
      <c r="CP419" s="407"/>
      <c r="CQ419" s="407"/>
      <c r="CR419" s="473"/>
      <c r="CS419" s="473"/>
      <c r="CT419" s="407"/>
      <c r="CU419" s="407"/>
      <c r="CV419" s="407"/>
      <c r="CW419" s="407"/>
      <c r="CX419" s="407"/>
      <c r="CY419" s="407"/>
      <c r="CZ419" s="407"/>
      <c r="DA419" s="407"/>
      <c r="DB419" s="407"/>
      <c r="DC419" s="408"/>
    </row>
    <row r="420" spans="1:107">
      <c r="A420" s="397"/>
      <c r="B420" s="396"/>
      <c r="C420" s="399"/>
      <c r="D420" s="400"/>
      <c r="E420" s="400"/>
      <c r="F420" s="400"/>
      <c r="G420" s="400"/>
      <c r="H420" s="400"/>
      <c r="I420" s="400"/>
      <c r="J420" s="400"/>
      <c r="K420" s="400"/>
      <c r="L420" s="400"/>
      <c r="M420" s="400"/>
      <c r="N420" s="400"/>
      <c r="O420" s="400"/>
      <c r="P420" s="401"/>
      <c r="Q420" s="401"/>
      <c r="R420" s="401"/>
      <c r="S420" s="401"/>
      <c r="T420" s="402"/>
      <c r="U420" s="396"/>
      <c r="V420" s="396"/>
      <c r="W420" s="396"/>
      <c r="X420" s="399"/>
      <c r="Y420" s="399"/>
      <c r="Z420" s="399"/>
      <c r="AA420" s="399"/>
      <c r="AB420" s="399"/>
      <c r="AC420" s="399"/>
      <c r="AD420" s="399"/>
      <c r="AE420" s="399"/>
      <c r="AF420" s="399"/>
      <c r="AG420" s="399"/>
      <c r="AH420" s="399"/>
      <c r="AI420" s="399"/>
      <c r="AJ420" s="399"/>
      <c r="AK420" s="399"/>
      <c r="AL420" s="399"/>
      <c r="AM420" s="399"/>
      <c r="AN420" s="399"/>
      <c r="AO420" s="399"/>
      <c r="AP420" s="403"/>
      <c r="AQ420" s="404"/>
      <c r="AR420" s="396"/>
      <c r="AS420" s="399"/>
      <c r="AT420" s="399"/>
      <c r="AU420" s="403"/>
      <c r="AV420" s="404"/>
      <c r="AW420" s="396"/>
      <c r="AX420" s="399"/>
      <c r="AY420" s="404"/>
      <c r="AZ420" s="405"/>
      <c r="BA420" s="406"/>
      <c r="BB420" s="406"/>
      <c r="BC420" s="406"/>
      <c r="BD420" s="406"/>
      <c r="BE420" s="406"/>
      <c r="BF420" s="471"/>
      <c r="BG420" s="406"/>
      <c r="BH420" s="406"/>
      <c r="BI420" s="406"/>
      <c r="BJ420" s="406"/>
      <c r="BK420" s="406"/>
      <c r="BL420" s="406"/>
      <c r="BM420" s="406"/>
      <c r="BN420" s="406"/>
      <c r="BO420" s="406"/>
      <c r="BP420" s="471"/>
      <c r="BQ420" s="406"/>
      <c r="BR420" s="406"/>
      <c r="BS420" s="406"/>
      <c r="BT420" s="471"/>
      <c r="BU420" s="471"/>
      <c r="BV420" s="471"/>
      <c r="BW420" s="406"/>
      <c r="BX420" s="471"/>
      <c r="BY420" s="406"/>
      <c r="BZ420" s="406"/>
      <c r="CA420" s="406"/>
      <c r="CB420" s="406"/>
      <c r="CC420" s="473"/>
      <c r="CD420" s="407"/>
      <c r="CE420" s="473"/>
      <c r="CF420" s="407"/>
      <c r="CG420" s="473"/>
      <c r="CH420" s="407"/>
      <c r="CI420" s="407"/>
      <c r="CJ420" s="407"/>
      <c r="CK420" s="473"/>
      <c r="CL420" s="473"/>
      <c r="CM420" s="407"/>
      <c r="CN420" s="407"/>
      <c r="CO420" s="407"/>
      <c r="CP420" s="407"/>
      <c r="CQ420" s="407"/>
      <c r="CR420" s="473"/>
      <c r="CS420" s="473"/>
      <c r="CT420" s="407"/>
      <c r="CU420" s="407"/>
      <c r="CV420" s="407"/>
      <c r="CW420" s="407"/>
      <c r="CX420" s="407"/>
      <c r="CY420" s="407"/>
      <c r="CZ420" s="407"/>
      <c r="DA420" s="407"/>
      <c r="DB420" s="407"/>
      <c r="DC420" s="408"/>
    </row>
    <row r="421" spans="1:107">
      <c r="A421" s="397"/>
      <c r="B421" s="396"/>
      <c r="C421" s="399"/>
      <c r="D421" s="400"/>
      <c r="E421" s="400"/>
      <c r="F421" s="400"/>
      <c r="G421" s="400"/>
      <c r="H421" s="400"/>
      <c r="I421" s="400"/>
      <c r="J421" s="400"/>
      <c r="K421" s="400"/>
      <c r="L421" s="400"/>
      <c r="M421" s="400"/>
      <c r="N421" s="400"/>
      <c r="O421" s="400"/>
      <c r="P421" s="401"/>
      <c r="Q421" s="401"/>
      <c r="R421" s="401"/>
      <c r="S421" s="401"/>
      <c r="T421" s="402"/>
      <c r="U421" s="396"/>
      <c r="V421" s="396"/>
      <c r="W421" s="396"/>
      <c r="X421" s="399"/>
      <c r="Y421" s="399"/>
      <c r="Z421" s="399"/>
      <c r="AA421" s="399"/>
      <c r="AB421" s="399"/>
      <c r="AC421" s="399"/>
      <c r="AD421" s="399"/>
      <c r="AE421" s="399"/>
      <c r="AF421" s="399"/>
      <c r="AG421" s="399"/>
      <c r="AH421" s="399"/>
      <c r="AI421" s="399"/>
      <c r="AJ421" s="399"/>
      <c r="AK421" s="399"/>
      <c r="AL421" s="399"/>
      <c r="AM421" s="399"/>
      <c r="AN421" s="399"/>
      <c r="AO421" s="399"/>
      <c r="AP421" s="403"/>
      <c r="AQ421" s="404"/>
      <c r="AR421" s="396"/>
      <c r="AS421" s="399"/>
      <c r="AT421" s="399"/>
      <c r="AU421" s="403"/>
      <c r="AV421" s="404"/>
      <c r="AW421" s="396"/>
      <c r="AX421" s="399"/>
      <c r="AY421" s="404"/>
      <c r="AZ421" s="405"/>
      <c r="BA421" s="406"/>
      <c r="BB421" s="406"/>
      <c r="BC421" s="406"/>
      <c r="BD421" s="406"/>
      <c r="BE421" s="406"/>
      <c r="BF421" s="471"/>
      <c r="BG421" s="406"/>
      <c r="BH421" s="406"/>
      <c r="BI421" s="406"/>
      <c r="BJ421" s="406"/>
      <c r="BK421" s="406"/>
      <c r="BL421" s="406"/>
      <c r="BM421" s="406"/>
      <c r="BN421" s="406"/>
      <c r="BO421" s="406"/>
      <c r="BP421" s="471"/>
      <c r="BQ421" s="406"/>
      <c r="BR421" s="406"/>
      <c r="BS421" s="406"/>
      <c r="BT421" s="471"/>
      <c r="BU421" s="471"/>
      <c r="BV421" s="471"/>
      <c r="BW421" s="406"/>
      <c r="BX421" s="471"/>
      <c r="BY421" s="406"/>
      <c r="BZ421" s="406"/>
      <c r="CA421" s="406"/>
      <c r="CB421" s="406"/>
      <c r="CC421" s="473"/>
      <c r="CD421" s="407"/>
      <c r="CE421" s="473"/>
      <c r="CF421" s="407"/>
      <c r="CG421" s="473"/>
      <c r="CH421" s="407"/>
      <c r="CI421" s="407"/>
      <c r="CJ421" s="407"/>
      <c r="CK421" s="473"/>
      <c r="CL421" s="473"/>
      <c r="CM421" s="407"/>
      <c r="CN421" s="407"/>
      <c r="CO421" s="407"/>
      <c r="CP421" s="407"/>
      <c r="CQ421" s="407"/>
      <c r="CR421" s="473"/>
      <c r="CS421" s="473"/>
      <c r="CT421" s="407"/>
      <c r="CU421" s="407"/>
      <c r="CV421" s="407"/>
      <c r="CW421" s="407"/>
      <c r="CX421" s="407"/>
      <c r="CY421" s="407"/>
      <c r="CZ421" s="407"/>
      <c r="DA421" s="407"/>
      <c r="DB421" s="407"/>
      <c r="DC421" s="408"/>
    </row>
    <row r="422" spans="1:107">
      <c r="A422" s="397"/>
      <c r="B422" s="396"/>
      <c r="C422" s="399"/>
      <c r="D422" s="400"/>
      <c r="E422" s="400"/>
      <c r="F422" s="400"/>
      <c r="G422" s="400"/>
      <c r="H422" s="400"/>
      <c r="I422" s="400"/>
      <c r="J422" s="400"/>
      <c r="K422" s="400"/>
      <c r="L422" s="400"/>
      <c r="M422" s="400"/>
      <c r="N422" s="400"/>
      <c r="O422" s="400"/>
      <c r="P422" s="401"/>
      <c r="Q422" s="401"/>
      <c r="R422" s="401"/>
      <c r="S422" s="401"/>
      <c r="T422" s="402"/>
      <c r="U422" s="396"/>
      <c r="V422" s="396"/>
      <c r="W422" s="396"/>
      <c r="X422" s="399"/>
      <c r="Y422" s="399"/>
      <c r="Z422" s="399"/>
      <c r="AA422" s="399"/>
      <c r="AB422" s="399"/>
      <c r="AC422" s="399"/>
      <c r="AD422" s="399"/>
      <c r="AE422" s="399"/>
      <c r="AF422" s="399"/>
      <c r="AG422" s="399"/>
      <c r="AH422" s="399"/>
      <c r="AI422" s="399"/>
      <c r="AJ422" s="399"/>
      <c r="AK422" s="399"/>
      <c r="AL422" s="399"/>
      <c r="AM422" s="399"/>
      <c r="AN422" s="399"/>
      <c r="AO422" s="399"/>
      <c r="AP422" s="403"/>
      <c r="AQ422" s="404"/>
      <c r="AR422" s="396"/>
      <c r="AS422" s="399"/>
      <c r="AT422" s="399"/>
      <c r="AU422" s="403"/>
      <c r="AV422" s="404"/>
      <c r="AW422" s="396"/>
      <c r="AX422" s="399"/>
      <c r="AY422" s="404"/>
      <c r="AZ422" s="405"/>
      <c r="BA422" s="406"/>
      <c r="BB422" s="406"/>
      <c r="BC422" s="406"/>
      <c r="BD422" s="406"/>
      <c r="BE422" s="406"/>
      <c r="BF422" s="471"/>
      <c r="BG422" s="406"/>
      <c r="BH422" s="406"/>
      <c r="BI422" s="406"/>
      <c r="BJ422" s="406"/>
      <c r="BK422" s="406"/>
      <c r="BL422" s="406"/>
      <c r="BM422" s="406"/>
      <c r="BN422" s="406"/>
      <c r="BO422" s="406"/>
      <c r="BP422" s="471"/>
      <c r="BQ422" s="406"/>
      <c r="BR422" s="406"/>
      <c r="BS422" s="406"/>
      <c r="BT422" s="471"/>
      <c r="BU422" s="471"/>
      <c r="BV422" s="471"/>
      <c r="BW422" s="406"/>
      <c r="BX422" s="471"/>
      <c r="BY422" s="406"/>
      <c r="BZ422" s="406"/>
      <c r="CA422" s="406"/>
      <c r="CB422" s="406"/>
      <c r="CC422" s="473"/>
      <c r="CD422" s="407"/>
      <c r="CE422" s="473"/>
      <c r="CF422" s="407"/>
      <c r="CG422" s="473"/>
      <c r="CH422" s="407"/>
      <c r="CI422" s="407"/>
      <c r="CJ422" s="407"/>
      <c r="CK422" s="473"/>
      <c r="CL422" s="473"/>
      <c r="CM422" s="407"/>
      <c r="CN422" s="407"/>
      <c r="CO422" s="407"/>
      <c r="CP422" s="407"/>
      <c r="CQ422" s="407"/>
      <c r="CR422" s="473"/>
      <c r="CS422" s="473"/>
      <c r="CT422" s="407"/>
      <c r="CU422" s="407"/>
      <c r="CV422" s="407"/>
      <c r="CW422" s="407"/>
      <c r="CX422" s="407"/>
      <c r="CY422" s="407"/>
      <c r="CZ422" s="407"/>
      <c r="DA422" s="407"/>
      <c r="DB422" s="407"/>
      <c r="DC422" s="408"/>
    </row>
    <row r="423" spans="1:107" ht="18.75">
      <c r="A423" s="397"/>
      <c r="B423" s="377" t="s">
        <v>171</v>
      </c>
      <c r="C423" s="378">
        <f>SUM(C414:C422)</f>
        <v>0</v>
      </c>
      <c r="D423" s="378">
        <f t="shared" ref="D423:BQ423" si="150">SUM(D414:D422)</f>
        <v>0</v>
      </c>
      <c r="E423" s="378">
        <f t="shared" si="150"/>
        <v>0</v>
      </c>
      <c r="F423" s="378">
        <f t="shared" si="150"/>
        <v>0</v>
      </c>
      <c r="G423" s="378">
        <f t="shared" si="150"/>
        <v>0</v>
      </c>
      <c r="H423" s="378">
        <f t="shared" si="150"/>
        <v>0</v>
      </c>
      <c r="I423" s="378">
        <f t="shared" si="150"/>
        <v>0</v>
      </c>
      <c r="J423" s="378">
        <f t="shared" si="150"/>
        <v>0</v>
      </c>
      <c r="K423" s="378">
        <f t="shared" si="150"/>
        <v>0</v>
      </c>
      <c r="L423" s="378">
        <f t="shared" si="150"/>
        <v>0</v>
      </c>
      <c r="M423" s="378">
        <f t="shared" si="150"/>
        <v>0</v>
      </c>
      <c r="N423" s="378">
        <f t="shared" si="150"/>
        <v>0</v>
      </c>
      <c r="O423" s="378">
        <f t="shared" si="150"/>
        <v>0</v>
      </c>
      <c r="P423" s="378">
        <f t="shared" si="150"/>
        <v>0</v>
      </c>
      <c r="Q423" s="378">
        <f t="shared" si="150"/>
        <v>0</v>
      </c>
      <c r="R423" s="378">
        <f t="shared" si="150"/>
        <v>0</v>
      </c>
      <c r="S423" s="378">
        <f t="shared" si="150"/>
        <v>0</v>
      </c>
      <c r="T423" s="378">
        <f t="shared" si="150"/>
        <v>0</v>
      </c>
      <c r="U423" s="378">
        <f t="shared" si="150"/>
        <v>109</v>
      </c>
      <c r="V423" s="378">
        <f t="shared" si="150"/>
        <v>0</v>
      </c>
      <c r="W423" s="378">
        <f t="shared" si="150"/>
        <v>0</v>
      </c>
      <c r="X423" s="378">
        <f t="shared" si="150"/>
        <v>0</v>
      </c>
      <c r="Y423" s="378">
        <f t="shared" si="150"/>
        <v>0</v>
      </c>
      <c r="Z423" s="378">
        <f t="shared" si="150"/>
        <v>109</v>
      </c>
      <c r="AA423" s="378">
        <f t="shared" si="150"/>
        <v>109</v>
      </c>
      <c r="AB423" s="378">
        <f t="shared" si="150"/>
        <v>0</v>
      </c>
      <c r="AC423" s="378">
        <f t="shared" si="150"/>
        <v>0</v>
      </c>
      <c r="AD423" s="378">
        <f t="shared" si="150"/>
        <v>0</v>
      </c>
      <c r="AE423" s="378">
        <f t="shared" si="150"/>
        <v>0</v>
      </c>
      <c r="AF423" s="378">
        <f t="shared" si="150"/>
        <v>0</v>
      </c>
      <c r="AG423" s="378">
        <f t="shared" si="150"/>
        <v>0</v>
      </c>
      <c r="AH423" s="378">
        <f t="shared" si="150"/>
        <v>0</v>
      </c>
      <c r="AI423" s="378">
        <f t="shared" si="150"/>
        <v>0</v>
      </c>
      <c r="AJ423" s="378">
        <f t="shared" si="150"/>
        <v>0</v>
      </c>
      <c r="AK423" s="378">
        <f t="shared" si="150"/>
        <v>0</v>
      </c>
      <c r="AL423" s="378">
        <f t="shared" si="150"/>
        <v>0</v>
      </c>
      <c r="AM423" s="378">
        <f t="shared" si="150"/>
        <v>0</v>
      </c>
      <c r="AN423" s="378">
        <f t="shared" si="150"/>
        <v>0</v>
      </c>
      <c r="AO423" s="378">
        <f t="shared" si="150"/>
        <v>0</v>
      </c>
      <c r="AP423" s="378">
        <f t="shared" si="150"/>
        <v>0</v>
      </c>
      <c r="AQ423" s="378">
        <f t="shared" si="150"/>
        <v>0</v>
      </c>
      <c r="AR423" s="378">
        <f t="shared" si="150"/>
        <v>0</v>
      </c>
      <c r="AS423" s="378">
        <f t="shared" si="150"/>
        <v>0</v>
      </c>
      <c r="AT423" s="378">
        <f t="shared" si="150"/>
        <v>0</v>
      </c>
      <c r="AU423" s="378">
        <f t="shared" si="150"/>
        <v>0</v>
      </c>
      <c r="AV423" s="378">
        <f t="shared" si="150"/>
        <v>0</v>
      </c>
      <c r="AW423" s="378">
        <f t="shared" si="150"/>
        <v>109</v>
      </c>
      <c r="AX423" s="378">
        <f t="shared" si="150"/>
        <v>109</v>
      </c>
      <c r="AY423" s="378">
        <f t="shared" si="150"/>
        <v>0</v>
      </c>
      <c r="AZ423" s="378">
        <f t="shared" si="150"/>
        <v>0</v>
      </c>
      <c r="BA423" s="378">
        <f t="shared" si="150"/>
        <v>0</v>
      </c>
      <c r="BB423" s="378">
        <f t="shared" si="150"/>
        <v>0</v>
      </c>
      <c r="BC423" s="378">
        <f t="shared" si="150"/>
        <v>0</v>
      </c>
      <c r="BD423" s="378">
        <f t="shared" si="150"/>
        <v>0</v>
      </c>
      <c r="BE423" s="378">
        <f t="shared" si="150"/>
        <v>0</v>
      </c>
      <c r="BF423" s="378">
        <f t="shared" si="150"/>
        <v>0</v>
      </c>
      <c r="BG423" s="378">
        <f t="shared" si="150"/>
        <v>0</v>
      </c>
      <c r="BH423" s="378">
        <f t="shared" si="150"/>
        <v>0</v>
      </c>
      <c r="BI423" s="378">
        <f t="shared" si="150"/>
        <v>1</v>
      </c>
      <c r="BJ423" s="378">
        <f t="shared" si="150"/>
        <v>0</v>
      </c>
      <c r="BK423" s="378">
        <f t="shared" si="150"/>
        <v>0</v>
      </c>
      <c r="BL423" s="378">
        <f t="shared" si="150"/>
        <v>0</v>
      </c>
      <c r="BM423" s="378">
        <f t="shared" si="150"/>
        <v>1</v>
      </c>
      <c r="BN423" s="378">
        <f t="shared" si="150"/>
        <v>0</v>
      </c>
      <c r="BO423" s="378">
        <f t="shared" si="150"/>
        <v>0</v>
      </c>
      <c r="BP423" s="378">
        <f t="shared" si="150"/>
        <v>0</v>
      </c>
      <c r="BQ423" s="378">
        <f t="shared" si="150"/>
        <v>0</v>
      </c>
      <c r="BR423" s="378">
        <f t="shared" ref="BR423:CA423" si="151">SUM(BR414:BR422)</f>
        <v>0</v>
      </c>
      <c r="BS423" s="378">
        <f t="shared" si="151"/>
        <v>0</v>
      </c>
      <c r="BT423" s="378">
        <f t="shared" si="151"/>
        <v>0</v>
      </c>
      <c r="BU423" s="378">
        <f t="shared" si="151"/>
        <v>0</v>
      </c>
      <c r="BV423" s="378">
        <f t="shared" si="151"/>
        <v>0</v>
      </c>
      <c r="BW423" s="378">
        <f t="shared" si="151"/>
        <v>0</v>
      </c>
      <c r="BX423" s="378"/>
      <c r="BY423" s="378">
        <f t="shared" si="151"/>
        <v>0</v>
      </c>
      <c r="BZ423" s="378">
        <f t="shared" si="151"/>
        <v>0</v>
      </c>
      <c r="CA423" s="378">
        <f t="shared" si="151"/>
        <v>0</v>
      </c>
      <c r="CB423" s="378">
        <f t="shared" ref="CB423:CY423" si="152">SUM(CB414:CB422)</f>
        <v>0</v>
      </c>
      <c r="CC423" s="378"/>
      <c r="CD423" s="378">
        <f t="shared" si="152"/>
        <v>0</v>
      </c>
      <c r="CE423" s="378"/>
      <c r="CF423" s="378">
        <f t="shared" si="152"/>
        <v>1</v>
      </c>
      <c r="CG423" s="378"/>
      <c r="CH423" s="378">
        <f t="shared" si="152"/>
        <v>0</v>
      </c>
      <c r="CI423" s="378">
        <f t="shared" si="152"/>
        <v>0</v>
      </c>
      <c r="CJ423" s="378">
        <f t="shared" si="152"/>
        <v>0</v>
      </c>
      <c r="CK423" s="378"/>
      <c r="CL423" s="378"/>
      <c r="CM423" s="378">
        <f t="shared" si="152"/>
        <v>0</v>
      </c>
      <c r="CN423" s="378">
        <f t="shared" si="152"/>
        <v>0</v>
      </c>
      <c r="CO423" s="378">
        <f t="shared" si="152"/>
        <v>0</v>
      </c>
      <c r="CP423" s="378">
        <f t="shared" si="152"/>
        <v>0</v>
      </c>
      <c r="CQ423" s="378">
        <f t="shared" si="152"/>
        <v>0</v>
      </c>
      <c r="CR423" s="378">
        <f t="shared" si="152"/>
        <v>0</v>
      </c>
      <c r="CS423" s="378">
        <f t="shared" si="152"/>
        <v>0</v>
      </c>
      <c r="CT423" s="378">
        <f t="shared" si="152"/>
        <v>0</v>
      </c>
      <c r="CU423" s="378">
        <f t="shared" si="152"/>
        <v>0</v>
      </c>
      <c r="CV423" s="378">
        <f t="shared" si="152"/>
        <v>0</v>
      </c>
      <c r="CW423" s="378">
        <f t="shared" si="152"/>
        <v>0</v>
      </c>
      <c r="CX423" s="378">
        <f t="shared" si="152"/>
        <v>0</v>
      </c>
      <c r="CY423" s="378">
        <f t="shared" si="152"/>
        <v>0</v>
      </c>
      <c r="CZ423" s="378">
        <f t="shared" ref="CZ423:DC423" si="153">SUM(CZ414:CZ422)</f>
        <v>0</v>
      </c>
      <c r="DA423" s="378">
        <f t="shared" si="153"/>
        <v>0</v>
      </c>
      <c r="DB423" s="378">
        <f t="shared" si="153"/>
        <v>57</v>
      </c>
      <c r="DC423" s="378">
        <f t="shared" si="153"/>
        <v>0</v>
      </c>
    </row>
    <row r="424" spans="1:107">
      <c r="A424" s="397"/>
      <c r="B424" s="396"/>
      <c r="C424" s="399"/>
      <c r="D424" s="400"/>
      <c r="E424" s="400"/>
      <c r="F424" s="400"/>
      <c r="G424" s="400"/>
      <c r="H424" s="400"/>
      <c r="I424" s="400"/>
      <c r="J424" s="400"/>
      <c r="K424" s="400"/>
      <c r="L424" s="400"/>
      <c r="M424" s="400"/>
      <c r="N424" s="400"/>
      <c r="O424" s="400"/>
      <c r="P424" s="401"/>
      <c r="Q424" s="401"/>
      <c r="R424" s="401"/>
      <c r="S424" s="401"/>
      <c r="T424" s="402"/>
      <c r="U424" s="396"/>
      <c r="V424" s="396"/>
      <c r="W424" s="396"/>
      <c r="X424" s="399"/>
      <c r="Y424" s="399"/>
      <c r="Z424" s="399"/>
      <c r="AA424" s="399"/>
      <c r="AB424" s="399"/>
      <c r="AC424" s="399"/>
      <c r="AD424" s="399"/>
      <c r="AE424" s="399"/>
      <c r="AF424" s="399"/>
      <c r="AG424" s="399"/>
      <c r="AH424" s="399"/>
      <c r="AI424" s="399"/>
      <c r="AJ424" s="399"/>
      <c r="AK424" s="399"/>
      <c r="AL424" s="399"/>
      <c r="AM424" s="399"/>
      <c r="AN424" s="399"/>
      <c r="AO424" s="399"/>
      <c r="AP424" s="403"/>
      <c r="AQ424" s="404"/>
      <c r="AR424" s="396"/>
      <c r="AS424" s="399"/>
      <c r="AT424" s="399"/>
      <c r="AU424" s="403"/>
      <c r="AV424" s="404"/>
      <c r="AW424" s="396"/>
      <c r="AX424" s="399"/>
      <c r="AY424" s="404"/>
      <c r="AZ424" s="405"/>
      <c r="BA424" s="406"/>
      <c r="BB424" s="406"/>
      <c r="BC424" s="406"/>
      <c r="BD424" s="406"/>
      <c r="BE424" s="406"/>
      <c r="BF424" s="471"/>
      <c r="BG424" s="406"/>
      <c r="BH424" s="406"/>
      <c r="BI424" s="406"/>
      <c r="BJ424" s="406"/>
      <c r="BK424" s="406"/>
      <c r="BL424" s="406"/>
      <c r="BM424" s="406"/>
      <c r="BN424" s="406"/>
      <c r="BO424" s="406"/>
      <c r="BP424" s="471"/>
      <c r="BQ424" s="406"/>
      <c r="BR424" s="406"/>
      <c r="BS424" s="406"/>
      <c r="BT424" s="471"/>
      <c r="BU424" s="471"/>
      <c r="BV424" s="471"/>
      <c r="BW424" s="406"/>
      <c r="BX424" s="471"/>
      <c r="BY424" s="406"/>
      <c r="BZ424" s="406"/>
      <c r="CA424" s="406"/>
      <c r="CB424" s="406"/>
      <c r="CC424" s="473"/>
      <c r="CD424" s="407"/>
      <c r="CE424" s="473"/>
      <c r="CF424" s="407"/>
      <c r="CG424" s="473"/>
      <c r="CH424" s="407"/>
      <c r="CI424" s="407"/>
      <c r="CJ424" s="407"/>
      <c r="CK424" s="473"/>
      <c r="CL424" s="473"/>
      <c r="CM424" s="407"/>
      <c r="CN424" s="407"/>
      <c r="CO424" s="407"/>
      <c r="CP424" s="407"/>
      <c r="CQ424" s="407"/>
      <c r="CR424" s="473"/>
      <c r="CS424" s="473"/>
      <c r="CT424" s="407"/>
      <c r="CU424" s="407"/>
      <c r="CV424" s="407"/>
      <c r="CW424" s="407"/>
      <c r="CX424" s="407"/>
      <c r="CY424" s="407"/>
      <c r="CZ424" s="407"/>
      <c r="DA424" s="407"/>
      <c r="DB424" s="407"/>
      <c r="DC424" s="408"/>
    </row>
    <row r="425" spans="1:107">
      <c r="A425" s="397"/>
      <c r="B425" s="396"/>
      <c r="C425" s="399"/>
      <c r="D425" s="400"/>
      <c r="E425" s="400"/>
      <c r="F425" s="400"/>
      <c r="G425" s="400"/>
      <c r="H425" s="400"/>
      <c r="I425" s="400"/>
      <c r="J425" s="400"/>
      <c r="K425" s="400"/>
      <c r="L425" s="400"/>
      <c r="M425" s="400"/>
      <c r="N425" s="400"/>
      <c r="O425" s="400"/>
      <c r="P425" s="401"/>
      <c r="Q425" s="401"/>
      <c r="R425" s="401"/>
      <c r="S425" s="401"/>
      <c r="T425" s="402"/>
      <c r="U425" s="396"/>
      <c r="V425" s="396"/>
      <c r="W425" s="396"/>
      <c r="X425" s="399"/>
      <c r="Y425" s="399"/>
      <c r="Z425" s="399"/>
      <c r="AA425" s="399"/>
      <c r="AB425" s="399"/>
      <c r="AC425" s="399"/>
      <c r="AD425" s="399"/>
      <c r="AE425" s="399"/>
      <c r="AF425" s="399"/>
      <c r="AG425" s="399"/>
      <c r="AH425" s="399"/>
      <c r="AI425" s="399"/>
      <c r="AJ425" s="399"/>
      <c r="AK425" s="399"/>
      <c r="AL425" s="399"/>
      <c r="AM425" s="399"/>
      <c r="AN425" s="399"/>
      <c r="AO425" s="399"/>
      <c r="AP425" s="403"/>
      <c r="AQ425" s="404"/>
      <c r="AR425" s="396"/>
      <c r="AS425" s="399"/>
      <c r="AT425" s="399"/>
      <c r="AU425" s="403"/>
      <c r="AV425" s="404"/>
      <c r="AW425" s="396"/>
      <c r="AX425" s="399"/>
      <c r="AY425" s="404"/>
      <c r="AZ425" s="405"/>
      <c r="BA425" s="406"/>
      <c r="BB425" s="406"/>
      <c r="BC425" s="406"/>
      <c r="BD425" s="406"/>
      <c r="BE425" s="406"/>
      <c r="BF425" s="471"/>
      <c r="BG425" s="406"/>
      <c r="BH425" s="406"/>
      <c r="BI425" s="406"/>
      <c r="BJ425" s="406"/>
      <c r="BK425" s="406"/>
      <c r="BL425" s="406"/>
      <c r="BM425" s="406"/>
      <c r="BN425" s="406"/>
      <c r="BO425" s="406"/>
      <c r="BP425" s="471"/>
      <c r="BQ425" s="406"/>
      <c r="BR425" s="406"/>
      <c r="BS425" s="406"/>
      <c r="BT425" s="471"/>
      <c r="BU425" s="471"/>
      <c r="BV425" s="471"/>
      <c r="BW425" s="406"/>
      <c r="BX425" s="471"/>
      <c r="BY425" s="406"/>
      <c r="BZ425" s="406"/>
      <c r="CA425" s="406"/>
      <c r="CB425" s="406"/>
      <c r="CC425" s="473"/>
      <c r="CD425" s="407"/>
      <c r="CE425" s="473"/>
      <c r="CF425" s="407"/>
      <c r="CG425" s="473"/>
      <c r="CH425" s="407"/>
      <c r="CI425" s="407"/>
      <c r="CJ425" s="407"/>
      <c r="CK425" s="473"/>
      <c r="CL425" s="473"/>
      <c r="CM425" s="407"/>
      <c r="CN425" s="407"/>
      <c r="CO425" s="407"/>
      <c r="CP425" s="407"/>
      <c r="CQ425" s="407"/>
      <c r="CR425" s="473"/>
      <c r="CS425" s="473"/>
      <c r="CT425" s="407"/>
      <c r="CU425" s="407"/>
      <c r="CV425" s="407"/>
      <c r="CW425" s="407"/>
      <c r="CX425" s="407"/>
      <c r="CY425" s="407"/>
      <c r="CZ425" s="407"/>
      <c r="DA425" s="407"/>
      <c r="DB425" s="407"/>
      <c r="DC425" s="408"/>
    </row>
    <row r="426" spans="1:107">
      <c r="A426" s="397"/>
      <c r="B426" s="396"/>
      <c r="C426" s="399"/>
      <c r="D426" s="400"/>
      <c r="E426" s="400"/>
      <c r="F426" s="400"/>
      <c r="G426" s="400"/>
      <c r="H426" s="400"/>
      <c r="I426" s="400"/>
      <c r="J426" s="400"/>
      <c r="K426" s="400"/>
      <c r="L426" s="400"/>
      <c r="M426" s="400"/>
      <c r="N426" s="400"/>
      <c r="O426" s="400"/>
      <c r="P426" s="401"/>
      <c r="Q426" s="401"/>
      <c r="R426" s="401"/>
      <c r="S426" s="401"/>
      <c r="T426" s="402"/>
      <c r="U426" s="396"/>
      <c r="V426" s="396"/>
      <c r="W426" s="396"/>
      <c r="X426" s="399"/>
      <c r="Y426" s="399"/>
      <c r="Z426" s="399"/>
      <c r="AA426" s="399"/>
      <c r="AB426" s="399"/>
      <c r="AC426" s="399"/>
      <c r="AD426" s="399"/>
      <c r="AE426" s="399"/>
      <c r="AF426" s="399"/>
      <c r="AG426" s="399"/>
      <c r="AH426" s="399"/>
      <c r="AI426" s="399"/>
      <c r="AJ426" s="399"/>
      <c r="AK426" s="399"/>
      <c r="AL426" s="399"/>
      <c r="AM426" s="399"/>
      <c r="AN426" s="399"/>
      <c r="AO426" s="399"/>
      <c r="AP426" s="403"/>
      <c r="AQ426" s="404"/>
      <c r="AR426" s="396"/>
      <c r="AS426" s="399"/>
      <c r="AT426" s="399"/>
      <c r="AU426" s="403"/>
      <c r="AV426" s="404"/>
      <c r="AW426" s="396"/>
      <c r="AX426" s="399"/>
      <c r="AY426" s="404"/>
      <c r="AZ426" s="405"/>
      <c r="BA426" s="406"/>
      <c r="BB426" s="406"/>
      <c r="BC426" s="406"/>
      <c r="BD426" s="406"/>
      <c r="BE426" s="406"/>
      <c r="BF426" s="471"/>
      <c r="BG426" s="406"/>
      <c r="BH426" s="406"/>
      <c r="BI426" s="406"/>
      <c r="BJ426" s="406"/>
      <c r="BK426" s="406"/>
      <c r="BL426" s="406"/>
      <c r="BM426" s="406"/>
      <c r="BN426" s="406"/>
      <c r="BO426" s="406"/>
      <c r="BP426" s="471"/>
      <c r="BQ426" s="406"/>
      <c r="BR426" s="406"/>
      <c r="BS426" s="406"/>
      <c r="BT426" s="471"/>
      <c r="BU426" s="471"/>
      <c r="BV426" s="471"/>
      <c r="BW426" s="406"/>
      <c r="BX426" s="471"/>
      <c r="BY426" s="406"/>
      <c r="BZ426" s="406"/>
      <c r="CA426" s="406"/>
      <c r="CB426" s="406"/>
      <c r="CC426" s="473"/>
      <c r="CD426" s="407"/>
      <c r="CE426" s="473"/>
      <c r="CF426" s="407"/>
      <c r="CG426" s="473"/>
      <c r="CH426" s="407"/>
      <c r="CI426" s="407"/>
      <c r="CJ426" s="407"/>
      <c r="CK426" s="473"/>
      <c r="CL426" s="473"/>
      <c r="CM426" s="407"/>
      <c r="CN426" s="407"/>
      <c r="CO426" s="407"/>
      <c r="CP426" s="407"/>
      <c r="CQ426" s="407"/>
      <c r="CR426" s="473"/>
      <c r="CS426" s="473"/>
      <c r="CT426" s="407"/>
      <c r="CU426" s="407"/>
      <c r="CV426" s="407"/>
      <c r="CW426" s="407"/>
      <c r="CX426" s="407"/>
      <c r="CY426" s="407"/>
      <c r="CZ426" s="407"/>
      <c r="DA426" s="407"/>
      <c r="DB426" s="407"/>
      <c r="DC426" s="408"/>
    </row>
    <row r="427" spans="1:107">
      <c r="A427" s="397"/>
      <c r="B427" s="396"/>
      <c r="C427" s="399"/>
      <c r="D427" s="400"/>
      <c r="E427" s="400"/>
      <c r="F427" s="400"/>
      <c r="G427" s="400"/>
      <c r="H427" s="400"/>
      <c r="I427" s="400"/>
      <c r="J427" s="400"/>
      <c r="K427" s="400"/>
      <c r="L427" s="400"/>
      <c r="M427" s="400"/>
      <c r="N427" s="400"/>
      <c r="O427" s="400"/>
      <c r="P427" s="401"/>
      <c r="Q427" s="401"/>
      <c r="R427" s="401"/>
      <c r="S427" s="401"/>
      <c r="T427" s="402"/>
      <c r="U427" s="396"/>
      <c r="V427" s="396"/>
      <c r="W427" s="396"/>
      <c r="X427" s="399"/>
      <c r="Y427" s="399"/>
      <c r="Z427" s="399"/>
      <c r="AA427" s="399"/>
      <c r="AB427" s="399"/>
      <c r="AC427" s="399"/>
      <c r="AD427" s="399"/>
      <c r="AE427" s="399"/>
      <c r="AF427" s="399"/>
      <c r="AG427" s="399"/>
      <c r="AH427" s="399"/>
      <c r="AI427" s="399"/>
      <c r="AJ427" s="399"/>
      <c r="AK427" s="399"/>
      <c r="AL427" s="399"/>
      <c r="AM427" s="399"/>
      <c r="AN427" s="399"/>
      <c r="AO427" s="399"/>
      <c r="AP427" s="403"/>
      <c r="AQ427" s="404"/>
      <c r="AR427" s="396"/>
      <c r="AS427" s="399"/>
      <c r="AT427" s="399"/>
      <c r="AU427" s="403"/>
      <c r="AV427" s="404"/>
      <c r="AW427" s="396"/>
      <c r="AX427" s="399"/>
      <c r="AY427" s="404"/>
      <c r="AZ427" s="405"/>
      <c r="BA427" s="406"/>
      <c r="BB427" s="406"/>
      <c r="BC427" s="406"/>
      <c r="BD427" s="406"/>
      <c r="BE427" s="406"/>
      <c r="BF427" s="471"/>
      <c r="BG427" s="406"/>
      <c r="BH427" s="406"/>
      <c r="BI427" s="406"/>
      <c r="BJ427" s="406"/>
      <c r="BK427" s="406"/>
      <c r="BL427" s="406"/>
      <c r="BM427" s="406"/>
      <c r="BN427" s="406"/>
      <c r="BO427" s="406"/>
      <c r="BP427" s="471"/>
      <c r="BQ427" s="406"/>
      <c r="BR427" s="406"/>
      <c r="BS427" s="406"/>
      <c r="BT427" s="471"/>
      <c r="BU427" s="471"/>
      <c r="BV427" s="471"/>
      <c r="BW427" s="406"/>
      <c r="BX427" s="471"/>
      <c r="BY427" s="406"/>
      <c r="BZ427" s="406"/>
      <c r="CA427" s="406"/>
      <c r="CB427" s="406"/>
      <c r="CC427" s="473"/>
      <c r="CD427" s="407"/>
      <c r="CE427" s="473"/>
      <c r="CF427" s="407"/>
      <c r="CG427" s="473"/>
      <c r="CH427" s="407"/>
      <c r="CI427" s="407"/>
      <c r="CJ427" s="407"/>
      <c r="CK427" s="473"/>
      <c r="CL427" s="473"/>
      <c r="CM427" s="407"/>
      <c r="CN427" s="407"/>
      <c r="CO427" s="407"/>
      <c r="CP427" s="407"/>
      <c r="CQ427" s="407"/>
      <c r="CR427" s="473"/>
      <c r="CS427" s="473"/>
      <c r="CT427" s="407"/>
      <c r="CU427" s="407"/>
      <c r="CV427" s="407"/>
      <c r="CW427" s="407"/>
      <c r="CX427" s="407"/>
      <c r="CY427" s="407"/>
      <c r="CZ427" s="407"/>
      <c r="DA427" s="407"/>
      <c r="DB427" s="407"/>
      <c r="DC427" s="408"/>
    </row>
    <row r="428" spans="1:107">
      <c r="A428" s="397"/>
      <c r="B428" s="396"/>
      <c r="C428" s="399"/>
      <c r="D428" s="400"/>
      <c r="E428" s="400"/>
      <c r="F428" s="400"/>
      <c r="G428" s="400"/>
      <c r="H428" s="400"/>
      <c r="I428" s="400"/>
      <c r="J428" s="400"/>
      <c r="K428" s="400"/>
      <c r="L428" s="400"/>
      <c r="M428" s="400"/>
      <c r="N428" s="400"/>
      <c r="O428" s="400"/>
      <c r="P428" s="401"/>
      <c r="Q428" s="401"/>
      <c r="R428" s="401"/>
      <c r="S428" s="401"/>
      <c r="T428" s="402"/>
      <c r="U428" s="396"/>
      <c r="V428" s="396"/>
      <c r="W428" s="396"/>
      <c r="X428" s="399"/>
      <c r="Y428" s="399"/>
      <c r="Z428" s="399"/>
      <c r="AA428" s="399"/>
      <c r="AB428" s="399"/>
      <c r="AC428" s="399"/>
      <c r="AD428" s="399"/>
      <c r="AE428" s="399"/>
      <c r="AF428" s="399"/>
      <c r="AG428" s="399"/>
      <c r="AH428" s="399"/>
      <c r="AI428" s="399"/>
      <c r="AJ428" s="399"/>
      <c r="AK428" s="399"/>
      <c r="AL428" s="399"/>
      <c r="AM428" s="399"/>
      <c r="AN428" s="399"/>
      <c r="AO428" s="399"/>
      <c r="AP428" s="403"/>
      <c r="AQ428" s="404"/>
      <c r="AR428" s="396"/>
      <c r="AS428" s="399"/>
      <c r="AT428" s="399"/>
      <c r="AU428" s="403"/>
      <c r="AV428" s="404"/>
      <c r="AW428" s="396"/>
      <c r="AX428" s="399"/>
      <c r="AY428" s="404"/>
      <c r="AZ428" s="405"/>
      <c r="BA428" s="406"/>
      <c r="BB428" s="406"/>
      <c r="BC428" s="406"/>
      <c r="BD428" s="406"/>
      <c r="BE428" s="406"/>
      <c r="BF428" s="471"/>
      <c r="BG428" s="406"/>
      <c r="BH428" s="406"/>
      <c r="BI428" s="406"/>
      <c r="BJ428" s="406"/>
      <c r="BK428" s="406"/>
      <c r="BL428" s="406"/>
      <c r="BM428" s="406"/>
      <c r="BN428" s="406"/>
      <c r="BO428" s="406"/>
      <c r="BP428" s="471"/>
      <c r="BQ428" s="406"/>
      <c r="BR428" s="406"/>
      <c r="BS428" s="406"/>
      <c r="BT428" s="471"/>
      <c r="BU428" s="471"/>
      <c r="BV428" s="471"/>
      <c r="BW428" s="406"/>
      <c r="BX428" s="471"/>
      <c r="BY428" s="406"/>
      <c r="BZ428" s="406"/>
      <c r="CA428" s="406"/>
      <c r="CB428" s="406"/>
      <c r="CC428" s="473"/>
      <c r="CD428" s="407"/>
      <c r="CE428" s="473"/>
      <c r="CF428" s="407"/>
      <c r="CG428" s="473"/>
      <c r="CH428" s="407"/>
      <c r="CI428" s="407"/>
      <c r="CJ428" s="407"/>
      <c r="CK428" s="473"/>
      <c r="CL428" s="473"/>
      <c r="CM428" s="407"/>
      <c r="CN428" s="407"/>
      <c r="CO428" s="407"/>
      <c r="CP428" s="407"/>
      <c r="CQ428" s="407"/>
      <c r="CR428" s="473"/>
      <c r="CS428" s="473"/>
      <c r="CT428" s="407"/>
      <c r="CU428" s="407"/>
      <c r="CV428" s="407"/>
      <c r="CW428" s="407"/>
      <c r="CX428" s="407"/>
      <c r="CY428" s="407"/>
      <c r="CZ428" s="407"/>
      <c r="DA428" s="407"/>
      <c r="DB428" s="407"/>
      <c r="DC428" s="408"/>
    </row>
    <row r="429" spans="1:107">
      <c r="A429" s="397"/>
      <c r="B429" s="396"/>
      <c r="C429" s="399"/>
      <c r="D429" s="400"/>
      <c r="E429" s="400"/>
      <c r="F429" s="400"/>
      <c r="G429" s="400"/>
      <c r="H429" s="400"/>
      <c r="I429" s="400"/>
      <c r="J429" s="400"/>
      <c r="K429" s="400"/>
      <c r="L429" s="400"/>
      <c r="M429" s="400"/>
      <c r="N429" s="400"/>
      <c r="O429" s="400"/>
      <c r="P429" s="401"/>
      <c r="Q429" s="401"/>
      <c r="R429" s="401"/>
      <c r="S429" s="401"/>
      <c r="T429" s="402"/>
      <c r="U429" s="396"/>
      <c r="V429" s="396"/>
      <c r="W429" s="396"/>
      <c r="X429" s="399"/>
      <c r="Y429" s="399"/>
      <c r="Z429" s="399"/>
      <c r="AA429" s="399"/>
      <c r="AB429" s="399"/>
      <c r="AC429" s="399"/>
      <c r="AD429" s="399"/>
      <c r="AE429" s="399"/>
      <c r="AF429" s="399"/>
      <c r="AG429" s="399"/>
      <c r="AH429" s="399"/>
      <c r="AI429" s="399"/>
      <c r="AJ429" s="399"/>
      <c r="AK429" s="399"/>
      <c r="AL429" s="399"/>
      <c r="AM429" s="399"/>
      <c r="AN429" s="399"/>
      <c r="AO429" s="399"/>
      <c r="AP429" s="403"/>
      <c r="AQ429" s="404"/>
      <c r="AR429" s="396"/>
      <c r="AS429" s="399"/>
      <c r="AT429" s="399"/>
      <c r="AU429" s="403"/>
      <c r="AV429" s="404"/>
      <c r="AW429" s="396"/>
      <c r="AX429" s="399"/>
      <c r="AY429" s="404"/>
      <c r="AZ429" s="405"/>
      <c r="BA429" s="406"/>
      <c r="BB429" s="406"/>
      <c r="BC429" s="406"/>
      <c r="BD429" s="406"/>
      <c r="BE429" s="406"/>
      <c r="BF429" s="471"/>
      <c r="BG429" s="406"/>
      <c r="BH429" s="406"/>
      <c r="BI429" s="406"/>
      <c r="BJ429" s="406"/>
      <c r="BK429" s="406"/>
      <c r="BL429" s="406"/>
      <c r="BM429" s="406"/>
      <c r="BN429" s="406"/>
      <c r="BO429" s="406"/>
      <c r="BP429" s="471"/>
      <c r="BQ429" s="406"/>
      <c r="BR429" s="406"/>
      <c r="BS429" s="406"/>
      <c r="BT429" s="471"/>
      <c r="BU429" s="471"/>
      <c r="BV429" s="471"/>
      <c r="BW429" s="406"/>
      <c r="BX429" s="471"/>
      <c r="BY429" s="406"/>
      <c r="BZ429" s="406"/>
      <c r="CA429" s="406"/>
      <c r="CB429" s="406"/>
      <c r="CC429" s="473"/>
      <c r="CD429" s="407"/>
      <c r="CE429" s="473"/>
      <c r="CF429" s="407"/>
      <c r="CG429" s="473"/>
      <c r="CH429" s="407"/>
      <c r="CI429" s="407"/>
      <c r="CJ429" s="407"/>
      <c r="CK429" s="473"/>
      <c r="CL429" s="473"/>
      <c r="CM429" s="407"/>
      <c r="CN429" s="407"/>
      <c r="CO429" s="407"/>
      <c r="CP429" s="407"/>
      <c r="CQ429" s="407"/>
      <c r="CR429" s="473"/>
      <c r="CS429" s="473"/>
      <c r="CT429" s="407"/>
      <c r="CU429" s="407"/>
      <c r="CV429" s="407"/>
      <c r="CW429" s="407"/>
      <c r="CX429" s="407"/>
      <c r="CY429" s="407"/>
      <c r="CZ429" s="407"/>
      <c r="DA429" s="407"/>
      <c r="DB429" s="407"/>
      <c r="DC429" s="408"/>
    </row>
    <row r="430" spans="1:107">
      <c r="A430" s="308"/>
      <c r="B430" s="410"/>
      <c r="C430" s="411"/>
      <c r="D430" s="412"/>
      <c r="E430" s="412"/>
      <c r="F430" s="412"/>
      <c r="G430" s="412"/>
      <c r="H430" s="412"/>
      <c r="I430" s="412"/>
      <c r="J430" s="412"/>
      <c r="K430" s="412"/>
      <c r="L430" s="412"/>
      <c r="M430" s="412"/>
      <c r="N430" s="412"/>
      <c r="O430" s="412"/>
      <c r="P430" s="413"/>
      <c r="Q430" s="413"/>
      <c r="R430" s="413"/>
      <c r="S430" s="413"/>
      <c r="T430" s="414"/>
      <c r="U430" s="410"/>
      <c r="V430" s="410"/>
      <c r="W430" s="410"/>
      <c r="X430" s="411"/>
      <c r="Y430" s="411"/>
      <c r="Z430" s="411"/>
      <c r="AA430" s="411"/>
      <c r="AB430" s="411"/>
      <c r="AC430" s="411"/>
      <c r="AD430" s="411"/>
      <c r="AE430" s="411"/>
      <c r="AF430" s="411"/>
      <c r="AG430" s="411"/>
      <c r="AH430" s="411"/>
      <c r="AI430" s="411"/>
      <c r="AJ430" s="411"/>
      <c r="AK430" s="411"/>
      <c r="AL430" s="411"/>
      <c r="AM430" s="411"/>
      <c r="AN430" s="411"/>
      <c r="AO430" s="411"/>
      <c r="AP430" s="415"/>
      <c r="AQ430" s="416"/>
      <c r="AR430" s="410"/>
      <c r="AS430" s="411"/>
      <c r="AT430" s="411"/>
      <c r="AU430" s="415"/>
      <c r="AV430" s="416"/>
      <c r="AW430" s="410"/>
      <c r="AX430" s="411"/>
      <c r="AY430" s="416"/>
      <c r="AZ430" s="417"/>
      <c r="BA430" s="418"/>
      <c r="BB430" s="418"/>
      <c r="BC430" s="418"/>
      <c r="BD430" s="418"/>
      <c r="BE430" s="418"/>
      <c r="BF430" s="418"/>
      <c r="BG430" s="418"/>
      <c r="BH430" s="418"/>
      <c r="BI430" s="418"/>
      <c r="BJ430" s="418"/>
      <c r="BK430" s="418"/>
      <c r="BL430" s="418"/>
      <c r="BM430" s="418"/>
      <c r="BN430" s="418"/>
      <c r="BO430" s="418"/>
      <c r="BP430" s="418"/>
      <c r="BQ430" s="418"/>
      <c r="BR430" s="418"/>
      <c r="BS430" s="418"/>
      <c r="BT430" s="418"/>
      <c r="BU430" s="418"/>
      <c r="BV430" s="418"/>
      <c r="BW430" s="418"/>
      <c r="BX430" s="418"/>
      <c r="BY430" s="418"/>
      <c r="BZ430" s="418"/>
      <c r="CA430" s="418"/>
      <c r="CB430" s="418"/>
      <c r="CC430" s="419"/>
      <c r="CD430" s="419"/>
      <c r="CE430" s="419"/>
      <c r="CF430" s="419"/>
      <c r="CG430" s="419"/>
      <c r="CH430" s="419"/>
      <c r="CI430" s="419"/>
      <c r="CJ430" s="419"/>
      <c r="CK430" s="419"/>
      <c r="CL430" s="419"/>
      <c r="CM430" s="419"/>
      <c r="CN430" s="419"/>
      <c r="CO430" s="419"/>
      <c r="CP430" s="419"/>
      <c r="CQ430" s="419"/>
      <c r="CR430" s="419"/>
      <c r="CS430" s="419"/>
      <c r="CT430" s="419"/>
      <c r="CU430" s="419"/>
      <c r="CV430" s="419"/>
      <c r="CW430" s="419"/>
      <c r="CX430" s="419"/>
      <c r="CY430" s="419"/>
      <c r="CZ430" s="419"/>
      <c r="DA430" s="419"/>
      <c r="DB430" s="419"/>
      <c r="DC430" s="420"/>
    </row>
    <row r="431" spans="1:107" ht="19.5" thickBot="1">
      <c r="A431" s="421"/>
      <c r="B431" s="422" t="s">
        <v>170</v>
      </c>
      <c r="C431" s="423">
        <f t="shared" ref="C431:AH431" si="154">SUM(C347+C383+C411+C423)</f>
        <v>2973</v>
      </c>
      <c r="D431" s="423">
        <f t="shared" si="154"/>
        <v>5404</v>
      </c>
      <c r="E431" s="423">
        <f t="shared" si="154"/>
        <v>398</v>
      </c>
      <c r="F431" s="423">
        <f t="shared" si="154"/>
        <v>21</v>
      </c>
      <c r="G431" s="423">
        <f t="shared" si="154"/>
        <v>2613</v>
      </c>
      <c r="H431" s="423">
        <f t="shared" si="154"/>
        <v>0</v>
      </c>
      <c r="I431" s="423">
        <f t="shared" si="154"/>
        <v>0</v>
      </c>
      <c r="J431" s="423">
        <f t="shared" si="154"/>
        <v>0</v>
      </c>
      <c r="K431" s="423">
        <f t="shared" si="154"/>
        <v>0</v>
      </c>
      <c r="L431" s="423">
        <f t="shared" si="154"/>
        <v>0</v>
      </c>
      <c r="M431" s="423">
        <f t="shared" si="154"/>
        <v>0</v>
      </c>
      <c r="N431" s="423">
        <f t="shared" si="154"/>
        <v>0</v>
      </c>
      <c r="O431" s="423">
        <f t="shared" si="154"/>
        <v>0</v>
      </c>
      <c r="P431" s="423">
        <f t="shared" si="154"/>
        <v>0</v>
      </c>
      <c r="Q431" s="423">
        <f t="shared" si="154"/>
        <v>0</v>
      </c>
      <c r="R431" s="423">
        <f t="shared" si="154"/>
        <v>0</v>
      </c>
      <c r="S431" s="423">
        <f t="shared" si="154"/>
        <v>0</v>
      </c>
      <c r="T431" s="423">
        <f t="shared" si="154"/>
        <v>600</v>
      </c>
      <c r="U431" s="423">
        <f t="shared" si="154"/>
        <v>5367</v>
      </c>
      <c r="V431" s="423">
        <f t="shared" si="154"/>
        <v>127</v>
      </c>
      <c r="W431" s="423">
        <f t="shared" si="154"/>
        <v>0</v>
      </c>
      <c r="X431" s="423">
        <f t="shared" si="154"/>
        <v>0</v>
      </c>
      <c r="Y431" s="423">
        <f t="shared" si="154"/>
        <v>0</v>
      </c>
      <c r="Z431" s="423">
        <f t="shared" si="154"/>
        <v>2107</v>
      </c>
      <c r="AA431" s="423">
        <f t="shared" si="154"/>
        <v>7487</v>
      </c>
      <c r="AB431" s="423">
        <f t="shared" si="154"/>
        <v>0</v>
      </c>
      <c r="AC431" s="423">
        <f t="shared" si="154"/>
        <v>0</v>
      </c>
      <c r="AD431" s="423">
        <f t="shared" si="154"/>
        <v>1264</v>
      </c>
      <c r="AE431" s="423">
        <f t="shared" si="154"/>
        <v>0</v>
      </c>
      <c r="AF431" s="423">
        <f t="shared" si="154"/>
        <v>0</v>
      </c>
      <c r="AG431" s="423">
        <f t="shared" si="154"/>
        <v>0</v>
      </c>
      <c r="AH431" s="423">
        <f t="shared" si="154"/>
        <v>0</v>
      </c>
      <c r="AI431" s="423">
        <f t="shared" ref="AI431:BZ431" si="155">SUM(AI347+AI383+AI411+AI423)</f>
        <v>0</v>
      </c>
      <c r="AJ431" s="423">
        <f t="shared" si="155"/>
        <v>0</v>
      </c>
      <c r="AK431" s="423">
        <f t="shared" si="155"/>
        <v>0</v>
      </c>
      <c r="AL431" s="423">
        <f t="shared" si="155"/>
        <v>0</v>
      </c>
      <c r="AM431" s="423">
        <f t="shared" si="155"/>
        <v>0</v>
      </c>
      <c r="AN431" s="423">
        <f t="shared" si="155"/>
        <v>314</v>
      </c>
      <c r="AO431" s="423">
        <f t="shared" si="155"/>
        <v>7.6999999999999993</v>
      </c>
      <c r="AP431" s="423">
        <f t="shared" si="155"/>
        <v>0</v>
      </c>
      <c r="AQ431" s="423">
        <f t="shared" si="155"/>
        <v>0</v>
      </c>
      <c r="AR431" s="423">
        <f t="shared" si="155"/>
        <v>1302</v>
      </c>
      <c r="AS431" s="423">
        <f t="shared" si="155"/>
        <v>76</v>
      </c>
      <c r="AT431" s="423">
        <f t="shared" si="155"/>
        <v>24</v>
      </c>
      <c r="AU431" s="423">
        <f t="shared" si="155"/>
        <v>0</v>
      </c>
      <c r="AV431" s="423">
        <f t="shared" si="155"/>
        <v>0</v>
      </c>
      <c r="AW431" s="423">
        <f t="shared" si="155"/>
        <v>4647</v>
      </c>
      <c r="AX431" s="423">
        <f t="shared" si="155"/>
        <v>2010</v>
      </c>
      <c r="AY431" s="423">
        <f t="shared" si="155"/>
        <v>1378</v>
      </c>
      <c r="AZ431" s="423">
        <f t="shared" si="155"/>
        <v>2</v>
      </c>
      <c r="BA431" s="423">
        <f t="shared" si="155"/>
        <v>7</v>
      </c>
      <c r="BB431" s="423">
        <f t="shared" si="155"/>
        <v>3</v>
      </c>
      <c r="BC431" s="423">
        <f t="shared" si="155"/>
        <v>2</v>
      </c>
      <c r="BD431" s="423">
        <f t="shared" si="155"/>
        <v>0</v>
      </c>
      <c r="BE431" s="423">
        <f t="shared" si="155"/>
        <v>1</v>
      </c>
      <c r="BF431" s="423">
        <f t="shared" si="155"/>
        <v>0</v>
      </c>
      <c r="BG431" s="423">
        <f t="shared" si="155"/>
        <v>7</v>
      </c>
      <c r="BH431" s="423">
        <f t="shared" si="155"/>
        <v>1</v>
      </c>
      <c r="BI431" s="423">
        <f t="shared" si="155"/>
        <v>3</v>
      </c>
      <c r="BJ431" s="423">
        <f t="shared" si="155"/>
        <v>3</v>
      </c>
      <c r="BK431" s="423">
        <f t="shared" si="155"/>
        <v>8</v>
      </c>
      <c r="BL431" s="423">
        <f t="shared" si="155"/>
        <v>2</v>
      </c>
      <c r="BM431" s="423">
        <f t="shared" si="155"/>
        <v>7</v>
      </c>
      <c r="BN431" s="423">
        <f t="shared" si="155"/>
        <v>24</v>
      </c>
      <c r="BO431" s="423">
        <f t="shared" si="155"/>
        <v>1</v>
      </c>
      <c r="BP431" s="423">
        <f t="shared" si="155"/>
        <v>0</v>
      </c>
      <c r="BQ431" s="423">
        <f t="shared" si="155"/>
        <v>0</v>
      </c>
      <c r="BR431" s="423">
        <f t="shared" si="155"/>
        <v>0</v>
      </c>
      <c r="BS431" s="423">
        <f t="shared" si="155"/>
        <v>0</v>
      </c>
      <c r="BT431" s="423">
        <f t="shared" si="155"/>
        <v>0</v>
      </c>
      <c r="BU431" s="423">
        <f t="shared" si="155"/>
        <v>0</v>
      </c>
      <c r="BV431" s="423">
        <f t="shared" si="155"/>
        <v>0</v>
      </c>
      <c r="BW431" s="423">
        <f t="shared" si="155"/>
        <v>40</v>
      </c>
      <c r="BX431" s="423"/>
      <c r="BY431" s="423">
        <f t="shared" si="155"/>
        <v>5</v>
      </c>
      <c r="BZ431" s="423">
        <f t="shared" si="155"/>
        <v>1</v>
      </c>
      <c r="CA431" s="423">
        <f t="shared" ref="CA431:CW431" si="156">SUM(CA347+CA383+CA411+CA423)</f>
        <v>3</v>
      </c>
      <c r="CB431" s="423">
        <f t="shared" si="156"/>
        <v>3</v>
      </c>
      <c r="CC431" s="423"/>
      <c r="CD431" s="423">
        <f t="shared" si="156"/>
        <v>12</v>
      </c>
      <c r="CE431" s="423"/>
      <c r="CF431" s="423">
        <f t="shared" si="156"/>
        <v>5</v>
      </c>
      <c r="CG431" s="423"/>
      <c r="CH431" s="423">
        <f t="shared" si="156"/>
        <v>0</v>
      </c>
      <c r="CI431" s="423">
        <f t="shared" si="156"/>
        <v>0</v>
      </c>
      <c r="CJ431" s="423">
        <f t="shared" si="156"/>
        <v>0</v>
      </c>
      <c r="CK431" s="423"/>
      <c r="CL431" s="423"/>
      <c r="CM431" s="423">
        <f t="shared" si="156"/>
        <v>0</v>
      </c>
      <c r="CN431" s="423">
        <f t="shared" si="156"/>
        <v>0</v>
      </c>
      <c r="CO431" s="423">
        <f t="shared" si="156"/>
        <v>0</v>
      </c>
      <c r="CP431" s="423">
        <f t="shared" si="156"/>
        <v>0</v>
      </c>
      <c r="CQ431" s="423">
        <f t="shared" si="156"/>
        <v>0</v>
      </c>
      <c r="CR431" s="423">
        <f t="shared" si="156"/>
        <v>0</v>
      </c>
      <c r="CS431" s="423">
        <f t="shared" si="156"/>
        <v>0</v>
      </c>
      <c r="CT431" s="423">
        <f t="shared" si="156"/>
        <v>0</v>
      </c>
      <c r="CU431" s="423">
        <f t="shared" si="156"/>
        <v>0</v>
      </c>
      <c r="CV431" s="423">
        <f t="shared" si="156"/>
        <v>0</v>
      </c>
      <c r="CW431" s="423">
        <f t="shared" si="156"/>
        <v>0</v>
      </c>
      <c r="CX431" s="423">
        <f t="shared" ref="CX431:CY431" si="157">SUM(CX347+CX383+CX411+CX423)</f>
        <v>0</v>
      </c>
      <c r="CY431" s="423">
        <f t="shared" si="157"/>
        <v>0</v>
      </c>
      <c r="CZ431" s="423">
        <f>SUM(CZ347+CZ383+CZ411+CZ423)</f>
        <v>0</v>
      </c>
      <c r="DA431" s="423">
        <f>SUM(DA347+DA383+DA411+DA423)</f>
        <v>0</v>
      </c>
      <c r="DB431" s="423">
        <f>SUM(DB347+DB383+DB411+DB423)</f>
        <v>171</v>
      </c>
      <c r="DC431" s="423">
        <f>SUM(DC347+DC383+DC411+DC423)</f>
        <v>0</v>
      </c>
    </row>
    <row r="432" spans="1:107" ht="17.25" thickTop="1">
      <c r="AQ432" s="424"/>
      <c r="AR432" s="424"/>
    </row>
    <row r="436" spans="1:107">
      <c r="B436" s="309" t="s">
        <v>685</v>
      </c>
    </row>
    <row r="439" spans="1:107">
      <c r="BB439" s="319" t="s">
        <v>204</v>
      </c>
      <c r="BC439" s="319" t="s">
        <v>203</v>
      </c>
      <c r="BD439" s="319" t="s">
        <v>202</v>
      </c>
      <c r="BE439" s="319" t="s">
        <v>201</v>
      </c>
      <c r="BF439" s="319"/>
      <c r="BG439" s="319" t="s">
        <v>432</v>
      </c>
      <c r="BH439" s="319" t="s">
        <v>433</v>
      </c>
      <c r="BI439" s="319" t="s">
        <v>434</v>
      </c>
      <c r="BJ439" s="319" t="s">
        <v>435</v>
      </c>
      <c r="BK439" s="319" t="s">
        <v>436</v>
      </c>
      <c r="BL439" s="319" t="s">
        <v>437</v>
      </c>
      <c r="BM439" s="319" t="s">
        <v>438</v>
      </c>
      <c r="BN439" s="319" t="s">
        <v>439</v>
      </c>
      <c r="BO439" s="319" t="s">
        <v>440</v>
      </c>
      <c r="BP439" s="319"/>
      <c r="BQ439" s="319" t="s">
        <v>441</v>
      </c>
      <c r="BR439" s="319" t="s">
        <v>459</v>
      </c>
      <c r="BS439" s="319" t="s">
        <v>460</v>
      </c>
      <c r="BT439" s="319" t="s">
        <v>461</v>
      </c>
      <c r="BU439" s="320" t="s">
        <v>462</v>
      </c>
      <c r="BV439" s="320"/>
      <c r="BW439" s="320" t="s">
        <v>708</v>
      </c>
      <c r="BX439" s="320"/>
      <c r="BY439" s="320" t="s">
        <v>709</v>
      </c>
      <c r="BZ439" s="307" t="s">
        <v>200</v>
      </c>
      <c r="CA439" s="307" t="s">
        <v>199</v>
      </c>
      <c r="CB439" s="307" t="s">
        <v>198</v>
      </c>
      <c r="CC439" s="307"/>
      <c r="CD439" s="307" t="s">
        <v>197</v>
      </c>
      <c r="CE439" s="307"/>
      <c r="CF439" s="307" t="s">
        <v>196</v>
      </c>
      <c r="CG439" s="307"/>
      <c r="CH439" s="307" t="s">
        <v>195</v>
      </c>
      <c r="CI439" s="307" t="s">
        <v>194</v>
      </c>
      <c r="CJ439" s="307" t="s">
        <v>193</v>
      </c>
      <c r="CK439" s="307"/>
      <c r="CL439" s="307"/>
      <c r="CM439" s="307" t="s">
        <v>192</v>
      </c>
      <c r="CN439" s="307" t="s">
        <v>191</v>
      </c>
      <c r="CO439" s="307" t="s">
        <v>190</v>
      </c>
      <c r="CP439" s="307" t="s">
        <v>189</v>
      </c>
      <c r="CQ439" s="307" t="s">
        <v>188</v>
      </c>
      <c r="CR439" s="307" t="s">
        <v>187</v>
      </c>
      <c r="CS439" s="313" t="s">
        <v>186</v>
      </c>
      <c r="CT439" s="313" t="s">
        <v>710</v>
      </c>
      <c r="CU439" s="313" t="s">
        <v>711</v>
      </c>
    </row>
    <row r="440" spans="1:107">
      <c r="BB440" s="315">
        <f>4.15*4.3</f>
        <v>17.845000000000002</v>
      </c>
      <c r="BC440" s="305">
        <f>2.1*2.4</f>
        <v>5.04</v>
      </c>
      <c r="BD440" s="315">
        <f>4.15*4.3</f>
        <v>17.845000000000002</v>
      </c>
      <c r="BE440" s="305">
        <f>2.1*2.4</f>
        <v>5.04</v>
      </c>
      <c r="BF440" s="305"/>
      <c r="BG440" s="305">
        <f>7*2.4</f>
        <v>16.8</v>
      </c>
      <c r="BH440" s="305">
        <f>2*2.4</f>
        <v>4.8</v>
      </c>
      <c r="BI440" s="305">
        <f>2*2.4</f>
        <v>4.8</v>
      </c>
      <c r="BJ440" s="305">
        <f>2.1*2.4</f>
        <v>5.04</v>
      </c>
      <c r="BK440" s="305">
        <f>1*2.4</f>
        <v>2.4</v>
      </c>
      <c r="BL440" s="305">
        <f>1*2.4</f>
        <v>2.4</v>
      </c>
      <c r="BM440" s="305">
        <f>1*2.4</f>
        <v>2.4</v>
      </c>
      <c r="BN440" s="305">
        <f>1.3*2.4</f>
        <v>3.12</v>
      </c>
      <c r="BO440" s="305">
        <f>1*2.05</f>
        <v>2.0499999999999998</v>
      </c>
      <c r="BP440" s="305"/>
      <c r="BQ440" s="305">
        <f>1*2.4</f>
        <v>2.4</v>
      </c>
      <c r="BR440" s="305">
        <f>(2*2.4)+(0.4*5.1)</f>
        <v>6.84</v>
      </c>
      <c r="BS440" s="305">
        <f>1*2.4</f>
        <v>2.4</v>
      </c>
      <c r="BT440" s="305">
        <f>6.7*2.7</f>
        <v>18.090000000000003</v>
      </c>
      <c r="BU440" s="305">
        <f>5.5*2.5</f>
        <v>13.75</v>
      </c>
      <c r="BV440" s="305"/>
      <c r="BW440" s="305"/>
      <c r="BX440" s="305"/>
      <c r="BY440" s="305"/>
      <c r="BZ440" s="315">
        <f>1.65*5.1</f>
        <v>8.4149999999999991</v>
      </c>
      <c r="CA440" s="315">
        <f>5.1*1.65</f>
        <v>8.4149999999999991</v>
      </c>
      <c r="CB440" s="305">
        <f>1.8*1.65</f>
        <v>2.9699999999999998</v>
      </c>
      <c r="CC440" s="305"/>
      <c r="CD440" s="315">
        <f>1.65*5.1</f>
        <v>8.4149999999999991</v>
      </c>
      <c r="CE440" s="315"/>
      <c r="CF440" s="315">
        <f>1.75*1.65</f>
        <v>2.8874999999999997</v>
      </c>
      <c r="CG440" s="315"/>
      <c r="CH440" s="305">
        <f>0.6*2.3</f>
        <v>1.38</v>
      </c>
      <c r="CI440" s="315">
        <f>1.7*1.65</f>
        <v>2.8049999999999997</v>
      </c>
      <c r="CJ440" s="315">
        <f>1.9*1.2</f>
        <v>2.2799999999999998</v>
      </c>
      <c r="CK440" s="315"/>
      <c r="CL440" s="315"/>
      <c r="CM440" s="305">
        <f>7.5*2.4</f>
        <v>18</v>
      </c>
      <c r="CN440" s="305">
        <f>1.8*1.65</f>
        <v>2.9699999999999998</v>
      </c>
      <c r="CO440" s="315">
        <f>5.1*1.65</f>
        <v>8.4149999999999991</v>
      </c>
      <c r="CP440" s="315">
        <f>1.75*1.65</f>
        <v>2.8874999999999997</v>
      </c>
      <c r="CQ440" s="315">
        <f>6.35*1.65</f>
        <v>10.477499999999999</v>
      </c>
      <c r="CR440" s="315">
        <f>11.95*1.65</f>
        <v>19.717499999999998</v>
      </c>
      <c r="CS440" s="315">
        <f>5.6*1.3</f>
        <v>7.2799999999999994</v>
      </c>
      <c r="CT440" s="315"/>
      <c r="CU440" s="315"/>
    </row>
    <row r="441" spans="1:107">
      <c r="BB441" s="317">
        <v>4.1500000000000004</v>
      </c>
      <c r="BC441" s="317">
        <v>2.1</v>
      </c>
      <c r="BD441" s="317">
        <v>4.1500000000000004</v>
      </c>
      <c r="BE441" s="317">
        <v>2.1</v>
      </c>
      <c r="BF441" s="317"/>
      <c r="BG441" s="317">
        <v>7</v>
      </c>
      <c r="BH441" s="317">
        <f>2</f>
        <v>2</v>
      </c>
      <c r="BI441" s="317">
        <f>2</f>
        <v>2</v>
      </c>
      <c r="BJ441" s="317">
        <v>2.1</v>
      </c>
      <c r="BK441" s="317">
        <v>1.1000000000000001</v>
      </c>
      <c r="BL441" s="317">
        <v>1.1000000000000001</v>
      </c>
      <c r="BM441" s="317">
        <v>1.1000000000000001</v>
      </c>
      <c r="BN441" s="317">
        <v>1.3</v>
      </c>
      <c r="BO441" s="317">
        <v>1.1000000000000001</v>
      </c>
      <c r="BP441" s="317"/>
      <c r="BQ441" s="317">
        <v>1.1000000000000001</v>
      </c>
      <c r="BR441" s="317">
        <v>5.0999999999999996</v>
      </c>
      <c r="BS441" s="317">
        <v>1.1000000000000001</v>
      </c>
      <c r="BT441" s="317">
        <v>6.7</v>
      </c>
      <c r="BU441" s="317" t="s">
        <v>571</v>
      </c>
      <c r="BV441" s="317"/>
      <c r="BW441" s="317"/>
      <c r="BX441" s="317"/>
      <c r="BY441" s="317"/>
      <c r="BZ441" s="331">
        <f>5.1*2</f>
        <v>10.199999999999999</v>
      </c>
      <c r="CA441" s="331">
        <f>5.1*2</f>
        <v>10.199999999999999</v>
      </c>
      <c r="CB441" s="317">
        <f>1.8*2</f>
        <v>3.6</v>
      </c>
      <c r="CC441" s="317"/>
      <c r="CD441" s="331">
        <f>5.1*2</f>
        <v>10.199999999999999</v>
      </c>
      <c r="CE441" s="331"/>
      <c r="CF441" s="331">
        <f>1.75*2</f>
        <v>3.5</v>
      </c>
      <c r="CG441" s="331"/>
      <c r="CH441" s="317">
        <f>2.3*2</f>
        <v>4.5999999999999996</v>
      </c>
      <c r="CI441" s="331">
        <f>1.7*2</f>
        <v>3.4</v>
      </c>
      <c r="CJ441" s="331">
        <f>1.9*2</f>
        <v>3.8</v>
      </c>
      <c r="CK441" s="331"/>
      <c r="CL441" s="331"/>
      <c r="CM441" s="317">
        <f>7.5*2</f>
        <v>15</v>
      </c>
      <c r="CN441" s="317">
        <f>1.8*2</f>
        <v>3.6</v>
      </c>
      <c r="CO441" s="331">
        <f>5.1*2</f>
        <v>10.199999999999999</v>
      </c>
      <c r="CP441" s="331">
        <f>1.75*2</f>
        <v>3.5</v>
      </c>
      <c r="CQ441" s="331">
        <f>6.35*2</f>
        <v>12.7</v>
      </c>
      <c r="CR441" s="317">
        <f>11.95*2</f>
        <v>23.9</v>
      </c>
      <c r="CS441" s="317"/>
      <c r="CT441" s="317"/>
      <c r="CU441" s="317"/>
    </row>
    <row r="442" spans="1:107">
      <c r="BB442" s="317">
        <f>4.3*2</f>
        <v>8.6</v>
      </c>
      <c r="BC442" s="317">
        <f>2.4*2</f>
        <v>4.8</v>
      </c>
      <c r="BD442" s="317">
        <f>4.3*2</f>
        <v>8.6</v>
      </c>
      <c r="BE442" s="317">
        <f t="shared" ref="BE442:BN442" si="158">2.4*2</f>
        <v>4.8</v>
      </c>
      <c r="BF442" s="317"/>
      <c r="BG442" s="317">
        <f t="shared" si="158"/>
        <v>4.8</v>
      </c>
      <c r="BH442" s="317">
        <f t="shared" si="158"/>
        <v>4.8</v>
      </c>
      <c r="BI442" s="317">
        <f t="shared" si="158"/>
        <v>4.8</v>
      </c>
      <c r="BJ442" s="317">
        <f t="shared" si="158"/>
        <v>4.8</v>
      </c>
      <c r="BK442" s="317">
        <f t="shared" si="158"/>
        <v>4.8</v>
      </c>
      <c r="BL442" s="317">
        <f t="shared" si="158"/>
        <v>4.8</v>
      </c>
      <c r="BM442" s="317">
        <f t="shared" si="158"/>
        <v>4.8</v>
      </c>
      <c r="BN442" s="317">
        <f t="shared" si="158"/>
        <v>4.8</v>
      </c>
      <c r="BO442" s="317">
        <f>2.05*2</f>
        <v>4.0999999999999996</v>
      </c>
      <c r="BP442" s="317"/>
      <c r="BQ442" s="317">
        <f>2.4*2</f>
        <v>4.8</v>
      </c>
      <c r="BR442" s="317">
        <f>2.8*2</f>
        <v>5.6</v>
      </c>
      <c r="BS442" s="317">
        <f>2.4*2</f>
        <v>4.8</v>
      </c>
      <c r="BT442" s="317">
        <f>2.7*2</f>
        <v>5.4</v>
      </c>
      <c r="BU442" s="317">
        <f>2.5*2</f>
        <v>5</v>
      </c>
      <c r="BV442" s="317"/>
      <c r="BW442" s="317"/>
      <c r="BX442" s="317"/>
      <c r="BY442" s="317"/>
      <c r="BZ442" s="331">
        <f>1.65*2</f>
        <v>3.3</v>
      </c>
      <c r="CA442" s="331">
        <f>1.65*2</f>
        <v>3.3</v>
      </c>
      <c r="CB442" s="331">
        <f>1.65*2</f>
        <v>3.3</v>
      </c>
      <c r="CC442" s="331"/>
      <c r="CD442" s="331">
        <f>1.65*2</f>
        <v>3.3</v>
      </c>
      <c r="CE442" s="331"/>
      <c r="CF442" s="331">
        <f>1.65*2</f>
        <v>3.3</v>
      </c>
      <c r="CG442" s="331"/>
      <c r="CH442" s="317">
        <f>0.6*2</f>
        <v>1.2</v>
      </c>
      <c r="CI442" s="331">
        <f>1.65*2</f>
        <v>3.3</v>
      </c>
      <c r="CJ442" s="331">
        <f>1.2*2</f>
        <v>2.4</v>
      </c>
      <c r="CK442" s="331"/>
      <c r="CL442" s="331"/>
      <c r="CM442" s="317">
        <f>2.4*2</f>
        <v>4.8</v>
      </c>
      <c r="CN442" s="331">
        <f>1.65*2</f>
        <v>3.3</v>
      </c>
      <c r="CO442" s="331">
        <f>1.65*2</f>
        <v>3.3</v>
      </c>
      <c r="CP442" s="331">
        <f>1.65*2</f>
        <v>3.3</v>
      </c>
      <c r="CQ442" s="331">
        <f>1.65*2</f>
        <v>3.3</v>
      </c>
      <c r="CR442" s="331">
        <f>1.65*2</f>
        <v>3.3</v>
      </c>
      <c r="CS442" s="317" t="s">
        <v>588</v>
      </c>
      <c r="CT442" s="317"/>
      <c r="CU442" s="317"/>
    </row>
    <row r="443" spans="1:107">
      <c r="BB443" s="321" t="s">
        <v>175</v>
      </c>
      <c r="BC443" s="321" t="s">
        <v>175</v>
      </c>
      <c r="BD443" s="321" t="s">
        <v>175</v>
      </c>
      <c r="BE443" s="321" t="s">
        <v>175</v>
      </c>
      <c r="BF443" s="321"/>
      <c r="BG443" s="321" t="s">
        <v>175</v>
      </c>
      <c r="BH443" s="321" t="s">
        <v>175</v>
      </c>
      <c r="BI443" s="321" t="s">
        <v>175</v>
      </c>
      <c r="BJ443" s="321" t="s">
        <v>175</v>
      </c>
      <c r="BK443" s="321" t="s">
        <v>175</v>
      </c>
      <c r="BL443" s="321" t="s">
        <v>175</v>
      </c>
      <c r="BM443" s="321" t="s">
        <v>175</v>
      </c>
      <c r="BN443" s="321" t="s">
        <v>175</v>
      </c>
      <c r="BO443" s="321" t="s">
        <v>175</v>
      </c>
      <c r="BP443" s="321"/>
      <c r="BQ443" s="321" t="s">
        <v>175</v>
      </c>
      <c r="BR443" s="321" t="s">
        <v>175</v>
      </c>
      <c r="BS443" s="321" t="s">
        <v>175</v>
      </c>
      <c r="BT443" s="321" t="s">
        <v>175</v>
      </c>
      <c r="BU443" s="321" t="s">
        <v>175</v>
      </c>
      <c r="BV443" s="321"/>
      <c r="BW443" s="321"/>
      <c r="BX443" s="321"/>
      <c r="BY443" s="321"/>
      <c r="BZ443" s="321" t="s">
        <v>175</v>
      </c>
      <c r="CA443" s="321" t="s">
        <v>175</v>
      </c>
      <c r="CB443" s="321" t="s">
        <v>175</v>
      </c>
      <c r="CC443" s="321"/>
      <c r="CD443" s="321" t="s">
        <v>175</v>
      </c>
      <c r="CE443" s="321"/>
      <c r="CF443" s="321" t="s">
        <v>175</v>
      </c>
      <c r="CG443" s="321"/>
      <c r="CH443" s="321" t="s">
        <v>175</v>
      </c>
      <c r="CI443" s="321" t="s">
        <v>175</v>
      </c>
      <c r="CJ443" s="321" t="s">
        <v>175</v>
      </c>
      <c r="CK443" s="321"/>
      <c r="CL443" s="321"/>
      <c r="CM443" s="321" t="s">
        <v>175</v>
      </c>
      <c r="CN443" s="321" t="s">
        <v>175</v>
      </c>
      <c r="CO443" s="321" t="s">
        <v>175</v>
      </c>
      <c r="CP443" s="321" t="s">
        <v>175</v>
      </c>
      <c r="CQ443" s="321" t="s">
        <v>175</v>
      </c>
      <c r="CR443" s="321" t="s">
        <v>175</v>
      </c>
      <c r="CS443" s="321" t="s">
        <v>175</v>
      </c>
      <c r="CT443" s="321"/>
      <c r="CU443" s="321"/>
    </row>
    <row r="444" spans="1:107" ht="20.25">
      <c r="A444" s="335"/>
      <c r="B444" s="336"/>
      <c r="C444" s="337"/>
      <c r="D444" s="338"/>
      <c r="E444" s="338"/>
      <c r="F444" s="338"/>
      <c r="G444" s="338"/>
      <c r="H444" s="338"/>
      <c r="I444" s="338"/>
      <c r="J444" s="338"/>
      <c r="K444" s="338"/>
      <c r="L444" s="338"/>
      <c r="M444" s="338"/>
      <c r="N444" s="338"/>
      <c r="O444" s="338"/>
      <c r="P444" s="339"/>
      <c r="Q444" s="339"/>
      <c r="R444" s="339"/>
      <c r="S444" s="339"/>
      <c r="T444" s="340"/>
      <c r="U444" s="341"/>
      <c r="V444" s="341"/>
      <c r="W444" s="341"/>
      <c r="X444" s="337"/>
      <c r="Y444" s="337"/>
      <c r="Z444" s="337"/>
      <c r="AA444" s="337"/>
      <c r="AB444" s="337"/>
      <c r="AC444" s="337"/>
      <c r="AD444" s="337"/>
      <c r="AE444" s="337"/>
      <c r="AF444" s="337"/>
      <c r="AG444" s="337"/>
      <c r="AH444" s="337"/>
      <c r="AI444" s="337"/>
      <c r="AJ444" s="337"/>
      <c r="AK444" s="337"/>
      <c r="AL444" s="337"/>
      <c r="AM444" s="337"/>
      <c r="AN444" s="337"/>
      <c r="AO444" s="337"/>
      <c r="AP444" s="342"/>
      <c r="AQ444" s="343"/>
      <c r="AR444" s="341"/>
      <c r="AS444" s="337"/>
      <c r="AT444" s="337"/>
      <c r="AU444" s="337"/>
      <c r="AV444" s="343"/>
      <c r="AW444" s="341"/>
      <c r="AX444" s="337"/>
      <c r="AY444" s="343"/>
      <c r="AZ444" s="344"/>
      <c r="BA444" s="345"/>
      <c r="BB444" s="345"/>
      <c r="BC444" s="345"/>
      <c r="BD444" s="345"/>
      <c r="BE444" s="345"/>
      <c r="BF444" s="345"/>
      <c r="BG444" s="345"/>
      <c r="BH444" s="345"/>
      <c r="BI444" s="345"/>
      <c r="BJ444" s="345"/>
      <c r="BK444" s="345"/>
      <c r="BL444" s="345"/>
      <c r="BM444" s="345"/>
      <c r="BN444" s="345"/>
      <c r="BO444" s="345"/>
      <c r="BP444" s="345"/>
      <c r="BQ444" s="345"/>
      <c r="BR444" s="345"/>
      <c r="BS444" s="345"/>
      <c r="BT444" s="345"/>
      <c r="BU444" s="345"/>
      <c r="BV444" s="345"/>
      <c r="BW444" s="345"/>
      <c r="BX444" s="345"/>
      <c r="BY444" s="345"/>
      <c r="BZ444" s="345"/>
      <c r="CA444" s="345"/>
      <c r="CB444" s="345"/>
      <c r="CC444" s="345"/>
      <c r="CD444" s="345"/>
      <c r="CE444" s="345"/>
      <c r="CF444" s="345"/>
      <c r="CG444" s="345"/>
      <c r="CH444" s="345"/>
      <c r="CI444" s="345"/>
      <c r="CJ444" s="345"/>
      <c r="CK444" s="345"/>
      <c r="CL444" s="345"/>
      <c r="CM444" s="345"/>
      <c r="CN444" s="345"/>
      <c r="CO444" s="345"/>
      <c r="CP444" s="345"/>
      <c r="CQ444" s="345"/>
      <c r="CR444" s="345"/>
      <c r="CS444" s="345"/>
      <c r="CT444" s="345"/>
      <c r="CU444" s="345"/>
      <c r="CV444" s="345"/>
      <c r="CW444" s="345"/>
      <c r="CX444" s="345"/>
      <c r="CY444" s="345"/>
      <c r="CZ444" s="345"/>
      <c r="DA444" s="345"/>
      <c r="DB444" s="345"/>
      <c r="DC444" s="345"/>
    </row>
    <row r="445" spans="1:107">
      <c r="A445" s="347"/>
      <c r="B445" s="348" t="s">
        <v>174</v>
      </c>
      <c r="C445" s="349"/>
      <c r="D445" s="350"/>
      <c r="E445" s="350"/>
      <c r="F445" s="350"/>
      <c r="G445" s="350"/>
      <c r="H445" s="350"/>
      <c r="I445" s="350"/>
      <c r="J445" s="350"/>
      <c r="K445" s="350"/>
      <c r="L445" s="350"/>
      <c r="M445" s="350"/>
      <c r="N445" s="350"/>
      <c r="O445" s="350"/>
      <c r="P445" s="351"/>
      <c r="Q445" s="351"/>
      <c r="R445" s="351"/>
      <c r="S445" s="351"/>
      <c r="T445" s="352"/>
      <c r="U445" s="353"/>
      <c r="V445" s="353"/>
      <c r="W445" s="353"/>
      <c r="X445" s="349"/>
      <c r="Y445" s="349"/>
      <c r="Z445" s="349"/>
      <c r="AA445" s="349"/>
      <c r="AB445" s="349"/>
      <c r="AC445" s="349"/>
      <c r="AD445" s="349"/>
      <c r="AE445" s="349"/>
      <c r="AF445" s="349"/>
      <c r="AG445" s="349"/>
      <c r="AH445" s="349"/>
      <c r="AI445" s="349"/>
      <c r="AJ445" s="349"/>
      <c r="AK445" s="349"/>
      <c r="AL445" s="349"/>
      <c r="AM445" s="349"/>
      <c r="AN445" s="349"/>
      <c r="AO445" s="349"/>
      <c r="AP445" s="354"/>
      <c r="AQ445" s="352"/>
      <c r="AR445" s="355"/>
      <c r="AS445" s="356"/>
      <c r="AT445" s="356"/>
      <c r="AU445" s="356"/>
      <c r="AV445" s="357"/>
      <c r="AW445" s="355"/>
      <c r="AX445" s="356"/>
      <c r="AY445" s="357"/>
      <c r="AZ445" s="358"/>
      <c r="BA445" s="350"/>
      <c r="BB445" s="350"/>
      <c r="BC445" s="350"/>
      <c r="BD445" s="350"/>
      <c r="BE445" s="350"/>
      <c r="BF445" s="350"/>
      <c r="BG445" s="350"/>
      <c r="BH445" s="350"/>
      <c r="BI445" s="350"/>
      <c r="BJ445" s="350"/>
      <c r="BK445" s="350"/>
      <c r="BL445" s="350"/>
      <c r="BM445" s="350"/>
      <c r="BN445" s="350"/>
      <c r="BO445" s="350"/>
      <c r="BP445" s="350"/>
      <c r="BQ445" s="350"/>
      <c r="BR445" s="350"/>
      <c r="BS445" s="350"/>
      <c r="BT445" s="350"/>
      <c r="BU445" s="350"/>
      <c r="BV445" s="350"/>
      <c r="BW445" s="350"/>
      <c r="BX445" s="350"/>
      <c r="BY445" s="350"/>
      <c r="BZ445" s="350"/>
      <c r="CA445" s="350"/>
      <c r="CB445" s="350"/>
      <c r="CC445" s="350"/>
      <c r="CD445" s="350"/>
      <c r="CE445" s="350"/>
      <c r="CF445" s="350"/>
      <c r="CG445" s="350"/>
      <c r="CH445" s="350"/>
      <c r="CI445" s="350"/>
      <c r="CJ445" s="350"/>
      <c r="CK445" s="350"/>
      <c r="CL445" s="350"/>
      <c r="CM445" s="350"/>
      <c r="CN445" s="350"/>
      <c r="CO445" s="350"/>
      <c r="CP445" s="350"/>
      <c r="CQ445" s="350"/>
      <c r="CR445" s="350"/>
      <c r="CS445" s="350"/>
      <c r="CT445" s="350"/>
      <c r="CU445" s="350"/>
      <c r="CV445" s="350"/>
      <c r="CW445" s="350"/>
      <c r="CX445" s="350"/>
      <c r="CY445" s="350"/>
      <c r="CZ445" s="350"/>
      <c r="DA445" s="350"/>
      <c r="DB445" s="350"/>
      <c r="DC445" s="350"/>
    </row>
    <row r="446" spans="1:107">
      <c r="A446" s="347"/>
      <c r="B446" s="358" t="s">
        <v>257</v>
      </c>
      <c r="C446" s="349"/>
      <c r="D446" s="350"/>
      <c r="E446" s="350"/>
      <c r="F446" s="350"/>
      <c r="G446" s="350"/>
      <c r="H446" s="350">
        <f>ROUNDUP(156.34,0)</f>
        <v>157</v>
      </c>
      <c r="I446" s="350"/>
      <c r="J446" s="350"/>
      <c r="K446" s="350"/>
      <c r="L446" s="350"/>
      <c r="M446" s="350"/>
      <c r="N446" s="350"/>
      <c r="O446" s="350"/>
      <c r="P446" s="351"/>
      <c r="Q446" s="351"/>
      <c r="R446" s="351"/>
      <c r="S446" s="351"/>
      <c r="T446" s="352">
        <f t="shared" ref="T446" si="159">SUM(C446:O446)</f>
        <v>157</v>
      </c>
      <c r="U446" s="353"/>
      <c r="V446" s="353"/>
      <c r="W446" s="353"/>
      <c r="X446" s="349"/>
      <c r="Y446" s="349"/>
      <c r="Z446" s="349"/>
      <c r="AA446" s="349"/>
      <c r="AB446" s="349"/>
      <c r="AC446" s="349"/>
      <c r="AD446" s="349"/>
      <c r="AE446" s="349"/>
      <c r="AF446" s="349"/>
      <c r="AG446" s="349"/>
      <c r="AH446" s="349"/>
      <c r="AI446" s="349"/>
      <c r="AJ446" s="349"/>
      <c r="AK446" s="349"/>
      <c r="AL446" s="349"/>
      <c r="AM446" s="349"/>
      <c r="AN446" s="349"/>
      <c r="AO446" s="349"/>
      <c r="AP446" s="354"/>
      <c r="AQ446" s="352"/>
      <c r="AR446" s="355"/>
      <c r="AS446" s="356"/>
      <c r="AT446" s="356"/>
      <c r="AU446" s="356"/>
      <c r="AV446" s="357"/>
      <c r="AW446" s="355"/>
      <c r="AX446" s="356"/>
      <c r="AY446" s="357"/>
      <c r="AZ446" s="358"/>
      <c r="BA446" s="350"/>
      <c r="BB446" s="350"/>
      <c r="BC446" s="350"/>
      <c r="BD446" s="350"/>
      <c r="BE446" s="350"/>
      <c r="BF446" s="350"/>
      <c r="BG446" s="350"/>
      <c r="BH446" s="350"/>
      <c r="BI446" s="350"/>
      <c r="BJ446" s="350"/>
      <c r="BK446" s="350"/>
      <c r="BL446" s="350"/>
      <c r="BM446" s="350"/>
      <c r="BN446" s="350"/>
      <c r="BO446" s="350"/>
      <c r="BP446" s="350"/>
      <c r="BQ446" s="350"/>
      <c r="BR446" s="350"/>
      <c r="BS446" s="350"/>
      <c r="BT446" s="350"/>
      <c r="BU446" s="350"/>
      <c r="BV446" s="350"/>
      <c r="BW446" s="350"/>
      <c r="BX446" s="350"/>
      <c r="BY446" s="350"/>
      <c r="BZ446" s="350"/>
      <c r="CA446" s="350"/>
      <c r="CB446" s="350"/>
      <c r="CC446" s="350"/>
      <c r="CD446" s="350"/>
      <c r="CE446" s="350"/>
      <c r="CF446" s="350"/>
      <c r="CG446" s="350"/>
      <c r="CH446" s="350"/>
      <c r="CI446" s="350"/>
      <c r="CJ446" s="350"/>
      <c r="CK446" s="350"/>
      <c r="CL446" s="350"/>
      <c r="CM446" s="350"/>
      <c r="CN446" s="350"/>
      <c r="CO446" s="350"/>
      <c r="CP446" s="350"/>
      <c r="CQ446" s="350"/>
      <c r="CR446" s="350"/>
      <c r="CS446" s="350"/>
      <c r="CT446" s="350"/>
      <c r="CU446" s="350"/>
      <c r="CV446" s="350"/>
      <c r="CW446" s="350"/>
      <c r="CX446" s="350"/>
      <c r="CY446" s="350"/>
      <c r="CZ446" s="350"/>
      <c r="DA446" s="350"/>
      <c r="DB446" s="350"/>
      <c r="DC446" s="350"/>
    </row>
    <row r="447" spans="1:107">
      <c r="A447" s="365"/>
      <c r="B447" s="353"/>
      <c r="C447" s="349"/>
      <c r="D447" s="349"/>
      <c r="E447" s="349"/>
      <c r="F447" s="349"/>
      <c r="G447" s="349"/>
      <c r="H447" s="349"/>
      <c r="I447" s="349"/>
      <c r="J447" s="349"/>
      <c r="K447" s="349"/>
      <c r="L447" s="349"/>
      <c r="M447" s="349"/>
      <c r="N447" s="349"/>
      <c r="O447" s="349"/>
      <c r="P447" s="354"/>
      <c r="Q447" s="354"/>
      <c r="R447" s="354"/>
      <c r="S447" s="354"/>
      <c r="T447" s="352"/>
      <c r="U447" s="353"/>
      <c r="V447" s="353"/>
      <c r="W447" s="353"/>
      <c r="X447" s="349"/>
      <c r="Y447" s="349"/>
      <c r="Z447" s="349"/>
      <c r="AA447" s="349"/>
      <c r="AB447" s="349"/>
      <c r="AC447" s="349"/>
      <c r="AD447" s="349"/>
      <c r="AE447" s="349"/>
      <c r="AF447" s="349"/>
      <c r="AG447" s="349"/>
      <c r="AH447" s="349"/>
      <c r="AI447" s="349"/>
      <c r="AJ447" s="349"/>
      <c r="AK447" s="349"/>
      <c r="AL447" s="349"/>
      <c r="AM447" s="349"/>
      <c r="AN447" s="349"/>
      <c r="AO447" s="349"/>
      <c r="AP447" s="354"/>
      <c r="AQ447" s="352"/>
      <c r="AR447" s="353"/>
      <c r="AS447" s="349"/>
      <c r="AT447" s="349"/>
      <c r="AU447" s="349"/>
      <c r="AV447" s="352"/>
      <c r="AW447" s="353"/>
      <c r="AX447" s="349"/>
      <c r="AY447" s="352"/>
      <c r="AZ447" s="372"/>
      <c r="BA447" s="373"/>
      <c r="BB447" s="373"/>
      <c r="BC447" s="373"/>
      <c r="BD447" s="373"/>
      <c r="BE447" s="373"/>
      <c r="BF447" s="373"/>
      <c r="BG447" s="373"/>
      <c r="BH447" s="373"/>
      <c r="BI447" s="373"/>
      <c r="BJ447" s="373"/>
      <c r="BK447" s="373"/>
      <c r="BL447" s="373"/>
      <c r="BM447" s="373"/>
      <c r="BN447" s="373"/>
      <c r="BO447" s="373"/>
      <c r="BP447" s="373"/>
      <c r="BQ447" s="373"/>
      <c r="BR447" s="373"/>
      <c r="BS447" s="373"/>
      <c r="BT447" s="373"/>
      <c r="BU447" s="373"/>
      <c r="BV447" s="373"/>
      <c r="BW447" s="373"/>
      <c r="BX447" s="373"/>
      <c r="BY447" s="373"/>
      <c r="BZ447" s="373"/>
      <c r="CA447" s="373"/>
      <c r="CB447" s="373"/>
      <c r="CC447" s="373"/>
      <c r="CD447" s="373"/>
      <c r="CE447" s="373"/>
      <c r="CF447" s="373"/>
      <c r="CG447" s="373"/>
      <c r="CH447" s="373"/>
      <c r="CI447" s="373"/>
      <c r="CJ447" s="373"/>
      <c r="CK447" s="373"/>
      <c r="CL447" s="373"/>
      <c r="CM447" s="373"/>
      <c r="CN447" s="373"/>
      <c r="CO447" s="373"/>
      <c r="CP447" s="373"/>
      <c r="CQ447" s="373"/>
      <c r="CR447" s="373"/>
      <c r="CS447" s="373"/>
      <c r="CT447" s="373"/>
      <c r="CU447" s="373"/>
      <c r="CV447" s="373"/>
      <c r="CW447" s="373"/>
      <c r="CX447" s="373"/>
      <c r="CY447" s="373"/>
      <c r="CZ447" s="373"/>
      <c r="DA447" s="373"/>
      <c r="DB447" s="373"/>
      <c r="DC447" s="373"/>
    </row>
    <row r="448" spans="1:107">
      <c r="A448" s="365"/>
      <c r="B448" s="353"/>
      <c r="C448" s="349"/>
      <c r="D448" s="349"/>
      <c r="E448" s="349"/>
      <c r="F448" s="349"/>
      <c r="G448" s="349"/>
      <c r="H448" s="349"/>
      <c r="I448" s="349"/>
      <c r="J448" s="349"/>
      <c r="K448" s="349"/>
      <c r="L448" s="349"/>
      <c r="M448" s="349"/>
      <c r="N448" s="349"/>
      <c r="O448" s="349"/>
      <c r="P448" s="354"/>
      <c r="Q448" s="354"/>
      <c r="R448" s="354"/>
      <c r="S448" s="354"/>
      <c r="T448" s="352"/>
      <c r="U448" s="353"/>
      <c r="V448" s="353"/>
      <c r="W448" s="353"/>
      <c r="X448" s="349"/>
      <c r="Y448" s="349"/>
      <c r="Z448" s="349"/>
      <c r="AA448" s="349"/>
      <c r="AB448" s="349"/>
      <c r="AC448" s="349"/>
      <c r="AD448" s="349"/>
      <c r="AE448" s="349"/>
      <c r="AF448" s="349"/>
      <c r="AG448" s="349"/>
      <c r="AH448" s="349"/>
      <c r="AI448" s="349"/>
      <c r="AJ448" s="349"/>
      <c r="AK448" s="349"/>
      <c r="AL448" s="349"/>
      <c r="AM448" s="349"/>
      <c r="AN448" s="349"/>
      <c r="AO448" s="349"/>
      <c r="AP448" s="354"/>
      <c r="AQ448" s="352"/>
      <c r="AR448" s="353"/>
      <c r="AS448" s="349"/>
      <c r="AT448" s="349"/>
      <c r="AU448" s="349"/>
      <c r="AV448" s="352"/>
      <c r="AW448" s="353"/>
      <c r="AX448" s="349"/>
      <c r="AY448" s="352"/>
      <c r="AZ448" s="372"/>
      <c r="BA448" s="373"/>
      <c r="BB448" s="373"/>
      <c r="BC448" s="373"/>
      <c r="BD448" s="373"/>
      <c r="BE448" s="373"/>
      <c r="BF448" s="373"/>
      <c r="BG448" s="373"/>
      <c r="BH448" s="373"/>
      <c r="BI448" s="373"/>
      <c r="BJ448" s="373"/>
      <c r="BK448" s="373"/>
      <c r="BL448" s="373"/>
      <c r="BM448" s="373"/>
      <c r="BN448" s="373"/>
      <c r="BO448" s="373"/>
      <c r="BP448" s="373"/>
      <c r="BQ448" s="373"/>
      <c r="BR448" s="373"/>
      <c r="BS448" s="373"/>
      <c r="BT448" s="373"/>
      <c r="BU448" s="373"/>
      <c r="BV448" s="373"/>
      <c r="BW448" s="373"/>
      <c r="BX448" s="373"/>
      <c r="BY448" s="373"/>
      <c r="BZ448" s="373"/>
      <c r="CA448" s="373"/>
      <c r="CB448" s="373"/>
      <c r="CC448" s="373"/>
      <c r="CD448" s="373"/>
      <c r="CE448" s="373"/>
      <c r="CF448" s="373"/>
      <c r="CG448" s="373"/>
      <c r="CH448" s="373"/>
      <c r="CI448" s="373"/>
      <c r="CJ448" s="373"/>
      <c r="CK448" s="373"/>
      <c r="CL448" s="373"/>
      <c r="CM448" s="373"/>
      <c r="CN448" s="373"/>
      <c r="CO448" s="373"/>
      <c r="CP448" s="373"/>
      <c r="CQ448" s="373"/>
      <c r="CR448" s="373"/>
      <c r="CS448" s="373"/>
      <c r="CT448" s="373"/>
      <c r="CU448" s="373"/>
      <c r="CV448" s="373"/>
      <c r="CW448" s="373"/>
      <c r="CX448" s="373"/>
      <c r="CY448" s="373"/>
      <c r="CZ448" s="373"/>
      <c r="DA448" s="373"/>
      <c r="DB448" s="373"/>
      <c r="DC448" s="373"/>
    </row>
    <row r="449" spans="1:107">
      <c r="A449" s="365"/>
      <c r="B449" s="353"/>
      <c r="C449" s="349"/>
      <c r="D449" s="349"/>
      <c r="E449" s="349"/>
      <c r="F449" s="349"/>
      <c r="G449" s="349"/>
      <c r="H449" s="349"/>
      <c r="I449" s="349"/>
      <c r="J449" s="349"/>
      <c r="K449" s="349"/>
      <c r="L449" s="349"/>
      <c r="M449" s="349"/>
      <c r="N449" s="349"/>
      <c r="O449" s="349"/>
      <c r="P449" s="354"/>
      <c r="Q449" s="354"/>
      <c r="R449" s="354"/>
      <c r="S449" s="354"/>
      <c r="T449" s="352"/>
      <c r="U449" s="353"/>
      <c r="V449" s="353"/>
      <c r="W449" s="353"/>
      <c r="X449" s="349"/>
      <c r="Y449" s="349"/>
      <c r="Z449" s="349"/>
      <c r="AA449" s="349"/>
      <c r="AB449" s="349"/>
      <c r="AC449" s="349"/>
      <c r="AD449" s="349"/>
      <c r="AE449" s="349"/>
      <c r="AF449" s="349"/>
      <c r="AG449" s="349"/>
      <c r="AH449" s="349"/>
      <c r="AI449" s="349"/>
      <c r="AJ449" s="349"/>
      <c r="AK449" s="349"/>
      <c r="AL449" s="349"/>
      <c r="AM449" s="349"/>
      <c r="AN449" s="349"/>
      <c r="AO449" s="349"/>
      <c r="AP449" s="354"/>
      <c r="AQ449" s="352"/>
      <c r="AR449" s="353"/>
      <c r="AS449" s="349"/>
      <c r="AT449" s="349"/>
      <c r="AU449" s="349"/>
      <c r="AV449" s="352"/>
      <c r="AW449" s="353"/>
      <c r="AX449" s="349"/>
      <c r="AY449" s="352"/>
      <c r="AZ449" s="372"/>
      <c r="BA449" s="373"/>
      <c r="BB449" s="373"/>
      <c r="BC449" s="373"/>
      <c r="BD449" s="373"/>
      <c r="BE449" s="373"/>
      <c r="BF449" s="373"/>
      <c r="BG449" s="373"/>
      <c r="BH449" s="373"/>
      <c r="BI449" s="373"/>
      <c r="BJ449" s="373"/>
      <c r="BK449" s="373"/>
      <c r="BL449" s="373"/>
      <c r="BM449" s="373"/>
      <c r="BN449" s="373"/>
      <c r="BO449" s="373"/>
      <c r="BP449" s="373"/>
      <c r="BQ449" s="373"/>
      <c r="BR449" s="373"/>
      <c r="BS449" s="373"/>
      <c r="BT449" s="373"/>
      <c r="BU449" s="373"/>
      <c r="BV449" s="373"/>
      <c r="BW449" s="373"/>
      <c r="BX449" s="373"/>
      <c r="BY449" s="373"/>
      <c r="BZ449" s="373"/>
      <c r="CA449" s="373"/>
      <c r="CB449" s="373"/>
      <c r="CC449" s="373"/>
      <c r="CD449" s="373"/>
      <c r="CE449" s="373"/>
      <c r="CF449" s="373"/>
      <c r="CG449" s="373"/>
      <c r="CH449" s="373"/>
      <c r="CI449" s="373"/>
      <c r="CJ449" s="373"/>
      <c r="CK449" s="373"/>
      <c r="CL449" s="373"/>
      <c r="CM449" s="373"/>
      <c r="CN449" s="373"/>
      <c r="CO449" s="373"/>
      <c r="CP449" s="373"/>
      <c r="CQ449" s="373"/>
      <c r="CR449" s="373"/>
      <c r="CS449" s="373"/>
      <c r="CT449" s="373"/>
      <c r="CU449" s="373"/>
      <c r="CV449" s="373"/>
      <c r="CW449" s="373"/>
      <c r="CX449" s="373"/>
      <c r="CY449" s="373"/>
      <c r="CZ449" s="373"/>
      <c r="DA449" s="373"/>
      <c r="DB449" s="373"/>
      <c r="DC449" s="373"/>
    </row>
    <row r="450" spans="1:107">
      <c r="A450" s="365"/>
      <c r="B450" s="353"/>
      <c r="C450" s="349"/>
      <c r="D450" s="349"/>
      <c r="E450" s="349"/>
      <c r="F450" s="349"/>
      <c r="G450" s="349"/>
      <c r="H450" s="349"/>
      <c r="I450" s="349"/>
      <c r="J450" s="349"/>
      <c r="K450" s="349"/>
      <c r="L450" s="349"/>
      <c r="M450" s="349"/>
      <c r="N450" s="349"/>
      <c r="O450" s="349"/>
      <c r="P450" s="354"/>
      <c r="Q450" s="354"/>
      <c r="R450" s="354"/>
      <c r="S450" s="354"/>
      <c r="T450" s="352"/>
      <c r="U450" s="353"/>
      <c r="V450" s="353"/>
      <c r="W450" s="353"/>
      <c r="X450" s="349"/>
      <c r="Y450" s="349"/>
      <c r="Z450" s="349"/>
      <c r="AA450" s="349"/>
      <c r="AB450" s="349"/>
      <c r="AC450" s="349"/>
      <c r="AD450" s="349"/>
      <c r="AE450" s="349"/>
      <c r="AF450" s="349"/>
      <c r="AG450" s="349"/>
      <c r="AH450" s="349"/>
      <c r="AI450" s="349"/>
      <c r="AJ450" s="349"/>
      <c r="AK450" s="349"/>
      <c r="AL450" s="349"/>
      <c r="AM450" s="349"/>
      <c r="AN450" s="349"/>
      <c r="AO450" s="349"/>
      <c r="AP450" s="354"/>
      <c r="AQ450" s="352"/>
      <c r="AR450" s="353"/>
      <c r="AS450" s="349"/>
      <c r="AT450" s="349"/>
      <c r="AU450" s="349"/>
      <c r="AV450" s="352"/>
      <c r="AW450" s="353"/>
      <c r="AX450" s="349"/>
      <c r="AY450" s="352"/>
      <c r="AZ450" s="372"/>
      <c r="BA450" s="373"/>
      <c r="BB450" s="373"/>
      <c r="BC450" s="373"/>
      <c r="BD450" s="373"/>
      <c r="BE450" s="373"/>
      <c r="BF450" s="373"/>
      <c r="BG450" s="373"/>
      <c r="BH450" s="373"/>
      <c r="BI450" s="373"/>
      <c r="BJ450" s="373"/>
      <c r="BK450" s="373"/>
      <c r="BL450" s="373"/>
      <c r="BM450" s="373"/>
      <c r="BN450" s="373"/>
      <c r="BO450" s="373"/>
      <c r="BP450" s="373"/>
      <c r="BQ450" s="373"/>
      <c r="BR450" s="373"/>
      <c r="BS450" s="373"/>
      <c r="BT450" s="373"/>
      <c r="BU450" s="373"/>
      <c r="BV450" s="373"/>
      <c r="BW450" s="373"/>
      <c r="BX450" s="373"/>
      <c r="BY450" s="373"/>
      <c r="BZ450" s="373"/>
      <c r="CA450" s="373"/>
      <c r="CB450" s="373"/>
      <c r="CC450" s="373"/>
      <c r="CD450" s="373"/>
      <c r="CE450" s="373"/>
      <c r="CF450" s="373"/>
      <c r="CG450" s="373"/>
      <c r="CH450" s="373"/>
      <c r="CI450" s="373"/>
      <c r="CJ450" s="373"/>
      <c r="CK450" s="373"/>
      <c r="CL450" s="373"/>
      <c r="CM450" s="373"/>
      <c r="CN450" s="373"/>
      <c r="CO450" s="373"/>
      <c r="CP450" s="373"/>
      <c r="CQ450" s="373"/>
      <c r="CR450" s="373"/>
      <c r="CS450" s="373"/>
      <c r="CT450" s="373"/>
      <c r="CU450" s="373"/>
      <c r="CV450" s="373"/>
      <c r="CW450" s="373"/>
      <c r="CX450" s="373"/>
      <c r="CY450" s="373"/>
      <c r="CZ450" s="373"/>
      <c r="DA450" s="373"/>
      <c r="DB450" s="373"/>
      <c r="DC450" s="373"/>
    </row>
    <row r="451" spans="1:107">
      <c r="A451" s="365"/>
      <c r="B451" s="353"/>
      <c r="C451" s="349"/>
      <c r="D451" s="349"/>
      <c r="E451" s="349"/>
      <c r="F451" s="349"/>
      <c r="G451" s="349"/>
      <c r="H451" s="349"/>
      <c r="I451" s="349"/>
      <c r="J451" s="349"/>
      <c r="K451" s="349"/>
      <c r="L451" s="349"/>
      <c r="M451" s="349"/>
      <c r="N451" s="349"/>
      <c r="O451" s="349"/>
      <c r="P451" s="354"/>
      <c r="Q451" s="354"/>
      <c r="R451" s="354"/>
      <c r="S451" s="354"/>
      <c r="T451" s="352"/>
      <c r="U451" s="353"/>
      <c r="V451" s="353"/>
      <c r="W451" s="353"/>
      <c r="X451" s="349"/>
      <c r="Y451" s="349"/>
      <c r="Z451" s="349"/>
      <c r="AA451" s="349"/>
      <c r="AB451" s="349"/>
      <c r="AC451" s="349"/>
      <c r="AD451" s="349"/>
      <c r="AE451" s="349"/>
      <c r="AF451" s="349"/>
      <c r="AG451" s="349"/>
      <c r="AH451" s="349"/>
      <c r="AI451" s="349"/>
      <c r="AJ451" s="349"/>
      <c r="AK451" s="349"/>
      <c r="AL451" s="349"/>
      <c r="AM451" s="349"/>
      <c r="AN451" s="349"/>
      <c r="AO451" s="349"/>
      <c r="AP451" s="354"/>
      <c r="AQ451" s="352"/>
      <c r="AR451" s="353"/>
      <c r="AS451" s="349"/>
      <c r="AT451" s="349"/>
      <c r="AU451" s="349"/>
      <c r="AV451" s="352"/>
      <c r="AW451" s="353"/>
      <c r="AX451" s="349"/>
      <c r="AY451" s="352"/>
      <c r="AZ451" s="372"/>
      <c r="BA451" s="373"/>
      <c r="BB451" s="373"/>
      <c r="BC451" s="373"/>
      <c r="BD451" s="373"/>
      <c r="BE451" s="373"/>
      <c r="BF451" s="373"/>
      <c r="BG451" s="373"/>
      <c r="BH451" s="373"/>
      <c r="BI451" s="373"/>
      <c r="BJ451" s="373"/>
      <c r="BK451" s="373"/>
      <c r="BL451" s="373"/>
      <c r="BM451" s="373"/>
      <c r="BN451" s="373"/>
      <c r="BO451" s="373"/>
      <c r="BP451" s="373"/>
      <c r="BQ451" s="373"/>
      <c r="BR451" s="373"/>
      <c r="BS451" s="373"/>
      <c r="BT451" s="373"/>
      <c r="BU451" s="373"/>
      <c r="BV451" s="373"/>
      <c r="BW451" s="373"/>
      <c r="BX451" s="373"/>
      <c r="BY451" s="373"/>
      <c r="BZ451" s="373"/>
      <c r="CA451" s="373"/>
      <c r="CB451" s="373"/>
      <c r="CC451" s="373"/>
      <c r="CD451" s="373"/>
      <c r="CE451" s="373"/>
      <c r="CF451" s="373"/>
      <c r="CG451" s="373"/>
      <c r="CH451" s="373"/>
      <c r="CI451" s="373"/>
      <c r="CJ451" s="373"/>
      <c r="CK451" s="373"/>
      <c r="CL451" s="373"/>
      <c r="CM451" s="373"/>
      <c r="CN451" s="373"/>
      <c r="CO451" s="373"/>
      <c r="CP451" s="373"/>
      <c r="CQ451" s="373"/>
      <c r="CR451" s="373"/>
      <c r="CS451" s="373"/>
      <c r="CT451" s="373"/>
      <c r="CU451" s="373"/>
      <c r="CV451" s="373"/>
      <c r="CW451" s="373"/>
      <c r="CX451" s="373"/>
      <c r="CY451" s="373"/>
      <c r="CZ451" s="373"/>
      <c r="DA451" s="373"/>
      <c r="DB451" s="373"/>
      <c r="DC451" s="373"/>
    </row>
    <row r="452" spans="1:107">
      <c r="A452" s="365"/>
      <c r="B452" s="353"/>
      <c r="C452" s="349"/>
      <c r="D452" s="349"/>
      <c r="E452" s="349"/>
      <c r="F452" s="349"/>
      <c r="G452" s="349"/>
      <c r="H452" s="349"/>
      <c r="I452" s="349"/>
      <c r="J452" s="349"/>
      <c r="K452" s="349"/>
      <c r="L452" s="349"/>
      <c r="M452" s="349"/>
      <c r="N452" s="349"/>
      <c r="O452" s="349"/>
      <c r="P452" s="354"/>
      <c r="Q452" s="354"/>
      <c r="R452" s="354"/>
      <c r="S452" s="354"/>
      <c r="T452" s="352"/>
      <c r="U452" s="353"/>
      <c r="V452" s="353"/>
      <c r="W452" s="353"/>
      <c r="X452" s="349"/>
      <c r="Y452" s="349"/>
      <c r="Z452" s="349"/>
      <c r="AA452" s="349"/>
      <c r="AB452" s="349"/>
      <c r="AC452" s="349"/>
      <c r="AD452" s="349"/>
      <c r="AE452" s="349"/>
      <c r="AF452" s="349"/>
      <c r="AG452" s="349"/>
      <c r="AH452" s="349"/>
      <c r="AI452" s="349"/>
      <c r="AJ452" s="349"/>
      <c r="AK452" s="349"/>
      <c r="AL452" s="349"/>
      <c r="AM452" s="349"/>
      <c r="AN452" s="349"/>
      <c r="AO452" s="349"/>
      <c r="AP452" s="354"/>
      <c r="AQ452" s="352"/>
      <c r="AR452" s="353"/>
      <c r="AS452" s="349"/>
      <c r="AT452" s="349"/>
      <c r="AU452" s="349"/>
      <c r="AV452" s="352"/>
      <c r="AW452" s="353"/>
      <c r="AX452" s="349"/>
      <c r="AY452" s="352"/>
      <c r="AZ452" s="372"/>
      <c r="BA452" s="373"/>
      <c r="BB452" s="373"/>
      <c r="BC452" s="373"/>
      <c r="BD452" s="373"/>
      <c r="BE452" s="373"/>
      <c r="BF452" s="373"/>
      <c r="BG452" s="373"/>
      <c r="BH452" s="373"/>
      <c r="BI452" s="373"/>
      <c r="BJ452" s="373"/>
      <c r="BK452" s="373"/>
      <c r="BL452" s="373"/>
      <c r="BM452" s="373"/>
      <c r="BN452" s="373"/>
      <c r="BO452" s="373"/>
      <c r="BP452" s="373"/>
      <c r="BQ452" s="373"/>
      <c r="BR452" s="373"/>
      <c r="BS452" s="373"/>
      <c r="BT452" s="373"/>
      <c r="BU452" s="373"/>
      <c r="BV452" s="373"/>
      <c r="BW452" s="373"/>
      <c r="BX452" s="373"/>
      <c r="BY452" s="373"/>
      <c r="BZ452" s="373"/>
      <c r="CA452" s="373"/>
      <c r="CB452" s="373"/>
      <c r="CC452" s="373"/>
      <c r="CD452" s="373"/>
      <c r="CE452" s="373"/>
      <c r="CF452" s="373"/>
      <c r="CG452" s="373"/>
      <c r="CH452" s="373"/>
      <c r="CI452" s="373"/>
      <c r="CJ452" s="373"/>
      <c r="CK452" s="373"/>
      <c r="CL452" s="373"/>
      <c r="CM452" s="373"/>
      <c r="CN452" s="373"/>
      <c r="CO452" s="373"/>
      <c r="CP452" s="373"/>
      <c r="CQ452" s="373"/>
      <c r="CR452" s="373"/>
      <c r="CS452" s="373"/>
      <c r="CT452" s="373"/>
      <c r="CU452" s="373"/>
      <c r="CV452" s="373"/>
      <c r="CW452" s="373"/>
      <c r="CX452" s="373"/>
      <c r="CY452" s="373"/>
      <c r="CZ452" s="373"/>
      <c r="DA452" s="373"/>
      <c r="DB452" s="373"/>
      <c r="DC452" s="373"/>
    </row>
    <row r="453" spans="1:107">
      <c r="A453" s="365"/>
      <c r="B453" s="353"/>
      <c r="C453" s="349"/>
      <c r="D453" s="349"/>
      <c r="E453" s="349"/>
      <c r="F453" s="349"/>
      <c r="G453" s="349"/>
      <c r="H453" s="349"/>
      <c r="I453" s="349"/>
      <c r="J453" s="349"/>
      <c r="K453" s="349"/>
      <c r="L453" s="349"/>
      <c r="M453" s="349"/>
      <c r="N453" s="349"/>
      <c r="O453" s="349"/>
      <c r="P453" s="354"/>
      <c r="Q453" s="354"/>
      <c r="R453" s="354"/>
      <c r="S453" s="354"/>
      <c r="T453" s="352"/>
      <c r="U453" s="353"/>
      <c r="V453" s="353"/>
      <c r="W453" s="353"/>
      <c r="X453" s="349"/>
      <c r="Y453" s="349"/>
      <c r="Z453" s="349"/>
      <c r="AA453" s="349"/>
      <c r="AB453" s="349"/>
      <c r="AC453" s="349"/>
      <c r="AD453" s="349"/>
      <c r="AE453" s="349"/>
      <c r="AF453" s="349"/>
      <c r="AG453" s="349"/>
      <c r="AH453" s="349"/>
      <c r="AI453" s="349"/>
      <c r="AJ453" s="349"/>
      <c r="AK453" s="349"/>
      <c r="AL453" s="349"/>
      <c r="AM453" s="349"/>
      <c r="AN453" s="349"/>
      <c r="AO453" s="349"/>
      <c r="AP453" s="354"/>
      <c r="AQ453" s="352"/>
      <c r="AR453" s="353"/>
      <c r="AS453" s="349"/>
      <c r="AT453" s="349"/>
      <c r="AU453" s="349"/>
      <c r="AV453" s="352"/>
      <c r="AW453" s="353"/>
      <c r="AX453" s="349"/>
      <c r="AY453" s="352"/>
      <c r="AZ453" s="372"/>
      <c r="BA453" s="373"/>
      <c r="BB453" s="373"/>
      <c r="BC453" s="373"/>
      <c r="BD453" s="373"/>
      <c r="BE453" s="373"/>
      <c r="BF453" s="373"/>
      <c r="BG453" s="373"/>
      <c r="BH453" s="373"/>
      <c r="BI453" s="373"/>
      <c r="BJ453" s="373"/>
      <c r="BK453" s="373"/>
      <c r="BL453" s="373"/>
      <c r="BM453" s="373"/>
      <c r="BN453" s="373"/>
      <c r="BO453" s="373"/>
      <c r="BP453" s="373"/>
      <c r="BQ453" s="373"/>
      <c r="BR453" s="373"/>
      <c r="BS453" s="373"/>
      <c r="BT453" s="373"/>
      <c r="BU453" s="373"/>
      <c r="BV453" s="373"/>
      <c r="BW453" s="373"/>
      <c r="BX453" s="373"/>
      <c r="BY453" s="373"/>
      <c r="BZ453" s="373"/>
      <c r="CA453" s="373"/>
      <c r="CB453" s="373"/>
      <c r="CC453" s="373"/>
      <c r="CD453" s="373"/>
      <c r="CE453" s="373"/>
      <c r="CF453" s="373"/>
      <c r="CG453" s="373"/>
      <c r="CH453" s="373"/>
      <c r="CI453" s="373"/>
      <c r="CJ453" s="373"/>
      <c r="CK453" s="373"/>
      <c r="CL453" s="373"/>
      <c r="CM453" s="373"/>
      <c r="CN453" s="373"/>
      <c r="CO453" s="373"/>
      <c r="CP453" s="373"/>
      <c r="CQ453" s="373"/>
      <c r="CR453" s="373"/>
      <c r="CS453" s="373"/>
      <c r="CT453" s="373"/>
      <c r="CU453" s="373"/>
      <c r="CV453" s="373"/>
      <c r="CW453" s="373"/>
      <c r="CX453" s="373"/>
      <c r="CY453" s="373"/>
      <c r="CZ453" s="373"/>
      <c r="DA453" s="373"/>
      <c r="DB453" s="373"/>
      <c r="DC453" s="373"/>
    </row>
    <row r="454" spans="1:107">
      <c r="A454" s="376"/>
      <c r="B454" s="353"/>
      <c r="C454" s="349"/>
      <c r="D454" s="349"/>
      <c r="E454" s="349"/>
      <c r="F454" s="349"/>
      <c r="G454" s="349"/>
      <c r="H454" s="349"/>
      <c r="I454" s="349"/>
      <c r="J454" s="349"/>
      <c r="K454" s="349"/>
      <c r="L454" s="349"/>
      <c r="M454" s="349"/>
      <c r="N454" s="349"/>
      <c r="O454" s="349"/>
      <c r="P454" s="354"/>
      <c r="Q454" s="354"/>
      <c r="R454" s="354"/>
      <c r="S454" s="354"/>
      <c r="T454" s="352">
        <f t="shared" ref="T454" si="160">SUM(C454:O454)</f>
        <v>0</v>
      </c>
      <c r="U454" s="353"/>
      <c r="V454" s="353"/>
      <c r="W454" s="353"/>
      <c r="X454" s="349"/>
      <c r="Y454" s="349"/>
      <c r="Z454" s="349"/>
      <c r="AA454" s="349"/>
      <c r="AB454" s="349"/>
      <c r="AC454" s="349"/>
      <c r="AD454" s="349"/>
      <c r="AE454" s="349"/>
      <c r="AF454" s="349"/>
      <c r="AG454" s="349"/>
      <c r="AH454" s="349"/>
      <c r="AI454" s="349"/>
      <c r="AJ454" s="349"/>
      <c r="AK454" s="349"/>
      <c r="AL454" s="349"/>
      <c r="AM454" s="349"/>
      <c r="AN454" s="349"/>
      <c r="AO454" s="349"/>
      <c r="AP454" s="354"/>
      <c r="AQ454" s="352"/>
      <c r="AR454" s="353"/>
      <c r="AS454" s="349"/>
      <c r="AT454" s="349"/>
      <c r="AU454" s="349"/>
      <c r="AV454" s="352"/>
      <c r="AW454" s="353"/>
      <c r="AX454" s="349"/>
      <c r="AY454" s="352"/>
      <c r="AZ454" s="372"/>
      <c r="BA454" s="373"/>
      <c r="BB454" s="373"/>
      <c r="BC454" s="373"/>
      <c r="BD454" s="373"/>
      <c r="BE454" s="373"/>
      <c r="BF454" s="373"/>
      <c r="BG454" s="373"/>
      <c r="BH454" s="373"/>
      <c r="BI454" s="373"/>
      <c r="BJ454" s="373"/>
      <c r="BK454" s="373"/>
      <c r="BL454" s="373"/>
      <c r="BM454" s="373"/>
      <c r="BN454" s="373"/>
      <c r="BO454" s="373"/>
      <c r="BP454" s="373"/>
      <c r="BQ454" s="373"/>
      <c r="BR454" s="373"/>
      <c r="BS454" s="373"/>
      <c r="BT454" s="373"/>
      <c r="BU454" s="373"/>
      <c r="BV454" s="373"/>
      <c r="BW454" s="373"/>
      <c r="BX454" s="373"/>
      <c r="BY454" s="373"/>
      <c r="BZ454" s="373"/>
      <c r="CA454" s="373"/>
      <c r="CB454" s="373"/>
      <c r="CC454" s="373"/>
      <c r="CD454" s="373"/>
      <c r="CE454" s="373"/>
      <c r="CF454" s="373"/>
      <c r="CG454" s="373"/>
      <c r="CH454" s="373"/>
      <c r="CI454" s="373"/>
      <c r="CJ454" s="373"/>
      <c r="CK454" s="373"/>
      <c r="CL454" s="373"/>
      <c r="CM454" s="373"/>
      <c r="CN454" s="373"/>
      <c r="CO454" s="373"/>
      <c r="CP454" s="373"/>
      <c r="CQ454" s="373"/>
      <c r="CR454" s="373"/>
      <c r="CS454" s="373"/>
      <c r="CT454" s="373"/>
      <c r="CU454" s="373"/>
      <c r="CV454" s="373"/>
      <c r="CW454" s="373"/>
      <c r="CX454" s="373"/>
      <c r="CY454" s="373"/>
      <c r="CZ454" s="373"/>
      <c r="DA454" s="373"/>
      <c r="DB454" s="373"/>
      <c r="DC454" s="373"/>
    </row>
    <row r="455" spans="1:107" ht="18.75">
      <c r="A455" s="376"/>
      <c r="B455" s="377" t="s">
        <v>171</v>
      </c>
      <c r="C455" s="378">
        <f>SUM(C446:C454)</f>
        <v>0</v>
      </c>
      <c r="D455" s="378">
        <f t="shared" ref="D455" si="161">SUM(D446:D454)</f>
        <v>0</v>
      </c>
      <c r="E455" s="378">
        <f t="shared" ref="E455" si="162">SUM(E446:E454)</f>
        <v>0</v>
      </c>
      <c r="F455" s="378">
        <f t="shared" ref="F455" si="163">SUM(F446:F454)</f>
        <v>0</v>
      </c>
      <c r="G455" s="378">
        <f t="shared" ref="G455" si="164">SUM(G446:G454)</f>
        <v>0</v>
      </c>
      <c r="H455" s="378">
        <f t="shared" ref="H455" si="165">SUM(H446:H454)</f>
        <v>157</v>
      </c>
      <c r="I455" s="378">
        <f t="shared" ref="I455" si="166">SUM(I446:I454)</f>
        <v>0</v>
      </c>
      <c r="J455" s="378">
        <f t="shared" ref="J455" si="167">SUM(J446:J454)</f>
        <v>0</v>
      </c>
      <c r="K455" s="378">
        <f t="shared" ref="K455" si="168">SUM(K446:K454)</f>
        <v>0</v>
      </c>
      <c r="L455" s="378">
        <f t="shared" ref="L455" si="169">SUM(L446:L454)</f>
        <v>0</v>
      </c>
      <c r="M455" s="378">
        <f t="shared" ref="M455" si="170">SUM(M446:M454)</f>
        <v>0</v>
      </c>
      <c r="N455" s="378">
        <f t="shared" ref="N455" si="171">SUM(N446:N454)</f>
        <v>0</v>
      </c>
      <c r="O455" s="378">
        <f t="shared" ref="O455" si="172">SUM(O446:O454)</f>
        <v>0</v>
      </c>
      <c r="P455" s="378">
        <f t="shared" ref="P455" si="173">SUM(P446:P454)</f>
        <v>0</v>
      </c>
      <c r="Q455" s="378">
        <f t="shared" ref="Q455" si="174">SUM(Q446:Q454)</f>
        <v>0</v>
      </c>
      <c r="R455" s="378">
        <f t="shared" ref="R455" si="175">SUM(R446:R454)</f>
        <v>0</v>
      </c>
      <c r="S455" s="378">
        <f t="shared" ref="S455" si="176">SUM(S446:S454)</f>
        <v>0</v>
      </c>
      <c r="T455" s="378">
        <f t="shared" ref="T455" si="177">SUM(T446:T454)</f>
        <v>157</v>
      </c>
      <c r="U455" s="378">
        <f t="shared" ref="U455" si="178">SUM(U446:U454)</f>
        <v>0</v>
      </c>
      <c r="V455" s="378">
        <f t="shared" ref="V455" si="179">SUM(V446:V454)</f>
        <v>0</v>
      </c>
      <c r="W455" s="378">
        <f t="shared" ref="W455" si="180">SUM(W446:W454)</f>
        <v>0</v>
      </c>
      <c r="X455" s="378">
        <f t="shared" ref="X455" si="181">SUM(X446:X454)</f>
        <v>0</v>
      </c>
      <c r="Y455" s="378">
        <f t="shared" ref="Y455" si="182">SUM(Y446:Y454)</f>
        <v>0</v>
      </c>
      <c r="Z455" s="378">
        <f t="shared" ref="Z455" si="183">SUM(Z446:Z454)</f>
        <v>0</v>
      </c>
      <c r="AA455" s="378">
        <f t="shared" ref="AA455" si="184">SUM(AA446:AA454)</f>
        <v>0</v>
      </c>
      <c r="AB455" s="378">
        <f t="shared" ref="AB455" si="185">SUM(AB446:AB454)</f>
        <v>0</v>
      </c>
      <c r="AC455" s="378">
        <f t="shared" ref="AC455" si="186">SUM(AC446:AC454)</f>
        <v>0</v>
      </c>
      <c r="AD455" s="378">
        <f t="shared" ref="AD455" si="187">SUM(AD446:AD454)</f>
        <v>0</v>
      </c>
      <c r="AE455" s="378">
        <f t="shared" ref="AE455" si="188">SUM(AE446:AE454)</f>
        <v>0</v>
      </c>
      <c r="AF455" s="378">
        <f t="shared" ref="AF455" si="189">SUM(AF446:AF454)</f>
        <v>0</v>
      </c>
      <c r="AG455" s="378">
        <f t="shared" ref="AG455" si="190">SUM(AG446:AG454)</f>
        <v>0</v>
      </c>
      <c r="AH455" s="378">
        <f t="shared" ref="AH455" si="191">SUM(AH446:AH454)</f>
        <v>0</v>
      </c>
      <c r="AI455" s="378">
        <f t="shared" ref="AI455" si="192">SUM(AI446:AI454)</f>
        <v>0</v>
      </c>
      <c r="AJ455" s="378">
        <f t="shared" ref="AJ455" si="193">SUM(AJ446:AJ454)</f>
        <v>0</v>
      </c>
      <c r="AK455" s="378">
        <f t="shared" ref="AK455" si="194">SUM(AK446:AK454)</f>
        <v>0</v>
      </c>
      <c r="AL455" s="378">
        <f t="shared" ref="AL455" si="195">SUM(AL446:AL454)</f>
        <v>0</v>
      </c>
      <c r="AM455" s="378">
        <f t="shared" ref="AM455" si="196">SUM(AM446:AM454)</f>
        <v>0</v>
      </c>
      <c r="AN455" s="378">
        <f t="shared" ref="AN455" si="197">SUM(AN446:AN454)</f>
        <v>0</v>
      </c>
      <c r="AO455" s="378">
        <f t="shared" ref="AO455" si="198">SUM(AO446:AO454)</f>
        <v>0</v>
      </c>
      <c r="AP455" s="378">
        <f t="shared" ref="AP455" si="199">SUM(AP446:AP454)</f>
        <v>0</v>
      </c>
      <c r="AQ455" s="378">
        <f t="shared" ref="AQ455" si="200">SUM(AQ446:AQ454)</f>
        <v>0</v>
      </c>
      <c r="AR455" s="378">
        <f t="shared" ref="AR455" si="201">SUM(AR446:AR454)</f>
        <v>0</v>
      </c>
      <c r="AS455" s="378">
        <f t="shared" ref="AS455" si="202">SUM(AS446:AS454)</f>
        <v>0</v>
      </c>
      <c r="AT455" s="378">
        <f t="shared" ref="AT455" si="203">SUM(AT446:AT454)</f>
        <v>0</v>
      </c>
      <c r="AU455" s="378">
        <f t="shared" ref="AU455" si="204">SUM(AU446:AU454)</f>
        <v>0</v>
      </c>
      <c r="AV455" s="378">
        <f t="shared" ref="AV455" si="205">SUM(AV446:AV454)</f>
        <v>0</v>
      </c>
      <c r="AW455" s="378">
        <f t="shared" ref="AW455" si="206">SUM(AW446:AW454)</f>
        <v>0</v>
      </c>
      <c r="AX455" s="378">
        <f t="shared" ref="AX455" si="207">SUM(AX446:AX454)</f>
        <v>0</v>
      </c>
      <c r="AY455" s="378">
        <f t="shared" ref="AY455" si="208">SUM(AY446:AY454)</f>
        <v>0</v>
      </c>
      <c r="AZ455" s="378">
        <f t="shared" ref="AZ455" si="209">SUM(AZ446:AZ454)</f>
        <v>0</v>
      </c>
      <c r="BA455" s="378">
        <f t="shared" ref="BA455" si="210">SUM(BA446:BA454)</f>
        <v>0</v>
      </c>
      <c r="BB455" s="378">
        <f t="shared" ref="BB455" si="211">SUM(BB446:BB454)</f>
        <v>0</v>
      </c>
      <c r="BC455" s="378">
        <f t="shared" ref="BC455" si="212">SUM(BC446:BC454)</f>
        <v>0</v>
      </c>
      <c r="BD455" s="378">
        <f t="shared" ref="BD455" si="213">SUM(BD446:BD454)</f>
        <v>0</v>
      </c>
      <c r="BE455" s="378">
        <f t="shared" ref="BE455:CB455" si="214">SUM(BE446:BE454)</f>
        <v>0</v>
      </c>
      <c r="BF455" s="378">
        <f t="shared" si="214"/>
        <v>0</v>
      </c>
      <c r="BG455" s="378">
        <f t="shared" si="214"/>
        <v>0</v>
      </c>
      <c r="BH455" s="378">
        <f t="shared" si="214"/>
        <v>0</v>
      </c>
      <c r="BI455" s="378">
        <f t="shared" si="214"/>
        <v>0</v>
      </c>
      <c r="BJ455" s="378">
        <f t="shared" si="214"/>
        <v>0</v>
      </c>
      <c r="BK455" s="378">
        <f t="shared" si="214"/>
        <v>0</v>
      </c>
      <c r="BL455" s="378">
        <f t="shared" si="214"/>
        <v>0</v>
      </c>
      <c r="BM455" s="378">
        <f t="shared" si="214"/>
        <v>0</v>
      </c>
      <c r="BN455" s="378">
        <f t="shared" si="214"/>
        <v>0</v>
      </c>
      <c r="BO455" s="378">
        <f t="shared" si="214"/>
        <v>0</v>
      </c>
      <c r="BP455" s="378">
        <f t="shared" si="214"/>
        <v>0</v>
      </c>
      <c r="BQ455" s="378">
        <f t="shared" si="214"/>
        <v>0</v>
      </c>
      <c r="BR455" s="378">
        <f t="shared" si="214"/>
        <v>0</v>
      </c>
      <c r="BS455" s="378">
        <f t="shared" si="214"/>
        <v>0</v>
      </c>
      <c r="BT455" s="378">
        <f t="shared" si="214"/>
        <v>0</v>
      </c>
      <c r="BU455" s="378">
        <f t="shared" si="214"/>
        <v>0</v>
      </c>
      <c r="BV455" s="378">
        <f t="shared" si="214"/>
        <v>0</v>
      </c>
      <c r="BW455" s="378">
        <f t="shared" si="214"/>
        <v>0</v>
      </c>
      <c r="BX455" s="378"/>
      <c r="BY455" s="378">
        <f t="shared" si="214"/>
        <v>0</v>
      </c>
      <c r="BZ455" s="378">
        <f t="shared" si="214"/>
        <v>0</v>
      </c>
      <c r="CA455" s="378">
        <f t="shared" si="214"/>
        <v>0</v>
      </c>
      <c r="CB455" s="378">
        <f t="shared" si="214"/>
        <v>0</v>
      </c>
      <c r="CC455" s="378"/>
      <c r="CD455" s="378">
        <f t="shared" ref="CD455" si="215">SUM(CD446:CD454)</f>
        <v>0</v>
      </c>
      <c r="CE455" s="378"/>
      <c r="CF455" s="378">
        <f t="shared" ref="CF455" si="216">SUM(CF446:CF454)</f>
        <v>0</v>
      </c>
      <c r="CG455" s="378"/>
      <c r="CH455" s="378">
        <f t="shared" ref="CH455" si="217">SUM(CH446:CH454)</f>
        <v>0</v>
      </c>
      <c r="CI455" s="378">
        <f t="shared" ref="CI455" si="218">SUM(CI446:CI454)</f>
        <v>0</v>
      </c>
      <c r="CJ455" s="378">
        <f t="shared" ref="CJ455" si="219">SUM(CJ446:CJ454)</f>
        <v>0</v>
      </c>
      <c r="CK455" s="378"/>
      <c r="CL455" s="378"/>
      <c r="CM455" s="378">
        <f t="shared" ref="CM455" si="220">SUM(CM446:CM454)</f>
        <v>0</v>
      </c>
      <c r="CN455" s="378">
        <f t="shared" ref="CN455" si="221">SUM(CN446:CN454)</f>
        <v>0</v>
      </c>
      <c r="CO455" s="378">
        <f t="shared" ref="CO455" si="222">SUM(CO446:CO454)</f>
        <v>0</v>
      </c>
      <c r="CP455" s="378">
        <f t="shared" ref="CP455" si="223">SUM(CP446:CP454)</f>
        <v>0</v>
      </c>
      <c r="CQ455" s="378">
        <f t="shared" ref="CQ455" si="224">SUM(CQ446:CQ454)</f>
        <v>0</v>
      </c>
      <c r="CR455" s="378"/>
      <c r="CS455" s="378"/>
      <c r="CT455" s="378">
        <f t="shared" ref="CT455" si="225">SUM(CT446:CT454)</f>
        <v>0</v>
      </c>
      <c r="CU455" s="378">
        <f t="shared" ref="CU455" si="226">SUM(CU446:CU454)</f>
        <v>0</v>
      </c>
      <c r="CV455" s="378">
        <f t="shared" ref="CV455" si="227">SUM(CV446:CV454)</f>
        <v>0</v>
      </c>
      <c r="CW455" s="378">
        <f t="shared" ref="CW455" si="228">SUM(CW446:CW454)</f>
        <v>0</v>
      </c>
      <c r="CX455" s="378">
        <f t="shared" ref="CX455" si="229">SUM(CX446:CX454)</f>
        <v>0</v>
      </c>
      <c r="CY455" s="378">
        <f t="shared" ref="CY455" si="230">SUM(CY446:CY454)</f>
        <v>0</v>
      </c>
      <c r="CZ455" s="378">
        <f t="shared" ref="CZ455" si="231">SUM(CZ446:CZ454)</f>
        <v>0</v>
      </c>
      <c r="DA455" s="378">
        <f t="shared" ref="DA455" si="232">SUM(DA446:DA454)</f>
        <v>0</v>
      </c>
      <c r="DB455" s="378">
        <f t="shared" ref="DB455" si="233">SUM(DB446:DB454)</f>
        <v>0</v>
      </c>
      <c r="DC455" s="378">
        <f t="shared" ref="DC455" si="234">SUM(DC446:DC454)</f>
        <v>0</v>
      </c>
    </row>
    <row r="456" spans="1:107" ht="18.75">
      <c r="A456" s="376"/>
      <c r="B456" s="377"/>
      <c r="C456" s="378"/>
      <c r="D456" s="378"/>
      <c r="E456" s="378"/>
      <c r="F456" s="378"/>
      <c r="G456" s="378"/>
      <c r="H456" s="378"/>
      <c r="I456" s="378"/>
      <c r="J456" s="378"/>
      <c r="K456" s="378"/>
      <c r="L456" s="378"/>
      <c r="M456" s="378"/>
      <c r="N456" s="378"/>
      <c r="O456" s="378"/>
      <c r="P456" s="379"/>
      <c r="Q456" s="379"/>
      <c r="R456" s="379"/>
      <c r="S456" s="379"/>
      <c r="T456" s="380"/>
      <c r="U456" s="381"/>
      <c r="V456" s="381"/>
      <c r="W456" s="381"/>
      <c r="X456" s="378"/>
      <c r="Y456" s="378"/>
      <c r="Z456" s="378"/>
      <c r="AA456" s="378"/>
      <c r="AB456" s="378"/>
      <c r="AC456" s="378"/>
      <c r="AD456" s="378"/>
      <c r="AE456" s="378"/>
      <c r="AF456" s="378"/>
      <c r="AG456" s="378"/>
      <c r="AH456" s="378"/>
      <c r="AI456" s="378"/>
      <c r="AJ456" s="378"/>
      <c r="AK456" s="378"/>
      <c r="AL456" s="378"/>
      <c r="AM456" s="378"/>
      <c r="AN456" s="378"/>
      <c r="AO456" s="378"/>
      <c r="AP456" s="379"/>
      <c r="AQ456" s="380"/>
      <c r="AR456" s="381"/>
      <c r="AS456" s="378"/>
      <c r="AT456" s="378"/>
      <c r="AU456" s="379"/>
      <c r="AV456" s="380"/>
      <c r="AW456" s="381"/>
      <c r="AX456" s="378"/>
      <c r="AY456" s="380"/>
      <c r="AZ456" s="382"/>
      <c r="BA456" s="383"/>
      <c r="BB456" s="383"/>
      <c r="BC456" s="383"/>
      <c r="BD456" s="383"/>
      <c r="BE456" s="383"/>
      <c r="BF456" s="383"/>
      <c r="BG456" s="383"/>
      <c r="BH456" s="383"/>
      <c r="BI456" s="383"/>
      <c r="BJ456" s="383"/>
      <c r="BK456" s="383"/>
      <c r="BL456" s="383"/>
      <c r="BM456" s="383"/>
      <c r="BN456" s="383"/>
      <c r="BO456" s="383"/>
      <c r="BP456" s="383"/>
      <c r="BQ456" s="383"/>
      <c r="BR456" s="383"/>
      <c r="BS456" s="383"/>
      <c r="BT456" s="383"/>
      <c r="BU456" s="383"/>
      <c r="BV456" s="383"/>
      <c r="BW456" s="383"/>
      <c r="BX456" s="383"/>
      <c r="BY456" s="383"/>
      <c r="BZ456" s="383"/>
      <c r="CA456" s="383"/>
      <c r="CB456" s="383"/>
      <c r="CC456" s="383"/>
      <c r="CD456" s="383"/>
      <c r="CE456" s="383"/>
      <c r="CF456" s="383"/>
      <c r="CG456" s="383"/>
      <c r="CH456" s="383"/>
      <c r="CI456" s="383"/>
      <c r="CJ456" s="383"/>
      <c r="CK456" s="383"/>
      <c r="CL456" s="383"/>
      <c r="CM456" s="383"/>
      <c r="CN456" s="383"/>
      <c r="CO456" s="383"/>
      <c r="CP456" s="383"/>
      <c r="CQ456" s="383"/>
      <c r="CR456" s="383"/>
      <c r="CS456" s="383"/>
      <c r="CT456" s="383"/>
      <c r="CU456" s="383"/>
      <c r="CV456" s="383"/>
      <c r="CW456" s="383"/>
      <c r="CX456" s="383"/>
      <c r="CY456" s="383"/>
      <c r="CZ456" s="383"/>
      <c r="DA456" s="383"/>
      <c r="DB456" s="383"/>
      <c r="DC456" s="383"/>
    </row>
    <row r="457" spans="1:107">
      <c r="A457" s="376"/>
      <c r="B457" s="386" t="s">
        <v>173</v>
      </c>
      <c r="C457" s="349"/>
      <c r="D457" s="349"/>
      <c r="E457" s="349"/>
      <c r="F457" s="349"/>
      <c r="G457" s="349"/>
      <c r="H457" s="349"/>
      <c r="I457" s="349"/>
      <c r="J457" s="349"/>
      <c r="K457" s="349"/>
      <c r="L457" s="349"/>
      <c r="M457" s="349"/>
      <c r="N457" s="349"/>
      <c r="O457" s="349"/>
      <c r="P457" s="354"/>
      <c r="Q457" s="354"/>
      <c r="R457" s="354"/>
      <c r="S457" s="354"/>
      <c r="T457" s="359"/>
      <c r="U457" s="353"/>
      <c r="V457" s="353"/>
      <c r="W457" s="353"/>
      <c r="X457" s="349"/>
      <c r="Y457" s="349"/>
      <c r="Z457" s="349"/>
      <c r="AA457" s="349"/>
      <c r="AB457" s="349"/>
      <c r="AC457" s="349"/>
      <c r="AD457" s="349"/>
      <c r="AE457" s="349"/>
      <c r="AF457" s="349"/>
      <c r="AG457" s="349"/>
      <c r="AH457" s="349"/>
      <c r="AI457" s="349"/>
      <c r="AJ457" s="349"/>
      <c r="AK457" s="349"/>
      <c r="AL457" s="349"/>
      <c r="AM457" s="349"/>
      <c r="AN457" s="349"/>
      <c r="AO457" s="349"/>
      <c r="AP457" s="354"/>
      <c r="AQ457" s="352"/>
      <c r="AR457" s="355"/>
      <c r="AS457" s="356"/>
      <c r="AT457" s="356"/>
      <c r="AU457" s="387"/>
      <c r="AV457" s="357"/>
      <c r="AW457" s="353"/>
      <c r="AX457" s="349"/>
      <c r="AY457" s="352"/>
      <c r="AZ457" s="372"/>
      <c r="BA457" s="373"/>
      <c r="BB457" s="373"/>
      <c r="BC457" s="373"/>
      <c r="BD457" s="373"/>
      <c r="BE457" s="373"/>
      <c r="BF457" s="373"/>
      <c r="BG457" s="373"/>
      <c r="BH457" s="373"/>
      <c r="BI457" s="373"/>
      <c r="BJ457" s="373"/>
      <c r="BK457" s="373"/>
      <c r="BL457" s="373"/>
      <c r="BM457" s="373"/>
      <c r="BN457" s="373"/>
      <c r="BO457" s="373"/>
      <c r="BP457" s="373"/>
      <c r="BQ457" s="373"/>
      <c r="BR457" s="373"/>
      <c r="BS457" s="373"/>
      <c r="BT457" s="373"/>
      <c r="BU457" s="373"/>
      <c r="BV457" s="373"/>
      <c r="BW457" s="373"/>
      <c r="BX457" s="373"/>
      <c r="BY457" s="373"/>
      <c r="BZ457" s="373"/>
      <c r="CA457" s="373"/>
      <c r="CB457" s="373"/>
      <c r="CC457" s="373"/>
      <c r="CD457" s="373"/>
      <c r="CE457" s="373"/>
      <c r="CF457" s="373"/>
      <c r="CG457" s="373"/>
      <c r="CH457" s="373"/>
      <c r="CI457" s="373"/>
      <c r="CJ457" s="373"/>
      <c r="CK457" s="373"/>
      <c r="CL457" s="373"/>
      <c r="CM457" s="373"/>
      <c r="CN457" s="373"/>
      <c r="CO457" s="373"/>
      <c r="CP457" s="373"/>
      <c r="CQ457" s="373"/>
      <c r="CR457" s="373"/>
      <c r="CS457" s="373"/>
      <c r="CT457" s="373"/>
      <c r="CU457" s="373"/>
      <c r="CV457" s="373"/>
      <c r="CW457" s="373"/>
      <c r="CX457" s="373"/>
      <c r="CY457" s="373"/>
      <c r="CZ457" s="373"/>
      <c r="DA457" s="373"/>
      <c r="DB457" s="373"/>
      <c r="DC457" s="373"/>
    </row>
    <row r="458" spans="1:107">
      <c r="A458" s="388"/>
      <c r="B458" s="358" t="s">
        <v>172</v>
      </c>
      <c r="C458" s="349"/>
      <c r="D458" s="349"/>
      <c r="E458" s="349"/>
      <c r="F458" s="349"/>
      <c r="G458" s="349"/>
      <c r="H458" s="349"/>
      <c r="I458" s="349"/>
      <c r="J458" s="349"/>
      <c r="K458" s="349"/>
      <c r="L458" s="349"/>
      <c r="M458" s="349"/>
      <c r="N458" s="349"/>
      <c r="O458" s="349"/>
      <c r="P458" s="354"/>
      <c r="Q458" s="354"/>
      <c r="R458" s="354"/>
      <c r="S458" s="354"/>
      <c r="T458" s="352">
        <f t="shared" ref="T458:T464" si="235">SUM(C458:O458)</f>
        <v>0</v>
      </c>
      <c r="U458" s="353"/>
      <c r="V458" s="353"/>
      <c r="W458" s="353"/>
      <c r="X458" s="349"/>
      <c r="Y458" s="349"/>
      <c r="Z458" s="349"/>
      <c r="AA458" s="349"/>
      <c r="AB458" s="349"/>
      <c r="AC458" s="349"/>
      <c r="AD458" s="349"/>
      <c r="AE458" s="349"/>
      <c r="AF458" s="349"/>
      <c r="AG458" s="349"/>
      <c r="AH458" s="349"/>
      <c r="AI458" s="349"/>
      <c r="AJ458" s="349"/>
      <c r="AK458" s="349"/>
      <c r="AL458" s="349"/>
      <c r="AM458" s="349"/>
      <c r="AN458" s="349"/>
      <c r="AO458" s="349"/>
      <c r="AP458" s="354"/>
      <c r="AQ458" s="352"/>
      <c r="AR458" s="389"/>
      <c r="AS458" s="362"/>
      <c r="AT458" s="362"/>
      <c r="AU458" s="390"/>
      <c r="AV458" s="391"/>
      <c r="AW458" s="353"/>
      <c r="AX458" s="349"/>
      <c r="AY458" s="352"/>
      <c r="AZ458" s="363"/>
      <c r="BA458" s="361"/>
      <c r="BB458" s="361"/>
      <c r="BC458" s="361"/>
      <c r="BD458" s="361"/>
      <c r="BE458" s="361"/>
      <c r="BF458" s="361"/>
      <c r="BG458" s="361"/>
      <c r="BH458" s="361"/>
      <c r="BI458" s="361"/>
      <c r="BJ458" s="361"/>
      <c r="BK458" s="361"/>
      <c r="BL458" s="361"/>
      <c r="BM458" s="361"/>
      <c r="BN458" s="361"/>
      <c r="BO458" s="361"/>
      <c r="BP458" s="361"/>
      <c r="BQ458" s="361"/>
      <c r="BR458" s="361"/>
      <c r="BS458" s="361"/>
      <c r="BT458" s="361"/>
      <c r="BU458" s="361"/>
      <c r="BV458" s="361"/>
      <c r="BW458" s="361"/>
      <c r="BX458" s="361"/>
      <c r="BY458" s="361"/>
      <c r="BZ458" s="361"/>
      <c r="CA458" s="361"/>
      <c r="CB458" s="361"/>
      <c r="CC458" s="361"/>
      <c r="CD458" s="361"/>
      <c r="CE458" s="361"/>
      <c r="CF458" s="361"/>
      <c r="CG458" s="361"/>
      <c r="CH458" s="361"/>
      <c r="CI458" s="361"/>
      <c r="CJ458" s="361"/>
      <c r="CK458" s="361"/>
      <c r="CL458" s="361"/>
      <c r="CM458" s="361"/>
      <c r="CN458" s="361"/>
      <c r="CO458" s="361"/>
      <c r="CP458" s="361"/>
      <c r="CQ458" s="361"/>
      <c r="CR458" s="361"/>
      <c r="CS458" s="361"/>
      <c r="CT458" s="361"/>
      <c r="CU458" s="361"/>
      <c r="CV458" s="361"/>
      <c r="CW458" s="361"/>
      <c r="CX458" s="361"/>
      <c r="CY458" s="361"/>
      <c r="CZ458" s="361"/>
      <c r="DA458" s="361"/>
      <c r="DB458" s="361"/>
      <c r="DC458" s="361"/>
    </row>
    <row r="459" spans="1:107">
      <c r="A459" s="388"/>
      <c r="B459" s="358" t="s">
        <v>258</v>
      </c>
      <c r="C459" s="349"/>
      <c r="D459" s="349">
        <v>430</v>
      </c>
      <c r="E459" s="349"/>
      <c r="F459" s="349"/>
      <c r="G459" s="349"/>
      <c r="H459" s="349"/>
      <c r="I459" s="349"/>
      <c r="J459" s="349"/>
      <c r="K459" s="349"/>
      <c r="L459" s="349"/>
      <c r="M459" s="349"/>
      <c r="N459" s="349"/>
      <c r="O459" s="349"/>
      <c r="P459" s="354"/>
      <c r="Q459" s="354"/>
      <c r="R459" s="354"/>
      <c r="S459" s="354"/>
      <c r="T459" s="352">
        <f t="shared" si="235"/>
        <v>430</v>
      </c>
      <c r="U459" s="353">
        <f>C459*3.5</f>
        <v>0</v>
      </c>
      <c r="V459" s="353"/>
      <c r="W459" s="353"/>
      <c r="X459" s="349"/>
      <c r="Y459" s="349"/>
      <c r="Z459" s="349">
        <f>U459/2</f>
        <v>0</v>
      </c>
      <c r="AA459" s="349">
        <f>U459/2</f>
        <v>0</v>
      </c>
      <c r="AB459" s="349"/>
      <c r="AC459" s="349"/>
      <c r="AD459" s="349"/>
      <c r="AE459" s="349"/>
      <c r="AF459" s="349"/>
      <c r="AG459" s="349"/>
      <c r="AH459" s="349"/>
      <c r="AI459" s="349"/>
      <c r="AJ459" s="349"/>
      <c r="AK459" s="349"/>
      <c r="AL459" s="349"/>
      <c r="AM459" s="349"/>
      <c r="AN459" s="349">
        <f>2.5*4</f>
        <v>10</v>
      </c>
      <c r="AO459" s="349"/>
      <c r="AP459" s="354"/>
      <c r="AQ459" s="352">
        <v>8</v>
      </c>
      <c r="AR459" s="389"/>
      <c r="AS459" s="356">
        <f>C459</f>
        <v>0</v>
      </c>
      <c r="AT459" s="362"/>
      <c r="AU459" s="390"/>
      <c r="AV459" s="391"/>
      <c r="AW459" s="353">
        <f t="shared" ref="AW459:AX462" si="236">Z459</f>
        <v>0</v>
      </c>
      <c r="AX459" s="349">
        <f t="shared" si="236"/>
        <v>0</v>
      </c>
      <c r="AY459" s="352">
        <f>AS459</f>
        <v>0</v>
      </c>
      <c r="AZ459" s="372">
        <v>2</v>
      </c>
      <c r="BA459" s="361"/>
      <c r="BB459" s="361"/>
      <c r="BC459" s="361"/>
      <c r="BD459" s="361"/>
      <c r="BE459" s="361"/>
      <c r="BF459" s="361"/>
      <c r="BG459" s="361"/>
      <c r="BH459" s="361"/>
      <c r="BI459" s="361"/>
      <c r="BJ459" s="361"/>
      <c r="BK459" s="361"/>
      <c r="BL459" s="361"/>
      <c r="BM459" s="361"/>
      <c r="BN459" s="361"/>
      <c r="BO459" s="361"/>
      <c r="BP459" s="361"/>
      <c r="BQ459" s="361"/>
      <c r="BR459" s="361"/>
      <c r="BS459" s="361"/>
      <c r="BT459" s="361"/>
      <c r="BU459" s="361"/>
      <c r="BV459" s="361"/>
      <c r="BW459" s="361"/>
      <c r="BX459" s="361"/>
      <c r="BY459" s="361"/>
      <c r="BZ459" s="361"/>
      <c r="CA459" s="361"/>
      <c r="CB459" s="361"/>
      <c r="CC459" s="361"/>
      <c r="CD459" s="361"/>
      <c r="CE459" s="361"/>
      <c r="CF459" s="361"/>
      <c r="CG459" s="361"/>
      <c r="CH459" s="361"/>
      <c r="CI459" s="361"/>
      <c r="CJ459" s="361"/>
      <c r="CK459" s="361"/>
      <c r="CL459" s="361"/>
      <c r="CM459" s="361"/>
      <c r="CN459" s="361"/>
      <c r="CO459" s="361"/>
      <c r="CP459" s="361"/>
      <c r="CQ459" s="361"/>
      <c r="CR459" s="361"/>
      <c r="CS459" s="361"/>
      <c r="CT459" s="361"/>
      <c r="CU459" s="361"/>
      <c r="CV459" s="361"/>
      <c r="CW459" s="361"/>
      <c r="CX459" s="361"/>
      <c r="CY459" s="361"/>
      <c r="CZ459" s="361"/>
      <c r="DA459" s="361"/>
      <c r="DB459" s="361"/>
      <c r="DC459" s="361"/>
    </row>
    <row r="460" spans="1:107">
      <c r="A460" s="376"/>
      <c r="B460" s="353" t="s">
        <v>241</v>
      </c>
      <c r="C460" s="349"/>
      <c r="D460" s="349"/>
      <c r="E460" s="349"/>
      <c r="F460" s="349">
        <v>620</v>
      </c>
      <c r="G460" s="349"/>
      <c r="H460" s="349"/>
      <c r="I460" s="349"/>
      <c r="J460" s="349"/>
      <c r="K460" s="349"/>
      <c r="L460" s="349"/>
      <c r="M460" s="349"/>
      <c r="N460" s="349"/>
      <c r="O460" s="349"/>
      <c r="P460" s="354"/>
      <c r="Q460" s="354"/>
      <c r="R460" s="354"/>
      <c r="S460" s="354"/>
      <c r="T460" s="352">
        <f t="shared" si="235"/>
        <v>620</v>
      </c>
      <c r="U460" s="353">
        <f>C460*3.5</f>
        <v>0</v>
      </c>
      <c r="V460" s="353"/>
      <c r="W460" s="353"/>
      <c r="X460" s="349"/>
      <c r="Y460" s="349"/>
      <c r="Z460" s="349">
        <f t="shared" ref="Z460:Z462" si="237">U460/2</f>
        <v>0</v>
      </c>
      <c r="AA460" s="349">
        <f t="shared" ref="AA460:AA462" si="238">U460/2</f>
        <v>0</v>
      </c>
      <c r="AB460" s="349"/>
      <c r="AC460" s="349"/>
      <c r="AD460" s="349"/>
      <c r="AE460" s="349"/>
      <c r="AF460" s="349"/>
      <c r="AG460" s="349"/>
      <c r="AH460" s="349"/>
      <c r="AI460" s="349"/>
      <c r="AJ460" s="349"/>
      <c r="AK460" s="349"/>
      <c r="AL460" s="349"/>
      <c r="AM460" s="349"/>
      <c r="AN460" s="349"/>
      <c r="AO460" s="349"/>
      <c r="AP460" s="354"/>
      <c r="AQ460" s="352"/>
      <c r="AR460" s="355">
        <f>C460</f>
        <v>0</v>
      </c>
      <c r="AS460" s="356"/>
      <c r="AT460" s="356"/>
      <c r="AU460" s="387"/>
      <c r="AV460" s="357"/>
      <c r="AW460" s="353">
        <f t="shared" si="236"/>
        <v>0</v>
      </c>
      <c r="AX460" s="349">
        <f t="shared" si="236"/>
        <v>0</v>
      </c>
      <c r="AY460" s="352">
        <f>AR460</f>
        <v>0</v>
      </c>
      <c r="AZ460" s="372"/>
      <c r="BA460" s="373"/>
      <c r="BB460" s="373"/>
      <c r="BC460" s="373"/>
      <c r="BD460" s="373"/>
      <c r="BE460" s="373"/>
      <c r="BF460" s="373"/>
      <c r="BG460" s="373"/>
      <c r="BH460" s="373"/>
      <c r="BI460" s="373"/>
      <c r="BJ460" s="373"/>
      <c r="BK460" s="373"/>
      <c r="BL460" s="373"/>
      <c r="BM460" s="373"/>
      <c r="BN460" s="373"/>
      <c r="BO460" s="373"/>
      <c r="BP460" s="373"/>
      <c r="BQ460" s="373"/>
      <c r="BR460" s="373"/>
      <c r="BS460" s="373"/>
      <c r="BT460" s="373"/>
      <c r="BU460" s="373"/>
      <c r="BV460" s="373"/>
      <c r="BW460" s="373"/>
      <c r="BX460" s="373"/>
      <c r="BY460" s="373"/>
      <c r="BZ460" s="373"/>
      <c r="CA460" s="373"/>
      <c r="CB460" s="373"/>
      <c r="CC460" s="373"/>
      <c r="CD460" s="373"/>
      <c r="CE460" s="373"/>
      <c r="CF460" s="373"/>
      <c r="CG460" s="373"/>
      <c r="CH460" s="373"/>
      <c r="CI460" s="373"/>
      <c r="CJ460" s="373"/>
      <c r="CK460" s="373"/>
      <c r="CL460" s="373"/>
      <c r="CM460" s="373"/>
      <c r="CN460" s="373"/>
      <c r="CO460" s="373"/>
      <c r="CP460" s="373"/>
      <c r="CQ460" s="373"/>
      <c r="CR460" s="373"/>
      <c r="CS460" s="373"/>
      <c r="CT460" s="373"/>
      <c r="CU460" s="373"/>
      <c r="CV460" s="373"/>
      <c r="CW460" s="373"/>
      <c r="CX460" s="373"/>
      <c r="CY460" s="373"/>
      <c r="CZ460" s="373"/>
      <c r="DA460" s="373"/>
      <c r="DB460" s="373"/>
      <c r="DC460" s="373"/>
    </row>
    <row r="461" spans="1:107">
      <c r="A461" s="376"/>
      <c r="B461" s="353" t="s">
        <v>259</v>
      </c>
      <c r="C461" s="349"/>
      <c r="D461" s="349">
        <v>80</v>
      </c>
      <c r="E461" s="349"/>
      <c r="F461" s="349"/>
      <c r="G461" s="349"/>
      <c r="H461" s="349"/>
      <c r="I461" s="349"/>
      <c r="J461" s="349"/>
      <c r="K461" s="349"/>
      <c r="L461" s="349"/>
      <c r="M461" s="349"/>
      <c r="N461" s="349"/>
      <c r="O461" s="349"/>
      <c r="P461" s="354"/>
      <c r="Q461" s="354"/>
      <c r="R461" s="354"/>
      <c r="S461" s="354"/>
      <c r="T461" s="352">
        <f t="shared" si="235"/>
        <v>80</v>
      </c>
      <c r="U461" s="353">
        <f>C461*2.5</f>
        <v>0</v>
      </c>
      <c r="V461" s="353"/>
      <c r="W461" s="353"/>
      <c r="X461" s="349"/>
      <c r="Y461" s="349"/>
      <c r="Z461" s="349">
        <f t="shared" si="237"/>
        <v>0</v>
      </c>
      <c r="AA461" s="349">
        <f t="shared" si="238"/>
        <v>0</v>
      </c>
      <c r="AB461" s="349"/>
      <c r="AC461" s="349"/>
      <c r="AD461" s="349"/>
      <c r="AE461" s="349"/>
      <c r="AF461" s="349"/>
      <c r="AG461" s="349"/>
      <c r="AH461" s="349"/>
      <c r="AI461" s="349"/>
      <c r="AJ461" s="349"/>
      <c r="AK461" s="349"/>
      <c r="AL461" s="349"/>
      <c r="AM461" s="349"/>
      <c r="AN461" s="349">
        <f>2.5*2</f>
        <v>5</v>
      </c>
      <c r="AO461" s="349"/>
      <c r="AP461" s="354"/>
      <c r="AQ461" s="352">
        <f>2.1*2</f>
        <v>4.2</v>
      </c>
      <c r="AR461" s="355">
        <f>C461</f>
        <v>0</v>
      </c>
      <c r="AS461" s="356"/>
      <c r="AT461" s="356"/>
      <c r="AU461" s="387"/>
      <c r="AV461" s="357"/>
      <c r="AW461" s="353">
        <f t="shared" si="236"/>
        <v>0</v>
      </c>
      <c r="AX461" s="349">
        <f t="shared" si="236"/>
        <v>0</v>
      </c>
      <c r="AY461" s="352">
        <f>AR461</f>
        <v>0</v>
      </c>
      <c r="AZ461" s="372"/>
      <c r="BA461" s="373">
        <v>1</v>
      </c>
      <c r="BB461" s="373">
        <v>1</v>
      </c>
      <c r="BC461" s="373"/>
      <c r="BD461" s="373"/>
      <c r="BE461" s="373"/>
      <c r="BF461" s="373"/>
      <c r="BG461" s="373"/>
      <c r="BH461" s="373"/>
      <c r="BI461" s="373"/>
      <c r="BJ461" s="373"/>
      <c r="BK461" s="373"/>
      <c r="BL461" s="373"/>
      <c r="BM461" s="373"/>
      <c r="BN461" s="373"/>
      <c r="BO461" s="373"/>
      <c r="BP461" s="373"/>
      <c r="BQ461" s="373"/>
      <c r="BR461" s="373"/>
      <c r="BS461" s="373"/>
      <c r="BT461" s="373"/>
      <c r="BU461" s="373"/>
      <c r="BV461" s="373"/>
      <c r="BW461" s="373"/>
      <c r="BX461" s="373"/>
      <c r="BY461" s="373"/>
      <c r="BZ461" s="373"/>
      <c r="CA461" s="373"/>
      <c r="CB461" s="373"/>
      <c r="CC461" s="373"/>
      <c r="CD461" s="373"/>
      <c r="CE461" s="373"/>
      <c r="CF461" s="373"/>
      <c r="CG461" s="373"/>
      <c r="CH461" s="373"/>
      <c r="CI461" s="373"/>
      <c r="CJ461" s="373"/>
      <c r="CK461" s="373"/>
      <c r="CL461" s="373"/>
      <c r="CM461" s="373"/>
      <c r="CN461" s="373"/>
      <c r="CO461" s="373"/>
      <c r="CP461" s="373"/>
      <c r="CQ461" s="373"/>
      <c r="CR461" s="373"/>
      <c r="CS461" s="373"/>
      <c r="CT461" s="373"/>
      <c r="CU461" s="373"/>
      <c r="CV461" s="373"/>
      <c r="CW461" s="373"/>
      <c r="CX461" s="373"/>
      <c r="CY461" s="373"/>
      <c r="CZ461" s="373"/>
      <c r="DA461" s="373"/>
      <c r="DB461" s="373"/>
      <c r="DC461" s="373"/>
    </row>
    <row r="462" spans="1:107">
      <c r="A462" s="376"/>
      <c r="B462" s="353" t="s">
        <v>260</v>
      </c>
      <c r="C462" s="349"/>
      <c r="D462" s="349">
        <v>320</v>
      </c>
      <c r="E462" s="349"/>
      <c r="F462" s="349"/>
      <c r="G462" s="349"/>
      <c r="H462" s="349"/>
      <c r="I462" s="349"/>
      <c r="J462" s="349"/>
      <c r="K462" s="349"/>
      <c r="L462" s="349"/>
      <c r="M462" s="349"/>
      <c r="N462" s="349"/>
      <c r="O462" s="349"/>
      <c r="P462" s="354"/>
      <c r="Q462" s="354"/>
      <c r="R462" s="354"/>
      <c r="S462" s="354"/>
      <c r="T462" s="352">
        <f t="shared" si="235"/>
        <v>320</v>
      </c>
      <c r="U462" s="353">
        <f>C462*2.5</f>
        <v>0</v>
      </c>
      <c r="V462" s="353"/>
      <c r="W462" s="353"/>
      <c r="X462" s="349"/>
      <c r="Y462" s="349"/>
      <c r="Z462" s="349">
        <f t="shared" si="237"/>
        <v>0</v>
      </c>
      <c r="AA462" s="349">
        <f t="shared" si="238"/>
        <v>0</v>
      </c>
      <c r="AB462" s="349"/>
      <c r="AC462" s="349"/>
      <c r="AD462" s="349"/>
      <c r="AE462" s="349"/>
      <c r="AF462" s="349"/>
      <c r="AG462" s="349"/>
      <c r="AH462" s="349"/>
      <c r="AI462" s="349"/>
      <c r="AJ462" s="349"/>
      <c r="AK462" s="349"/>
      <c r="AL462" s="349"/>
      <c r="AM462" s="349"/>
      <c r="AN462" s="349">
        <f>2.5*8</f>
        <v>20</v>
      </c>
      <c r="AO462" s="349"/>
      <c r="AP462" s="354"/>
      <c r="AQ462" s="352">
        <f>2.1*4</f>
        <v>8.4</v>
      </c>
      <c r="AR462" s="355">
        <f>C462</f>
        <v>0</v>
      </c>
      <c r="AS462" s="356"/>
      <c r="AT462" s="356"/>
      <c r="AU462" s="387"/>
      <c r="AV462" s="357"/>
      <c r="AW462" s="353">
        <f t="shared" si="236"/>
        <v>0</v>
      </c>
      <c r="AX462" s="349">
        <f t="shared" si="236"/>
        <v>0</v>
      </c>
      <c r="AY462" s="352">
        <f>AR462</f>
        <v>0</v>
      </c>
      <c r="AZ462" s="372"/>
      <c r="BA462" s="373">
        <v>2</v>
      </c>
      <c r="BB462" s="373"/>
      <c r="BC462" s="373"/>
      <c r="BD462" s="373"/>
      <c r="BE462" s="373"/>
      <c r="BF462" s="373"/>
      <c r="BG462" s="373"/>
      <c r="BH462" s="373"/>
      <c r="BI462" s="373"/>
      <c r="BJ462" s="373"/>
      <c r="BK462" s="373"/>
      <c r="BL462" s="373"/>
      <c r="BM462" s="373"/>
      <c r="BN462" s="373"/>
      <c r="BO462" s="373"/>
      <c r="BP462" s="373"/>
      <c r="BQ462" s="373"/>
      <c r="BR462" s="373"/>
      <c r="BS462" s="373"/>
      <c r="BT462" s="373"/>
      <c r="BU462" s="373"/>
      <c r="BV462" s="373"/>
      <c r="BW462" s="373">
        <v>1</v>
      </c>
      <c r="BX462" s="373"/>
      <c r="BY462" s="373"/>
      <c r="BZ462" s="373"/>
      <c r="CA462" s="373"/>
      <c r="CB462" s="373"/>
      <c r="CC462" s="373"/>
      <c r="CD462" s="373"/>
      <c r="CE462" s="373"/>
      <c r="CF462" s="373"/>
      <c r="CG462" s="373"/>
      <c r="CH462" s="373"/>
      <c r="CI462" s="373"/>
      <c r="CJ462" s="373"/>
      <c r="CK462" s="373"/>
      <c r="CL462" s="373"/>
      <c r="CM462" s="373"/>
      <c r="CN462" s="373"/>
      <c r="CO462" s="373"/>
      <c r="CP462" s="373"/>
      <c r="CQ462" s="373"/>
      <c r="CR462" s="373"/>
      <c r="CS462" s="373"/>
      <c r="CT462" s="373"/>
      <c r="CU462" s="373"/>
      <c r="CV462" s="373"/>
      <c r="CW462" s="373"/>
      <c r="CX462" s="373"/>
      <c r="CY462" s="373"/>
      <c r="CZ462" s="373"/>
      <c r="DA462" s="373"/>
      <c r="DB462" s="373"/>
      <c r="DC462" s="373"/>
    </row>
    <row r="463" spans="1:107">
      <c r="A463" s="376"/>
      <c r="B463" s="353" t="s">
        <v>261</v>
      </c>
      <c r="C463" s="349"/>
      <c r="D463" s="349"/>
      <c r="E463" s="349"/>
      <c r="F463" s="349">
        <f>ROUNDUP((6*33.36)+(6*44.69),0)</f>
        <v>469</v>
      </c>
      <c r="G463" s="349"/>
      <c r="H463" s="349"/>
      <c r="I463" s="349"/>
      <c r="J463" s="349"/>
      <c r="K463" s="349"/>
      <c r="L463" s="349"/>
      <c r="M463" s="349"/>
      <c r="N463" s="349"/>
      <c r="O463" s="349"/>
      <c r="P463" s="354"/>
      <c r="Q463" s="354"/>
      <c r="R463" s="354"/>
      <c r="S463" s="354"/>
      <c r="T463" s="352">
        <f t="shared" si="235"/>
        <v>469</v>
      </c>
      <c r="U463" s="353"/>
      <c r="V463" s="353"/>
      <c r="W463" s="353"/>
      <c r="X463" s="349"/>
      <c r="Y463" s="349"/>
      <c r="Z463" s="349"/>
      <c r="AA463" s="349"/>
      <c r="AB463" s="349"/>
      <c r="AC463" s="349"/>
      <c r="AD463" s="349"/>
      <c r="AE463" s="349"/>
      <c r="AF463" s="349"/>
      <c r="AG463" s="349"/>
      <c r="AH463" s="349"/>
      <c r="AI463" s="349"/>
      <c r="AJ463" s="349"/>
      <c r="AK463" s="349"/>
      <c r="AL463" s="349"/>
      <c r="AM463" s="349"/>
      <c r="AN463" s="349"/>
      <c r="AO463" s="349"/>
      <c r="AP463" s="354"/>
      <c r="AQ463" s="352"/>
      <c r="AR463" s="355"/>
      <c r="AS463" s="356"/>
      <c r="AT463" s="356"/>
      <c r="AU463" s="387"/>
      <c r="AV463" s="357"/>
      <c r="AW463" s="353"/>
      <c r="AX463" s="349"/>
      <c r="AY463" s="352"/>
      <c r="AZ463" s="372"/>
      <c r="BA463" s="373"/>
      <c r="BB463" s="373"/>
      <c r="BC463" s="373"/>
      <c r="BD463" s="373"/>
      <c r="BE463" s="373"/>
      <c r="BF463" s="373"/>
      <c r="BG463" s="373"/>
      <c r="BH463" s="373"/>
      <c r="BI463" s="373"/>
      <c r="BJ463" s="373"/>
      <c r="BK463" s="373"/>
      <c r="BL463" s="373"/>
      <c r="BM463" s="373"/>
      <c r="BN463" s="373"/>
      <c r="BO463" s="373"/>
      <c r="BP463" s="373"/>
      <c r="BQ463" s="373"/>
      <c r="BR463" s="373"/>
      <c r="BS463" s="373"/>
      <c r="BT463" s="373"/>
      <c r="BU463" s="373"/>
      <c r="BV463" s="373"/>
      <c r="BW463" s="373"/>
      <c r="BX463" s="373"/>
      <c r="BY463" s="373"/>
      <c r="BZ463" s="373"/>
      <c r="CA463" s="373"/>
      <c r="CB463" s="373"/>
      <c r="CC463" s="373"/>
      <c r="CD463" s="373"/>
      <c r="CE463" s="373"/>
      <c r="CF463" s="373"/>
      <c r="CG463" s="373"/>
      <c r="CH463" s="373"/>
      <c r="CI463" s="373"/>
      <c r="CJ463" s="373"/>
      <c r="CK463" s="373"/>
      <c r="CL463" s="373"/>
      <c r="CM463" s="373"/>
      <c r="CN463" s="373"/>
      <c r="CO463" s="373"/>
      <c r="CP463" s="373"/>
      <c r="CQ463" s="373"/>
      <c r="CR463" s="373"/>
      <c r="CS463" s="373"/>
      <c r="CT463" s="373"/>
      <c r="CU463" s="373"/>
      <c r="CV463" s="373"/>
      <c r="CW463" s="373"/>
      <c r="CX463" s="373"/>
      <c r="CY463" s="373"/>
      <c r="CZ463" s="373"/>
      <c r="DA463" s="373"/>
      <c r="DB463" s="373"/>
      <c r="DC463" s="373"/>
    </row>
    <row r="464" spans="1:107">
      <c r="A464" s="376"/>
      <c r="B464" s="396"/>
      <c r="C464" s="349"/>
      <c r="D464" s="349"/>
      <c r="E464" s="349"/>
      <c r="F464" s="349"/>
      <c r="G464" s="349"/>
      <c r="H464" s="349"/>
      <c r="I464" s="349"/>
      <c r="J464" s="349"/>
      <c r="K464" s="349"/>
      <c r="L464" s="349"/>
      <c r="M464" s="349"/>
      <c r="N464" s="349"/>
      <c r="O464" s="349"/>
      <c r="P464" s="354"/>
      <c r="Q464" s="354"/>
      <c r="R464" s="354"/>
      <c r="S464" s="354"/>
      <c r="T464" s="352">
        <f t="shared" si="235"/>
        <v>0</v>
      </c>
      <c r="U464" s="353"/>
      <c r="V464" s="353"/>
      <c r="W464" s="353"/>
      <c r="X464" s="349"/>
      <c r="Y464" s="349"/>
      <c r="Z464" s="349"/>
      <c r="AA464" s="349"/>
      <c r="AB464" s="349"/>
      <c r="AC464" s="349"/>
      <c r="AD464" s="349"/>
      <c r="AE464" s="349"/>
      <c r="AF464" s="349"/>
      <c r="AG464" s="349"/>
      <c r="AH464" s="349"/>
      <c r="AI464" s="349"/>
      <c r="AJ464" s="349"/>
      <c r="AK464" s="349"/>
      <c r="AL464" s="349"/>
      <c r="AM464" s="349"/>
      <c r="AN464" s="349"/>
      <c r="AO464" s="349"/>
      <c r="AP464" s="354"/>
      <c r="AQ464" s="352"/>
      <c r="AR464" s="355"/>
      <c r="AS464" s="356"/>
      <c r="AT464" s="356"/>
      <c r="AU464" s="387"/>
      <c r="AV464" s="357"/>
      <c r="AW464" s="353"/>
      <c r="AX464" s="349"/>
      <c r="AY464" s="352"/>
      <c r="AZ464" s="372"/>
      <c r="BA464" s="373"/>
      <c r="BB464" s="373"/>
      <c r="BC464" s="373"/>
      <c r="BD464" s="373"/>
      <c r="BE464" s="373"/>
      <c r="BF464" s="373"/>
      <c r="BG464" s="373"/>
      <c r="BH464" s="373"/>
      <c r="BI464" s="373"/>
      <c r="BJ464" s="373"/>
      <c r="BK464" s="373"/>
      <c r="BL464" s="373"/>
      <c r="BM464" s="373"/>
      <c r="BN464" s="373"/>
      <c r="BO464" s="373"/>
      <c r="BP464" s="373"/>
      <c r="BQ464" s="373"/>
      <c r="BR464" s="373"/>
      <c r="BS464" s="373"/>
      <c r="BT464" s="373"/>
      <c r="BU464" s="373"/>
      <c r="BV464" s="373"/>
      <c r="BW464" s="373"/>
      <c r="BX464" s="373"/>
      <c r="BY464" s="373"/>
      <c r="BZ464" s="373"/>
      <c r="CA464" s="373"/>
      <c r="CB464" s="373"/>
      <c r="CC464" s="374"/>
      <c r="CD464" s="374"/>
      <c r="CE464" s="374"/>
      <c r="CF464" s="374"/>
      <c r="CG464" s="374"/>
      <c r="CH464" s="374"/>
      <c r="CI464" s="374"/>
      <c r="CJ464" s="374"/>
      <c r="CK464" s="374"/>
      <c r="CL464" s="374"/>
      <c r="CM464" s="374"/>
      <c r="CN464" s="374"/>
      <c r="CO464" s="374"/>
      <c r="CP464" s="374"/>
      <c r="CQ464" s="374"/>
      <c r="CR464" s="374"/>
      <c r="CS464" s="374"/>
      <c r="CT464" s="374"/>
      <c r="CU464" s="374"/>
      <c r="CV464" s="374"/>
      <c r="CW464" s="374"/>
      <c r="CX464" s="374"/>
      <c r="CY464" s="374"/>
      <c r="CZ464" s="374"/>
      <c r="DA464" s="374"/>
      <c r="DB464" s="374"/>
      <c r="DC464" s="375"/>
    </row>
    <row r="465" spans="1:107">
      <c r="A465" s="376"/>
      <c r="B465" s="396"/>
      <c r="C465" s="349"/>
      <c r="D465" s="349"/>
      <c r="E465" s="349"/>
      <c r="F465" s="349"/>
      <c r="G465" s="349"/>
      <c r="H465" s="349"/>
      <c r="I465" s="349"/>
      <c r="J465" s="349"/>
      <c r="K465" s="349"/>
      <c r="L465" s="349"/>
      <c r="M465" s="349"/>
      <c r="N465" s="349"/>
      <c r="O465" s="349"/>
      <c r="P465" s="354"/>
      <c r="Q465" s="354"/>
      <c r="R465" s="354"/>
      <c r="S465" s="354"/>
      <c r="T465" s="352"/>
      <c r="U465" s="353"/>
      <c r="V465" s="353"/>
      <c r="W465" s="353"/>
      <c r="X465" s="349"/>
      <c r="Y465" s="349"/>
      <c r="Z465" s="349"/>
      <c r="AA465" s="349"/>
      <c r="AB465" s="349"/>
      <c r="AC465" s="349"/>
      <c r="AD465" s="349"/>
      <c r="AE465" s="349"/>
      <c r="AF465" s="349"/>
      <c r="AG465" s="349"/>
      <c r="AH465" s="349"/>
      <c r="AI465" s="349"/>
      <c r="AJ465" s="349"/>
      <c r="AK465" s="349"/>
      <c r="AL465" s="349"/>
      <c r="AM465" s="349"/>
      <c r="AN465" s="349"/>
      <c r="AO465" s="349"/>
      <c r="AP465" s="354"/>
      <c r="AQ465" s="352"/>
      <c r="AR465" s="355"/>
      <c r="AS465" s="356"/>
      <c r="AT465" s="356"/>
      <c r="AU465" s="387"/>
      <c r="AV465" s="357"/>
      <c r="AW465" s="353"/>
      <c r="AX465" s="349"/>
      <c r="AY465" s="352"/>
      <c r="AZ465" s="372"/>
      <c r="BA465" s="373"/>
      <c r="BB465" s="373"/>
      <c r="BC465" s="373"/>
      <c r="BD465" s="373"/>
      <c r="BE465" s="373"/>
      <c r="BF465" s="373"/>
      <c r="BG465" s="373"/>
      <c r="BH465" s="373"/>
      <c r="BI465" s="373"/>
      <c r="BJ465" s="373"/>
      <c r="BK465" s="373"/>
      <c r="BL465" s="373"/>
      <c r="BM465" s="373"/>
      <c r="BN465" s="373"/>
      <c r="BO465" s="373"/>
      <c r="BP465" s="373"/>
      <c r="BQ465" s="373"/>
      <c r="BR465" s="373"/>
      <c r="BS465" s="373"/>
      <c r="BT465" s="373"/>
      <c r="BU465" s="373"/>
      <c r="BV465" s="373"/>
      <c r="BW465" s="373"/>
      <c r="BX465" s="373"/>
      <c r="BY465" s="373"/>
      <c r="BZ465" s="373"/>
      <c r="CA465" s="373"/>
      <c r="CB465" s="373"/>
      <c r="CC465" s="374"/>
      <c r="CD465" s="374"/>
      <c r="CE465" s="374"/>
      <c r="CF465" s="374"/>
      <c r="CG465" s="374"/>
      <c r="CH465" s="374"/>
      <c r="CI465" s="374"/>
      <c r="CJ465" s="374"/>
      <c r="CK465" s="374"/>
      <c r="CL465" s="374"/>
      <c r="CM465" s="374"/>
      <c r="CN465" s="374"/>
      <c r="CO465" s="374"/>
      <c r="CP465" s="374"/>
      <c r="CQ465" s="374"/>
      <c r="CR465" s="374"/>
      <c r="CS465" s="374"/>
      <c r="CT465" s="374"/>
      <c r="CU465" s="374"/>
      <c r="CV465" s="374"/>
      <c r="CW465" s="374"/>
      <c r="CX465" s="374"/>
      <c r="CY465" s="374"/>
      <c r="CZ465" s="374"/>
      <c r="DA465" s="374"/>
      <c r="DB465" s="374"/>
      <c r="DC465" s="375"/>
    </row>
    <row r="466" spans="1:107">
      <c r="A466" s="376"/>
      <c r="B466" s="396"/>
      <c r="C466" s="349"/>
      <c r="D466" s="349"/>
      <c r="E466" s="349"/>
      <c r="F466" s="349"/>
      <c r="G466" s="349"/>
      <c r="H466" s="349"/>
      <c r="I466" s="349"/>
      <c r="J466" s="349"/>
      <c r="K466" s="349"/>
      <c r="L466" s="349"/>
      <c r="M466" s="349"/>
      <c r="N466" s="349"/>
      <c r="O466" s="349"/>
      <c r="P466" s="354"/>
      <c r="Q466" s="354"/>
      <c r="R466" s="354"/>
      <c r="S466" s="354"/>
      <c r="T466" s="352"/>
      <c r="U466" s="353"/>
      <c r="V466" s="353"/>
      <c r="W466" s="353"/>
      <c r="X466" s="349"/>
      <c r="Y466" s="349"/>
      <c r="Z466" s="349"/>
      <c r="AA466" s="349"/>
      <c r="AB466" s="349"/>
      <c r="AC466" s="349"/>
      <c r="AD466" s="349"/>
      <c r="AE466" s="349"/>
      <c r="AF466" s="349"/>
      <c r="AG466" s="349"/>
      <c r="AH466" s="349"/>
      <c r="AI466" s="349"/>
      <c r="AJ466" s="349"/>
      <c r="AK466" s="349"/>
      <c r="AL466" s="349"/>
      <c r="AM466" s="349"/>
      <c r="AN466" s="349"/>
      <c r="AO466" s="349"/>
      <c r="AP466" s="354"/>
      <c r="AQ466" s="352"/>
      <c r="AR466" s="355"/>
      <c r="AS466" s="356"/>
      <c r="AT466" s="356"/>
      <c r="AU466" s="387"/>
      <c r="AV466" s="357"/>
      <c r="AW466" s="353"/>
      <c r="AX466" s="349"/>
      <c r="AY466" s="352"/>
      <c r="AZ466" s="372"/>
      <c r="BA466" s="373"/>
      <c r="BB466" s="373"/>
      <c r="BC466" s="373"/>
      <c r="BD466" s="373"/>
      <c r="BE466" s="373"/>
      <c r="BF466" s="373"/>
      <c r="BG466" s="373"/>
      <c r="BH466" s="373"/>
      <c r="BI466" s="373"/>
      <c r="BJ466" s="373"/>
      <c r="BK466" s="373"/>
      <c r="BL466" s="373"/>
      <c r="BM466" s="373"/>
      <c r="BN466" s="373"/>
      <c r="BO466" s="373"/>
      <c r="BP466" s="373"/>
      <c r="BQ466" s="373"/>
      <c r="BR466" s="373"/>
      <c r="BS466" s="373"/>
      <c r="BT466" s="373"/>
      <c r="BU466" s="373"/>
      <c r="BV466" s="373"/>
      <c r="BW466" s="373"/>
      <c r="BX466" s="373"/>
      <c r="BY466" s="373"/>
      <c r="BZ466" s="373"/>
      <c r="CA466" s="373"/>
      <c r="CB466" s="373"/>
      <c r="CC466" s="374"/>
      <c r="CD466" s="374"/>
      <c r="CE466" s="374"/>
      <c r="CF466" s="374"/>
      <c r="CG466" s="374"/>
      <c r="CH466" s="374"/>
      <c r="CI466" s="374"/>
      <c r="CJ466" s="374"/>
      <c r="CK466" s="374"/>
      <c r="CL466" s="374"/>
      <c r="CM466" s="374"/>
      <c r="CN466" s="374"/>
      <c r="CO466" s="374"/>
      <c r="CP466" s="374"/>
      <c r="CQ466" s="374"/>
      <c r="CR466" s="374"/>
      <c r="CS466" s="374"/>
      <c r="CT466" s="374"/>
      <c r="CU466" s="374"/>
      <c r="CV466" s="374"/>
      <c r="CW466" s="374"/>
      <c r="CX466" s="374"/>
      <c r="CY466" s="374"/>
      <c r="CZ466" s="374"/>
      <c r="DA466" s="374"/>
      <c r="DB466" s="374"/>
      <c r="DC466" s="375"/>
    </row>
    <row r="467" spans="1:107">
      <c r="A467" s="376"/>
      <c r="B467" s="353"/>
      <c r="C467" s="349"/>
      <c r="D467" s="349"/>
      <c r="E467" s="349"/>
      <c r="F467" s="349"/>
      <c r="G467" s="349"/>
      <c r="H467" s="349"/>
      <c r="I467" s="349"/>
      <c r="J467" s="349"/>
      <c r="K467" s="349"/>
      <c r="L467" s="349"/>
      <c r="M467" s="349"/>
      <c r="N467" s="349"/>
      <c r="O467" s="349"/>
      <c r="P467" s="354"/>
      <c r="Q467" s="354"/>
      <c r="R467" s="354"/>
      <c r="S467" s="354"/>
      <c r="T467" s="359"/>
      <c r="U467" s="353"/>
      <c r="V467" s="353"/>
      <c r="W467" s="353"/>
      <c r="X467" s="349"/>
      <c r="Y467" s="349"/>
      <c r="Z467" s="349"/>
      <c r="AA467" s="349"/>
      <c r="AB467" s="349"/>
      <c r="AC467" s="349"/>
      <c r="AD467" s="349"/>
      <c r="AE467" s="349"/>
      <c r="AF467" s="349"/>
      <c r="AG467" s="349"/>
      <c r="AH467" s="349"/>
      <c r="AI467" s="349"/>
      <c r="AJ467" s="349"/>
      <c r="AK467" s="349"/>
      <c r="AL467" s="349"/>
      <c r="AM467" s="349"/>
      <c r="AN467" s="349"/>
      <c r="AO467" s="349"/>
      <c r="AP467" s="354"/>
      <c r="AQ467" s="352"/>
      <c r="AR467" s="353"/>
      <c r="AS467" s="349"/>
      <c r="AT467" s="349"/>
      <c r="AU467" s="354"/>
      <c r="AV467" s="352"/>
      <c r="AW467" s="353"/>
      <c r="AX467" s="349"/>
      <c r="AY467" s="352"/>
      <c r="AZ467" s="372"/>
      <c r="BA467" s="373"/>
      <c r="BB467" s="373"/>
      <c r="BC467" s="373"/>
      <c r="BD467" s="373"/>
      <c r="BE467" s="373"/>
      <c r="BF467" s="373"/>
      <c r="BG467" s="373"/>
      <c r="BH467" s="373"/>
      <c r="BI467" s="373"/>
      <c r="BJ467" s="373"/>
      <c r="BK467" s="373"/>
      <c r="BL467" s="373"/>
      <c r="BM467" s="373"/>
      <c r="BN467" s="373"/>
      <c r="BO467" s="373"/>
      <c r="BP467" s="373"/>
      <c r="BQ467" s="373"/>
      <c r="BR467" s="373"/>
      <c r="BS467" s="373"/>
      <c r="BT467" s="373"/>
      <c r="BU467" s="373"/>
      <c r="BV467" s="373"/>
      <c r="BW467" s="373"/>
      <c r="BX467" s="373"/>
      <c r="BY467" s="373"/>
      <c r="BZ467" s="373"/>
      <c r="CA467" s="373"/>
      <c r="CB467" s="373"/>
      <c r="CC467" s="374"/>
      <c r="CD467" s="374"/>
      <c r="CE467" s="374"/>
      <c r="CF467" s="374"/>
      <c r="CG467" s="374"/>
      <c r="CH467" s="374"/>
      <c r="CI467" s="374"/>
      <c r="CJ467" s="374"/>
      <c r="CK467" s="374"/>
      <c r="CL467" s="374"/>
      <c r="CM467" s="374"/>
      <c r="CN467" s="374"/>
      <c r="CO467" s="374"/>
      <c r="CP467" s="374"/>
      <c r="CQ467" s="374"/>
      <c r="CR467" s="374"/>
      <c r="CS467" s="374"/>
      <c r="CT467" s="374"/>
      <c r="CU467" s="374"/>
      <c r="CV467" s="374"/>
      <c r="CW467" s="374"/>
      <c r="CX467" s="374"/>
      <c r="CY467" s="374"/>
      <c r="CZ467" s="374"/>
      <c r="DA467" s="374"/>
      <c r="DB467" s="374"/>
      <c r="DC467" s="375"/>
    </row>
    <row r="468" spans="1:107" ht="18.75">
      <c r="A468" s="376"/>
      <c r="B468" s="377" t="s">
        <v>171</v>
      </c>
      <c r="C468" s="378">
        <f t="shared" ref="C468:AQ468" si="239">SUM(C458:C467)</f>
        <v>0</v>
      </c>
      <c r="D468" s="378">
        <f t="shared" si="239"/>
        <v>830</v>
      </c>
      <c r="E468" s="378">
        <f t="shared" si="239"/>
        <v>0</v>
      </c>
      <c r="F468" s="378">
        <f t="shared" si="239"/>
        <v>1089</v>
      </c>
      <c r="G468" s="378">
        <f t="shared" si="239"/>
        <v>0</v>
      </c>
      <c r="H468" s="378">
        <f t="shared" si="239"/>
        <v>0</v>
      </c>
      <c r="I468" s="378">
        <f t="shared" si="239"/>
        <v>0</v>
      </c>
      <c r="J468" s="378">
        <f t="shared" si="239"/>
        <v>0</v>
      </c>
      <c r="K468" s="378">
        <f t="shared" si="239"/>
        <v>0</v>
      </c>
      <c r="L468" s="378">
        <f t="shared" si="239"/>
        <v>0</v>
      </c>
      <c r="M468" s="378">
        <f t="shared" si="239"/>
        <v>0</v>
      </c>
      <c r="N468" s="378">
        <f t="shared" si="239"/>
        <v>0</v>
      </c>
      <c r="O468" s="378">
        <f t="shared" si="239"/>
        <v>0</v>
      </c>
      <c r="P468" s="378">
        <f t="shared" si="239"/>
        <v>0</v>
      </c>
      <c r="Q468" s="378">
        <f t="shared" si="239"/>
        <v>0</v>
      </c>
      <c r="R468" s="378">
        <f t="shared" si="239"/>
        <v>0</v>
      </c>
      <c r="S468" s="378">
        <f t="shared" si="239"/>
        <v>0</v>
      </c>
      <c r="T468" s="380">
        <f t="shared" si="239"/>
        <v>1919</v>
      </c>
      <c r="U468" s="381">
        <f t="shared" si="239"/>
        <v>0</v>
      </c>
      <c r="V468" s="381">
        <f t="shared" si="239"/>
        <v>0</v>
      </c>
      <c r="W468" s="381">
        <f t="shared" si="239"/>
        <v>0</v>
      </c>
      <c r="X468" s="381">
        <f t="shared" si="239"/>
        <v>0</v>
      </c>
      <c r="Y468" s="381">
        <f t="shared" si="239"/>
        <v>0</v>
      </c>
      <c r="Z468" s="381">
        <f t="shared" si="239"/>
        <v>0</v>
      </c>
      <c r="AA468" s="381">
        <f t="shared" si="239"/>
        <v>0</v>
      </c>
      <c r="AB468" s="381">
        <f t="shared" si="239"/>
        <v>0</v>
      </c>
      <c r="AC468" s="381">
        <f t="shared" si="239"/>
        <v>0</v>
      </c>
      <c r="AD468" s="381">
        <f t="shared" si="239"/>
        <v>0</v>
      </c>
      <c r="AE468" s="381">
        <f t="shared" si="239"/>
        <v>0</v>
      </c>
      <c r="AF468" s="381">
        <f t="shared" si="239"/>
        <v>0</v>
      </c>
      <c r="AG468" s="381">
        <f t="shared" si="239"/>
        <v>0</v>
      </c>
      <c r="AH468" s="381">
        <f t="shared" si="239"/>
        <v>0</v>
      </c>
      <c r="AI468" s="381">
        <f t="shared" si="239"/>
        <v>0</v>
      </c>
      <c r="AJ468" s="381">
        <f t="shared" si="239"/>
        <v>0</v>
      </c>
      <c r="AK468" s="381">
        <f t="shared" si="239"/>
        <v>0</v>
      </c>
      <c r="AL468" s="381">
        <f t="shared" si="239"/>
        <v>0</v>
      </c>
      <c r="AM468" s="381">
        <f t="shared" si="239"/>
        <v>0</v>
      </c>
      <c r="AN468" s="381">
        <f t="shared" si="239"/>
        <v>35</v>
      </c>
      <c r="AO468" s="381">
        <f t="shared" si="239"/>
        <v>0</v>
      </c>
      <c r="AP468" s="381">
        <f t="shared" si="239"/>
        <v>0</v>
      </c>
      <c r="AQ468" s="381">
        <f t="shared" si="239"/>
        <v>20.6</v>
      </c>
      <c r="AR468" s="381">
        <f>SUM(AR459:AR467)</f>
        <v>0</v>
      </c>
      <c r="AS468" s="381">
        <f>SUM(AS459:AS467)</f>
        <v>0</v>
      </c>
      <c r="AT468" s="378">
        <f>SUM(AT460:AT467)</f>
        <v>0</v>
      </c>
      <c r="AU468" s="378">
        <f>SUM(AU460:AU467)</f>
        <v>0</v>
      </c>
      <c r="AV468" s="380">
        <f>SUM(AV460:AV467)</f>
        <v>0</v>
      </c>
      <c r="AW468" s="381">
        <f>SUM(AW460:AW467)</f>
        <v>0</v>
      </c>
      <c r="AX468" s="378">
        <f>SUM(AX460:AX467)</f>
        <v>0</v>
      </c>
      <c r="AY468" s="380">
        <f>SUM(AY459:AY467)</f>
        <v>0</v>
      </c>
      <c r="AZ468" s="381">
        <f>SUM(AZ458:AZ467)</f>
        <v>2</v>
      </c>
      <c r="BA468" s="378">
        <f>SUM(BA460:BA467)</f>
        <v>3</v>
      </c>
      <c r="BB468" s="378">
        <f>SUM(BB459:BB467)</f>
        <v>1</v>
      </c>
      <c r="BC468" s="378">
        <f>SUM(BC459:BC467)</f>
        <v>0</v>
      </c>
      <c r="BD468" s="378">
        <f t="shared" ref="BD468:DC468" si="240">SUM(BD459:BD467)</f>
        <v>0</v>
      </c>
      <c r="BE468" s="378">
        <f t="shared" si="240"/>
        <v>0</v>
      </c>
      <c r="BF468" s="378">
        <f t="shared" si="240"/>
        <v>0</v>
      </c>
      <c r="BG468" s="378">
        <f t="shared" si="240"/>
        <v>0</v>
      </c>
      <c r="BH468" s="378">
        <f t="shared" si="240"/>
        <v>0</v>
      </c>
      <c r="BI468" s="378">
        <f t="shared" si="240"/>
        <v>0</v>
      </c>
      <c r="BJ468" s="378">
        <f t="shared" si="240"/>
        <v>0</v>
      </c>
      <c r="BK468" s="378">
        <f t="shared" si="240"/>
        <v>0</v>
      </c>
      <c r="BL468" s="378">
        <f t="shared" si="240"/>
        <v>0</v>
      </c>
      <c r="BM468" s="378">
        <f t="shared" si="240"/>
        <v>0</v>
      </c>
      <c r="BN468" s="378">
        <f t="shared" si="240"/>
        <v>0</v>
      </c>
      <c r="BO468" s="378">
        <f t="shared" si="240"/>
        <v>0</v>
      </c>
      <c r="BP468" s="378">
        <f t="shared" si="240"/>
        <v>0</v>
      </c>
      <c r="BQ468" s="378">
        <f t="shared" si="240"/>
        <v>0</v>
      </c>
      <c r="BR468" s="378">
        <f t="shared" si="240"/>
        <v>0</v>
      </c>
      <c r="BS468" s="378">
        <f t="shared" si="240"/>
        <v>0</v>
      </c>
      <c r="BT468" s="378">
        <f t="shared" si="240"/>
        <v>0</v>
      </c>
      <c r="BU468" s="378">
        <f t="shared" si="240"/>
        <v>0</v>
      </c>
      <c r="BV468" s="378">
        <f t="shared" si="240"/>
        <v>0</v>
      </c>
      <c r="BW468" s="378">
        <f t="shared" si="240"/>
        <v>1</v>
      </c>
      <c r="BX468" s="378"/>
      <c r="BY468" s="378">
        <f t="shared" si="240"/>
        <v>0</v>
      </c>
      <c r="BZ468" s="378">
        <f t="shared" si="240"/>
        <v>0</v>
      </c>
      <c r="CA468" s="378">
        <f t="shared" si="240"/>
        <v>0</v>
      </c>
      <c r="CB468" s="378">
        <f t="shared" si="240"/>
        <v>0</v>
      </c>
      <c r="CC468" s="378"/>
      <c r="CD468" s="378">
        <f t="shared" si="240"/>
        <v>0</v>
      </c>
      <c r="CE468" s="378"/>
      <c r="CF468" s="378">
        <f t="shared" si="240"/>
        <v>0</v>
      </c>
      <c r="CG468" s="378"/>
      <c r="CH468" s="378">
        <f t="shared" si="240"/>
        <v>0</v>
      </c>
      <c r="CI468" s="378">
        <f t="shared" si="240"/>
        <v>0</v>
      </c>
      <c r="CJ468" s="378">
        <f t="shared" si="240"/>
        <v>0</v>
      </c>
      <c r="CK468" s="378"/>
      <c r="CL468" s="378"/>
      <c r="CM468" s="378">
        <f t="shared" si="240"/>
        <v>0</v>
      </c>
      <c r="CN468" s="378">
        <f t="shared" si="240"/>
        <v>0</v>
      </c>
      <c r="CO468" s="378">
        <f t="shared" si="240"/>
        <v>0</v>
      </c>
      <c r="CP468" s="378">
        <f t="shared" si="240"/>
        <v>0</v>
      </c>
      <c r="CQ468" s="378">
        <f t="shared" si="240"/>
        <v>0</v>
      </c>
      <c r="CR468" s="378"/>
      <c r="CS468" s="378"/>
      <c r="CT468" s="378">
        <f t="shared" si="240"/>
        <v>0</v>
      </c>
      <c r="CU468" s="378">
        <f t="shared" si="240"/>
        <v>0</v>
      </c>
      <c r="CV468" s="378">
        <f t="shared" si="240"/>
        <v>0</v>
      </c>
      <c r="CW468" s="378">
        <f t="shared" si="240"/>
        <v>0</v>
      </c>
      <c r="CX468" s="378">
        <f t="shared" si="240"/>
        <v>0</v>
      </c>
      <c r="CY468" s="378">
        <f t="shared" si="240"/>
        <v>0</v>
      </c>
      <c r="CZ468" s="378">
        <f t="shared" si="240"/>
        <v>0</v>
      </c>
      <c r="DA468" s="378">
        <f t="shared" si="240"/>
        <v>0</v>
      </c>
      <c r="DB468" s="378">
        <f t="shared" si="240"/>
        <v>0</v>
      </c>
      <c r="DC468" s="378">
        <f t="shared" si="240"/>
        <v>0</v>
      </c>
    </row>
    <row r="469" spans="1:107" ht="18.75">
      <c r="A469" s="397"/>
      <c r="B469" s="398"/>
      <c r="C469" s="399"/>
      <c r="D469" s="400"/>
      <c r="E469" s="400"/>
      <c r="F469" s="400"/>
      <c r="G469" s="400"/>
      <c r="H469" s="400"/>
      <c r="I469" s="400"/>
      <c r="J469" s="400"/>
      <c r="K469" s="400"/>
      <c r="L469" s="400"/>
      <c r="M469" s="400"/>
      <c r="N469" s="400"/>
      <c r="O469" s="400"/>
      <c r="P469" s="401"/>
      <c r="Q469" s="401"/>
      <c r="R469" s="401"/>
      <c r="S469" s="401"/>
      <c r="T469" s="402"/>
      <c r="U469" s="396"/>
      <c r="V469" s="396"/>
      <c r="W469" s="396"/>
      <c r="X469" s="399"/>
      <c r="Y469" s="399"/>
      <c r="Z469" s="399"/>
      <c r="AA469" s="399"/>
      <c r="AB469" s="399"/>
      <c r="AC469" s="399"/>
      <c r="AD469" s="399"/>
      <c r="AE469" s="399"/>
      <c r="AF469" s="399"/>
      <c r="AG469" s="399"/>
      <c r="AH469" s="399"/>
      <c r="AI469" s="399"/>
      <c r="AJ469" s="399"/>
      <c r="AK469" s="399"/>
      <c r="AL469" s="399"/>
      <c r="AM469" s="399"/>
      <c r="AN469" s="399"/>
      <c r="AO469" s="399"/>
      <c r="AP469" s="403"/>
      <c r="AQ469" s="404"/>
      <c r="AR469" s="396"/>
      <c r="AS469" s="399"/>
      <c r="AT469" s="399"/>
      <c r="AU469" s="403"/>
      <c r="AV469" s="404"/>
      <c r="AW469" s="396"/>
      <c r="AX469" s="399"/>
      <c r="AY469" s="404"/>
      <c r="AZ469" s="405"/>
      <c r="BA469" s="406"/>
      <c r="BB469" s="406"/>
      <c r="BC469" s="406"/>
      <c r="BD469" s="406"/>
      <c r="BE469" s="406"/>
      <c r="BF469" s="471"/>
      <c r="BG469" s="406"/>
      <c r="BH469" s="406"/>
      <c r="BI469" s="406"/>
      <c r="BJ469" s="406"/>
      <c r="BK469" s="406"/>
      <c r="BL469" s="406"/>
      <c r="BM469" s="406"/>
      <c r="BN469" s="406"/>
      <c r="BO469" s="406"/>
      <c r="BP469" s="471"/>
      <c r="BQ469" s="406"/>
      <c r="BR469" s="406"/>
      <c r="BS469" s="406"/>
      <c r="BT469" s="471"/>
      <c r="BU469" s="471"/>
      <c r="BV469" s="471"/>
      <c r="BW469" s="406"/>
      <c r="BX469" s="471"/>
      <c r="BY469" s="406"/>
      <c r="BZ469" s="406"/>
      <c r="CA469" s="406"/>
      <c r="CB469" s="406"/>
      <c r="CC469" s="473"/>
      <c r="CD469" s="407"/>
      <c r="CE469" s="473"/>
      <c r="CF469" s="407"/>
      <c r="CG469" s="473"/>
      <c r="CH469" s="407"/>
      <c r="CI469" s="407"/>
      <c r="CJ469" s="407"/>
      <c r="CK469" s="473"/>
      <c r="CL469" s="473"/>
      <c r="CM469" s="407"/>
      <c r="CN469" s="407"/>
      <c r="CO469" s="407"/>
      <c r="CP469" s="407"/>
      <c r="CQ469" s="407"/>
      <c r="CR469" s="473"/>
      <c r="CS469" s="473"/>
      <c r="CT469" s="407"/>
      <c r="CU469" s="407"/>
      <c r="CV469" s="407"/>
      <c r="CW469" s="407"/>
      <c r="CX469" s="407"/>
      <c r="CY469" s="407"/>
      <c r="CZ469" s="407"/>
      <c r="DA469" s="407"/>
      <c r="DB469" s="407"/>
      <c r="DC469" s="408"/>
    </row>
    <row r="470" spans="1:107">
      <c r="A470" s="397"/>
      <c r="B470" s="386" t="s">
        <v>267</v>
      </c>
      <c r="C470" s="399"/>
      <c r="D470" s="400"/>
      <c r="E470" s="400"/>
      <c r="F470" s="400"/>
      <c r="G470" s="400"/>
      <c r="H470" s="400"/>
      <c r="I470" s="400"/>
      <c r="J470" s="400"/>
      <c r="K470" s="400"/>
      <c r="L470" s="400"/>
      <c r="M470" s="400"/>
      <c r="N470" s="400"/>
      <c r="O470" s="400"/>
      <c r="P470" s="401"/>
      <c r="Q470" s="401"/>
      <c r="R470" s="401"/>
      <c r="S470" s="401"/>
      <c r="T470" s="402"/>
      <c r="U470" s="396"/>
      <c r="V470" s="396"/>
      <c r="W470" s="396"/>
      <c r="X470" s="399"/>
      <c r="Y470" s="399"/>
      <c r="Z470" s="399"/>
      <c r="AA470" s="399"/>
      <c r="AB470" s="399"/>
      <c r="AC470" s="399"/>
      <c r="AD470" s="399"/>
      <c r="AE470" s="399"/>
      <c r="AF470" s="399"/>
      <c r="AG470" s="399"/>
      <c r="AH470" s="399"/>
      <c r="AI470" s="399"/>
      <c r="AJ470" s="399"/>
      <c r="AK470" s="399"/>
      <c r="AL470" s="399"/>
      <c r="AM470" s="399"/>
      <c r="AN470" s="399"/>
      <c r="AO470" s="399"/>
      <c r="AP470" s="403"/>
      <c r="AQ470" s="404"/>
      <c r="AR470" s="396"/>
      <c r="AS470" s="399"/>
      <c r="AT470" s="399"/>
      <c r="AU470" s="403"/>
      <c r="AV470" s="404"/>
      <c r="AW470" s="396"/>
      <c r="AX470" s="399"/>
      <c r="AY470" s="404"/>
      <c r="AZ470" s="405"/>
      <c r="BA470" s="406"/>
      <c r="BB470" s="406"/>
      <c r="BC470" s="406"/>
      <c r="BD470" s="406"/>
      <c r="BE470" s="406"/>
      <c r="BF470" s="471"/>
      <c r="BG470" s="406"/>
      <c r="BH470" s="406"/>
      <c r="BI470" s="406"/>
      <c r="BJ470" s="406"/>
      <c r="BK470" s="406"/>
      <c r="BL470" s="406"/>
      <c r="BM470" s="406"/>
      <c r="BN470" s="406"/>
      <c r="BO470" s="406"/>
      <c r="BP470" s="471"/>
      <c r="BQ470" s="406"/>
      <c r="BR470" s="406"/>
      <c r="BS470" s="406"/>
      <c r="BT470" s="471"/>
      <c r="BU470" s="471"/>
      <c r="BV470" s="471"/>
      <c r="BW470" s="406"/>
      <c r="BX470" s="471"/>
      <c r="BY470" s="406"/>
      <c r="BZ470" s="406"/>
      <c r="CA470" s="406"/>
      <c r="CB470" s="406"/>
      <c r="CC470" s="473"/>
      <c r="CD470" s="407"/>
      <c r="CE470" s="473"/>
      <c r="CF470" s="407"/>
      <c r="CG470" s="473"/>
      <c r="CH470" s="407"/>
      <c r="CI470" s="407"/>
      <c r="CJ470" s="407"/>
      <c r="CK470" s="473"/>
      <c r="CL470" s="473"/>
      <c r="CM470" s="407"/>
      <c r="CN470" s="407"/>
      <c r="CO470" s="407"/>
      <c r="CP470" s="407"/>
      <c r="CQ470" s="407"/>
      <c r="CR470" s="473"/>
      <c r="CS470" s="473"/>
      <c r="CT470" s="407"/>
      <c r="CU470" s="407"/>
      <c r="CV470" s="407"/>
      <c r="CW470" s="407"/>
      <c r="CX470" s="407"/>
      <c r="CY470" s="407"/>
      <c r="CZ470" s="407"/>
      <c r="DA470" s="407"/>
      <c r="DB470" s="407"/>
      <c r="DC470" s="408"/>
    </row>
    <row r="471" spans="1:107">
      <c r="A471" s="397"/>
      <c r="B471" s="396" t="s">
        <v>655</v>
      </c>
      <c r="C471" s="399"/>
      <c r="D471" s="400"/>
      <c r="E471" s="400"/>
      <c r="F471" s="400"/>
      <c r="G471" s="400"/>
      <c r="H471" s="400"/>
      <c r="I471" s="400"/>
      <c r="J471" s="400"/>
      <c r="K471" s="400"/>
      <c r="L471" s="400"/>
      <c r="M471" s="400"/>
      <c r="N471" s="400"/>
      <c r="O471" s="400"/>
      <c r="P471" s="401"/>
      <c r="Q471" s="401"/>
      <c r="R471" s="401"/>
      <c r="S471" s="401"/>
      <c r="T471" s="352"/>
      <c r="U471" s="396">
        <f>ROUNDUP(((67.6*2)+(31.3*2))*0.8,0)</f>
        <v>159</v>
      </c>
      <c r="V471" s="396"/>
      <c r="W471" s="396"/>
      <c r="X471" s="399"/>
      <c r="Y471" s="399"/>
      <c r="Z471" s="399">
        <f>U471*2</f>
        <v>318</v>
      </c>
      <c r="AA471" s="399"/>
      <c r="AB471" s="399"/>
      <c r="AC471" s="399"/>
      <c r="AD471" s="399"/>
      <c r="AE471" s="399"/>
      <c r="AF471" s="399"/>
      <c r="AG471" s="399"/>
      <c r="AH471" s="399"/>
      <c r="AI471" s="399"/>
      <c r="AJ471" s="399"/>
      <c r="AK471" s="399"/>
      <c r="AL471" s="399"/>
      <c r="AM471" s="399"/>
      <c r="AN471" s="399"/>
      <c r="AO471" s="399"/>
      <c r="AP471" s="403"/>
      <c r="AQ471" s="396">
        <f>ROUNDUP(((67.6*2)+(31.3*2)),0)</f>
        <v>198</v>
      </c>
      <c r="AR471" s="396"/>
      <c r="AS471" s="399"/>
      <c r="AT471" s="407"/>
      <c r="AU471" s="403"/>
      <c r="AV471" s="404"/>
      <c r="AW471" s="396"/>
      <c r="AX471" s="399">
        <f>Z471</f>
        <v>318</v>
      </c>
      <c r="AY471" s="404"/>
      <c r="AZ471" s="405"/>
      <c r="BA471" s="406"/>
      <c r="BB471" s="406"/>
      <c r="BC471" s="406"/>
      <c r="BD471" s="406"/>
      <c r="BE471" s="406"/>
      <c r="BF471" s="471"/>
      <c r="BG471" s="406"/>
      <c r="BH471" s="406"/>
      <c r="BI471" s="406"/>
      <c r="BJ471" s="406"/>
      <c r="BK471" s="406"/>
      <c r="BL471" s="406"/>
      <c r="BM471" s="406"/>
      <c r="BN471" s="406"/>
      <c r="BO471" s="406"/>
      <c r="BP471" s="471"/>
      <c r="BQ471" s="406"/>
      <c r="BR471" s="406"/>
      <c r="BS471" s="406"/>
      <c r="BT471" s="471"/>
      <c r="BU471" s="471"/>
      <c r="BV471" s="471"/>
      <c r="BW471" s="406"/>
      <c r="BX471" s="471"/>
      <c r="BY471" s="406"/>
      <c r="BZ471" s="406"/>
      <c r="CA471" s="406"/>
      <c r="CB471" s="406"/>
      <c r="CC471" s="473"/>
      <c r="CD471" s="407"/>
      <c r="CE471" s="473"/>
      <c r="CF471" s="407"/>
      <c r="CG471" s="473"/>
      <c r="CH471" s="407"/>
      <c r="CI471" s="407"/>
      <c r="CJ471" s="407"/>
      <c r="CK471" s="473"/>
      <c r="CL471" s="473"/>
      <c r="CM471" s="407"/>
      <c r="CN471" s="407"/>
      <c r="CO471" s="407"/>
      <c r="CP471" s="407"/>
      <c r="CQ471" s="407"/>
      <c r="CR471" s="473"/>
      <c r="CS471" s="473"/>
      <c r="CT471" s="407"/>
      <c r="CU471" s="407"/>
      <c r="CV471" s="407"/>
      <c r="CW471" s="407"/>
      <c r="CX471" s="407"/>
      <c r="CY471" s="407"/>
      <c r="CZ471" s="407"/>
      <c r="DA471" s="407"/>
      <c r="DB471" s="407"/>
      <c r="DC471" s="408"/>
    </row>
    <row r="472" spans="1:107">
      <c r="A472" s="394"/>
      <c r="B472" s="366" t="s">
        <v>484</v>
      </c>
      <c r="C472" s="392">
        <f>ROUNDUP(1995-208,0)</f>
        <v>1787</v>
      </c>
      <c r="D472" s="349"/>
      <c r="E472" s="349"/>
      <c r="F472" s="349"/>
      <c r="G472" s="349"/>
      <c r="H472" s="349"/>
      <c r="I472" s="349"/>
      <c r="J472" s="349"/>
      <c r="K472" s="349"/>
      <c r="L472" s="349"/>
      <c r="M472" s="349"/>
      <c r="N472" s="349"/>
      <c r="O472" s="349"/>
      <c r="P472" s="354"/>
      <c r="Q472" s="354"/>
      <c r="R472" s="354"/>
      <c r="S472" s="354"/>
      <c r="T472" s="352"/>
      <c r="U472" s="353"/>
      <c r="V472" s="353"/>
      <c r="W472" s="353"/>
      <c r="X472" s="349"/>
      <c r="Y472" s="349"/>
      <c r="Z472" s="349"/>
      <c r="AA472" s="349"/>
      <c r="AB472" s="349"/>
      <c r="AC472" s="349"/>
      <c r="AD472" s="349"/>
      <c r="AE472" s="349"/>
      <c r="AF472" s="349"/>
      <c r="AG472" s="349"/>
      <c r="AH472" s="349"/>
      <c r="AI472" s="349"/>
      <c r="AJ472" s="349"/>
      <c r="AK472" s="349"/>
      <c r="AL472" s="349"/>
      <c r="AM472" s="349"/>
      <c r="AN472" s="349"/>
      <c r="AO472" s="349"/>
      <c r="AP472" s="354"/>
      <c r="AQ472" s="352"/>
      <c r="AR472" s="355"/>
      <c r="AS472" s="356"/>
      <c r="AT472" s="356"/>
      <c r="AU472" s="387"/>
      <c r="AV472" s="357"/>
      <c r="AW472" s="353"/>
      <c r="AX472" s="349"/>
      <c r="AY472" s="352"/>
      <c r="AZ472" s="372"/>
      <c r="BA472" s="373"/>
      <c r="BB472" s="373"/>
      <c r="BC472" s="373"/>
      <c r="BD472" s="373"/>
      <c r="BE472" s="373"/>
      <c r="BF472" s="373"/>
      <c r="BG472" s="373"/>
      <c r="BH472" s="373"/>
      <c r="BI472" s="373"/>
      <c r="BJ472" s="373"/>
      <c r="BK472" s="373"/>
      <c r="BL472" s="373"/>
      <c r="BM472" s="373"/>
      <c r="BN472" s="373"/>
      <c r="BO472" s="373"/>
      <c r="BP472" s="373"/>
      <c r="BQ472" s="373"/>
      <c r="BR472" s="373"/>
      <c r="BS472" s="373"/>
      <c r="BT472" s="373"/>
      <c r="BU472" s="373"/>
      <c r="BV472" s="373"/>
      <c r="BW472" s="373"/>
      <c r="BX472" s="373"/>
      <c r="BY472" s="373"/>
      <c r="BZ472" s="373"/>
      <c r="CA472" s="373"/>
      <c r="CB472" s="373"/>
      <c r="CC472" s="374"/>
      <c r="CD472" s="374"/>
      <c r="CE472" s="374"/>
      <c r="CF472" s="374"/>
      <c r="CG472" s="374"/>
      <c r="CH472" s="374"/>
      <c r="CI472" s="374"/>
      <c r="CJ472" s="374"/>
      <c r="CK472" s="374"/>
      <c r="CL472" s="374"/>
      <c r="CM472" s="374"/>
      <c r="CN472" s="374"/>
      <c r="CO472" s="374"/>
      <c r="CP472" s="374"/>
      <c r="CQ472" s="374"/>
      <c r="CR472" s="374"/>
      <c r="CS472" s="374"/>
      <c r="CT472" s="374"/>
      <c r="CU472" s="374"/>
      <c r="CV472" s="374"/>
      <c r="CW472" s="374"/>
      <c r="CX472" s="374"/>
      <c r="CY472" s="374"/>
      <c r="CZ472" s="374"/>
      <c r="DA472" s="374"/>
      <c r="DB472" s="374"/>
      <c r="DC472" s="375"/>
    </row>
    <row r="473" spans="1:107">
      <c r="A473" s="394"/>
      <c r="B473" s="396" t="s">
        <v>48</v>
      </c>
      <c r="C473" s="349"/>
      <c r="D473" s="349"/>
      <c r="E473" s="349"/>
      <c r="F473" s="349"/>
      <c r="G473" s="349"/>
      <c r="H473" s="349"/>
      <c r="I473" s="349"/>
      <c r="J473" s="349"/>
      <c r="K473" s="349"/>
      <c r="L473" s="349"/>
      <c r="M473" s="349"/>
      <c r="N473" s="349"/>
      <c r="O473" s="349"/>
      <c r="P473" s="354"/>
      <c r="Q473" s="354"/>
      <c r="R473" s="354"/>
      <c r="S473" s="354"/>
      <c r="T473" s="352"/>
      <c r="U473" s="353"/>
      <c r="V473" s="353"/>
      <c r="W473" s="353"/>
      <c r="X473" s="349"/>
      <c r="Y473" s="349"/>
      <c r="Z473" s="349"/>
      <c r="AA473" s="349"/>
      <c r="AB473" s="349"/>
      <c r="AC473" s="349"/>
      <c r="AD473" s="349"/>
      <c r="AE473" s="349"/>
      <c r="AF473" s="349"/>
      <c r="AG473" s="349"/>
      <c r="AH473" s="349"/>
      <c r="AI473" s="349"/>
      <c r="AJ473" s="349"/>
      <c r="AK473" s="349"/>
      <c r="AL473" s="349"/>
      <c r="AM473" s="349"/>
      <c r="AN473" s="349"/>
      <c r="AO473" s="349"/>
      <c r="AP473" s="354"/>
      <c r="AQ473" s="352"/>
      <c r="AR473" s="355"/>
      <c r="AS473" s="356"/>
      <c r="AT473" s="356"/>
      <c r="AU473" s="387"/>
      <c r="AV473" s="357"/>
      <c r="AW473" s="353"/>
      <c r="AX473" s="349"/>
      <c r="AY473" s="352"/>
      <c r="AZ473" s="372"/>
      <c r="BA473" s="373"/>
      <c r="BB473" s="373"/>
      <c r="BC473" s="373"/>
      <c r="BD473" s="373"/>
      <c r="BE473" s="373"/>
      <c r="BF473" s="373"/>
      <c r="BG473" s="373"/>
      <c r="BH473" s="373"/>
      <c r="BI473" s="373"/>
      <c r="BJ473" s="373"/>
      <c r="BK473" s="373"/>
      <c r="BL473" s="373"/>
      <c r="BM473" s="373"/>
      <c r="BN473" s="373"/>
      <c r="BO473" s="373"/>
      <c r="BP473" s="373"/>
      <c r="BQ473" s="373"/>
      <c r="BR473" s="373"/>
      <c r="BS473" s="373"/>
      <c r="BT473" s="373"/>
      <c r="BU473" s="373"/>
      <c r="BV473" s="373"/>
      <c r="BW473" s="373"/>
      <c r="BX473" s="373"/>
      <c r="BY473" s="373"/>
      <c r="BZ473" s="373"/>
      <c r="CA473" s="373"/>
      <c r="CB473" s="373"/>
      <c r="CC473" s="374"/>
      <c r="CD473" s="374"/>
      <c r="CE473" s="374"/>
      <c r="CF473" s="374"/>
      <c r="CG473" s="374"/>
      <c r="CH473" s="374"/>
      <c r="CI473" s="374"/>
      <c r="CJ473" s="374"/>
      <c r="CK473" s="374"/>
      <c r="CL473" s="374"/>
      <c r="CM473" s="374"/>
      <c r="CN473" s="374"/>
      <c r="CO473" s="374"/>
      <c r="CP473" s="374"/>
      <c r="CQ473" s="374"/>
      <c r="CR473" s="374"/>
      <c r="CS473" s="374"/>
      <c r="CT473" s="392">
        <f>ROUNDUP((437+614),0)</f>
        <v>1051</v>
      </c>
      <c r="CU473" s="374"/>
      <c r="CV473" s="374"/>
      <c r="CW473" s="374"/>
      <c r="CX473" s="374"/>
      <c r="CY473" s="374"/>
      <c r="CZ473" s="374"/>
      <c r="DA473" s="374"/>
      <c r="DB473" s="374"/>
      <c r="DC473" s="375"/>
    </row>
    <row r="474" spans="1:107">
      <c r="A474" s="394"/>
      <c r="B474" s="396" t="s">
        <v>584</v>
      </c>
      <c r="C474" s="349"/>
      <c r="D474" s="349"/>
      <c r="E474" s="349"/>
      <c r="F474" s="349"/>
      <c r="G474" s="349"/>
      <c r="H474" s="349"/>
      <c r="I474" s="349"/>
      <c r="J474" s="349"/>
      <c r="K474" s="349"/>
      <c r="L474" s="349"/>
      <c r="M474" s="349"/>
      <c r="N474" s="349"/>
      <c r="O474" s="349"/>
      <c r="P474" s="354"/>
      <c r="Q474" s="354"/>
      <c r="R474" s="354"/>
      <c r="S474" s="354"/>
      <c r="T474" s="352"/>
      <c r="U474" s="353"/>
      <c r="V474" s="353"/>
      <c r="W474" s="353"/>
      <c r="X474" s="349"/>
      <c r="Y474" s="349"/>
      <c r="Z474" s="349"/>
      <c r="AA474" s="349"/>
      <c r="AB474" s="349"/>
      <c r="AC474" s="349"/>
      <c r="AD474" s="349"/>
      <c r="AE474" s="349"/>
      <c r="AF474" s="349"/>
      <c r="AG474" s="349"/>
      <c r="AH474" s="349"/>
      <c r="AI474" s="349"/>
      <c r="AJ474" s="349"/>
      <c r="AK474" s="349"/>
      <c r="AL474" s="349"/>
      <c r="AM474" s="349"/>
      <c r="AN474" s="349"/>
      <c r="AO474" s="349"/>
      <c r="AP474" s="354"/>
      <c r="AQ474" s="352"/>
      <c r="AR474" s="355"/>
      <c r="AS474" s="356"/>
      <c r="AT474" s="356"/>
      <c r="AU474" s="387"/>
      <c r="AV474" s="357"/>
      <c r="AW474" s="353"/>
      <c r="AX474" s="349"/>
      <c r="AY474" s="352"/>
      <c r="AZ474" s="372"/>
      <c r="BA474" s="373"/>
      <c r="BB474" s="373"/>
      <c r="BC474" s="373"/>
      <c r="BD474" s="373"/>
      <c r="BE474" s="373"/>
      <c r="BF474" s="373"/>
      <c r="BG474" s="373"/>
      <c r="BH474" s="373"/>
      <c r="BI474" s="373"/>
      <c r="BJ474" s="373"/>
      <c r="BK474" s="373"/>
      <c r="BL474" s="373"/>
      <c r="BM474" s="373"/>
      <c r="BN474" s="373"/>
      <c r="BO474" s="373"/>
      <c r="BP474" s="373"/>
      <c r="BQ474" s="373"/>
      <c r="BR474" s="373"/>
      <c r="BS474" s="373"/>
      <c r="BT474" s="373"/>
      <c r="BU474" s="373"/>
      <c r="BV474" s="373"/>
      <c r="BW474" s="373"/>
      <c r="BX474" s="373"/>
      <c r="BY474" s="373"/>
      <c r="BZ474" s="373"/>
      <c r="CA474" s="373"/>
      <c r="CB474" s="373"/>
      <c r="CC474" s="374"/>
      <c r="CD474" s="374"/>
      <c r="CE474" s="374"/>
      <c r="CF474" s="374"/>
      <c r="CG474" s="374"/>
      <c r="CH474" s="374"/>
      <c r="CI474" s="374"/>
      <c r="CJ474" s="374"/>
      <c r="CK474" s="374"/>
      <c r="CL474" s="374"/>
      <c r="CM474" s="374"/>
      <c r="CN474" s="374"/>
      <c r="CO474" s="374"/>
      <c r="CP474" s="374"/>
      <c r="CQ474" s="374"/>
      <c r="CR474" s="374"/>
      <c r="CS474" s="374"/>
      <c r="CT474" s="374"/>
      <c r="CU474" s="392"/>
      <c r="CV474" s="374"/>
      <c r="CW474" s="374"/>
      <c r="CX474" s="374"/>
      <c r="CY474" s="374"/>
      <c r="CZ474" s="374"/>
      <c r="DA474" s="374"/>
      <c r="DB474" s="374"/>
      <c r="DC474" s="375"/>
    </row>
    <row r="475" spans="1:107">
      <c r="A475" s="394"/>
      <c r="B475" s="396" t="s">
        <v>579</v>
      </c>
      <c r="C475" s="349"/>
      <c r="D475" s="349"/>
      <c r="E475" s="349"/>
      <c r="F475" s="349"/>
      <c r="G475" s="349"/>
      <c r="H475" s="349"/>
      <c r="I475" s="349"/>
      <c r="J475" s="349"/>
      <c r="K475" s="349"/>
      <c r="L475" s="349"/>
      <c r="M475" s="349"/>
      <c r="N475" s="349"/>
      <c r="O475" s="349"/>
      <c r="P475" s="354"/>
      <c r="Q475" s="354"/>
      <c r="R475" s="354"/>
      <c r="S475" s="354"/>
      <c r="T475" s="352"/>
      <c r="U475" s="353"/>
      <c r="V475" s="353"/>
      <c r="W475" s="353"/>
      <c r="X475" s="349"/>
      <c r="Y475" s="349"/>
      <c r="Z475" s="349"/>
      <c r="AA475" s="349"/>
      <c r="AB475" s="349"/>
      <c r="AC475" s="349"/>
      <c r="AD475" s="349"/>
      <c r="AE475" s="349"/>
      <c r="AF475" s="349"/>
      <c r="AG475" s="349"/>
      <c r="AH475" s="349"/>
      <c r="AI475" s="349"/>
      <c r="AJ475" s="349"/>
      <c r="AK475" s="349"/>
      <c r="AL475" s="349"/>
      <c r="AM475" s="349"/>
      <c r="AN475" s="349"/>
      <c r="AO475" s="349"/>
      <c r="AP475" s="354"/>
      <c r="AQ475" s="352"/>
      <c r="AR475" s="355"/>
      <c r="AS475" s="356"/>
      <c r="AT475" s="356"/>
      <c r="AU475" s="387"/>
      <c r="AV475" s="357"/>
      <c r="AW475" s="353"/>
      <c r="AX475" s="349"/>
      <c r="AY475" s="352"/>
      <c r="AZ475" s="372"/>
      <c r="BA475" s="373"/>
      <c r="BB475" s="373"/>
      <c r="BC475" s="373"/>
      <c r="BD475" s="373"/>
      <c r="BE475" s="373"/>
      <c r="BF475" s="373"/>
      <c r="BG475" s="373"/>
      <c r="BH475" s="373"/>
      <c r="BI475" s="373"/>
      <c r="BJ475" s="373"/>
      <c r="BK475" s="373"/>
      <c r="BL475" s="373"/>
      <c r="BM475" s="373"/>
      <c r="BN475" s="373"/>
      <c r="BO475" s="373"/>
      <c r="BP475" s="373"/>
      <c r="BQ475" s="373"/>
      <c r="BR475" s="373"/>
      <c r="BS475" s="373"/>
      <c r="BT475" s="373"/>
      <c r="BU475" s="373"/>
      <c r="BV475" s="373"/>
      <c r="BW475" s="373"/>
      <c r="BX475" s="373"/>
      <c r="BY475" s="373"/>
      <c r="BZ475" s="373"/>
      <c r="CA475" s="373"/>
      <c r="CB475" s="373"/>
      <c r="CC475" s="374"/>
      <c r="CD475" s="374"/>
      <c r="CE475" s="374"/>
      <c r="CF475" s="374"/>
      <c r="CG475" s="374"/>
      <c r="CH475" s="374"/>
      <c r="CI475" s="374"/>
      <c r="CJ475" s="374"/>
      <c r="CK475" s="374"/>
      <c r="CL475" s="374"/>
      <c r="CM475" s="374"/>
      <c r="CN475" s="374"/>
      <c r="CO475" s="374"/>
      <c r="CP475" s="374"/>
      <c r="CQ475" s="374"/>
      <c r="CR475" s="374"/>
      <c r="CS475" s="374"/>
      <c r="CT475" s="374"/>
      <c r="CU475" s="374"/>
      <c r="CV475" s="392"/>
      <c r="CW475" s="374"/>
      <c r="CX475" s="374"/>
      <c r="CY475" s="374"/>
      <c r="CZ475" s="374"/>
      <c r="DA475" s="374"/>
      <c r="DB475" s="374"/>
      <c r="DC475" s="375"/>
    </row>
    <row r="476" spans="1:107">
      <c r="A476" s="394"/>
      <c r="B476" s="395" t="s">
        <v>464</v>
      </c>
      <c r="C476" s="349"/>
      <c r="D476" s="349"/>
      <c r="E476" s="349"/>
      <c r="F476" s="349"/>
      <c r="G476" s="349"/>
      <c r="H476" s="349"/>
      <c r="I476" s="349"/>
      <c r="J476" s="349"/>
      <c r="K476" s="349"/>
      <c r="L476" s="349"/>
      <c r="M476" s="349"/>
      <c r="N476" s="349"/>
      <c r="O476" s="349"/>
      <c r="P476" s="354"/>
      <c r="Q476" s="354"/>
      <c r="R476" s="354"/>
      <c r="S476" s="354"/>
      <c r="T476" s="352"/>
      <c r="U476" s="353"/>
      <c r="V476" s="353"/>
      <c r="W476" s="353"/>
      <c r="X476" s="349"/>
      <c r="Y476" s="349"/>
      <c r="Z476" s="349"/>
      <c r="AA476" s="349"/>
      <c r="AB476" s="349"/>
      <c r="AC476" s="349"/>
      <c r="AD476" s="349"/>
      <c r="AE476" s="349"/>
      <c r="AF476" s="349"/>
      <c r="AG476" s="349"/>
      <c r="AH476" s="349"/>
      <c r="AI476" s="349"/>
      <c r="AJ476" s="349"/>
      <c r="AK476" s="349"/>
      <c r="AL476" s="349"/>
      <c r="AM476" s="349"/>
      <c r="AN476" s="349"/>
      <c r="AO476" s="349"/>
      <c r="AP476" s="354"/>
      <c r="AQ476" s="352"/>
      <c r="AR476" s="355"/>
      <c r="AS476" s="356"/>
      <c r="AT476" s="356"/>
      <c r="AU476" s="387"/>
      <c r="AV476" s="357"/>
      <c r="AW476" s="353"/>
      <c r="AX476" s="349"/>
      <c r="AY476" s="352"/>
      <c r="AZ476" s="372"/>
      <c r="BA476" s="373"/>
      <c r="BB476" s="373"/>
      <c r="BC476" s="373"/>
      <c r="BD476" s="373"/>
      <c r="BE476" s="373"/>
      <c r="BF476" s="373"/>
      <c r="BG476" s="373"/>
      <c r="BH476" s="373"/>
      <c r="BI476" s="373"/>
      <c r="BJ476" s="373"/>
      <c r="BK476" s="373"/>
      <c r="BL476" s="373"/>
      <c r="BM476" s="373"/>
      <c r="BN476" s="373"/>
      <c r="BO476" s="373"/>
      <c r="BP476" s="373"/>
      <c r="BQ476" s="373"/>
      <c r="BR476" s="373"/>
      <c r="BS476" s="373"/>
      <c r="BT476" s="373"/>
      <c r="BU476" s="373"/>
      <c r="BV476" s="373"/>
      <c r="BW476" s="373"/>
      <c r="BX476" s="373"/>
      <c r="BY476" s="373"/>
      <c r="BZ476" s="373"/>
      <c r="CA476" s="373"/>
      <c r="CB476" s="373"/>
      <c r="CC476" s="374"/>
      <c r="CD476" s="374"/>
      <c r="CE476" s="374"/>
      <c r="CF476" s="374"/>
      <c r="CG476" s="374"/>
      <c r="CH476" s="374"/>
      <c r="CI476" s="374"/>
      <c r="CJ476" s="374"/>
      <c r="CK476" s="374"/>
      <c r="CL476" s="374"/>
      <c r="CM476" s="374"/>
      <c r="CN476" s="374"/>
      <c r="CO476" s="374"/>
      <c r="CP476" s="374"/>
      <c r="CQ476" s="374"/>
      <c r="CR476" s="374"/>
      <c r="CS476" s="374"/>
      <c r="CT476" s="374"/>
      <c r="CU476" s="374"/>
      <c r="CV476" s="374"/>
      <c r="CW476" s="374"/>
      <c r="CX476" s="374"/>
      <c r="CY476" s="374"/>
      <c r="CZ476" s="374"/>
      <c r="DA476" s="374"/>
      <c r="DB476" s="392">
        <f>ROUNDUP(8*25.9,0)</f>
        <v>208</v>
      </c>
      <c r="DC476" s="375"/>
    </row>
    <row r="477" spans="1:107">
      <c r="A477" s="397"/>
      <c r="B477" s="396" t="s">
        <v>654</v>
      </c>
      <c r="C477" s="399"/>
      <c r="D477" s="400"/>
      <c r="E477" s="400"/>
      <c r="F477" s="400"/>
      <c r="G477" s="400"/>
      <c r="H477" s="400"/>
      <c r="I477" s="400"/>
      <c r="J477" s="400"/>
      <c r="K477" s="400"/>
      <c r="L477" s="400"/>
      <c r="M477" s="400"/>
      <c r="N477" s="400"/>
      <c r="O477" s="400"/>
      <c r="P477" s="401"/>
      <c r="Q477" s="401"/>
      <c r="R477" s="401"/>
      <c r="S477" s="401"/>
      <c r="T477" s="352"/>
      <c r="U477" s="396"/>
      <c r="V477" s="396"/>
      <c r="W477" s="396"/>
      <c r="X477" s="399"/>
      <c r="Y477" s="399"/>
      <c r="Z477" s="399"/>
      <c r="AA477" s="399"/>
      <c r="AB477" s="399"/>
      <c r="AC477" s="399"/>
      <c r="AD477" s="399"/>
      <c r="AE477" s="399"/>
      <c r="AF477" s="399"/>
      <c r="AG477" s="399"/>
      <c r="AH477" s="399"/>
      <c r="AI477" s="399"/>
      <c r="AJ477" s="399"/>
      <c r="AK477" s="399"/>
      <c r="AL477" s="399"/>
      <c r="AM477" s="399"/>
      <c r="AN477" s="399"/>
      <c r="AO477" s="399"/>
      <c r="AP477" s="403"/>
      <c r="AQ477" s="404"/>
      <c r="AR477" s="396"/>
      <c r="AS477" s="399"/>
      <c r="AT477" s="407"/>
      <c r="AU477" s="403"/>
      <c r="AV477" s="404"/>
      <c r="AW477" s="396"/>
      <c r="AX477" s="399"/>
      <c r="AY477" s="404"/>
      <c r="AZ477" s="405"/>
      <c r="BA477" s="406"/>
      <c r="BB477" s="406"/>
      <c r="BC477" s="406"/>
      <c r="BD477" s="406"/>
      <c r="BE477" s="406"/>
      <c r="BF477" s="471"/>
      <c r="BG477" s="406"/>
      <c r="BH477" s="406"/>
      <c r="BI477" s="406"/>
      <c r="BJ477" s="406"/>
      <c r="BK477" s="406"/>
      <c r="BL477" s="406"/>
      <c r="BM477" s="406"/>
      <c r="BN477" s="406"/>
      <c r="BO477" s="406"/>
      <c r="BP477" s="471"/>
      <c r="BQ477" s="406"/>
      <c r="BR477" s="406"/>
      <c r="BS477" s="406"/>
      <c r="BT477" s="471"/>
      <c r="BU477" s="471"/>
      <c r="BV477" s="471"/>
      <c r="BW477" s="406"/>
      <c r="BX477" s="471"/>
      <c r="BY477" s="406"/>
      <c r="BZ477" s="406"/>
      <c r="CA477" s="406"/>
      <c r="CB477" s="406"/>
      <c r="CC477" s="473"/>
      <c r="CD477" s="407"/>
      <c r="CE477" s="473"/>
      <c r="CF477" s="407"/>
      <c r="CG477" s="473"/>
      <c r="CH477" s="407"/>
      <c r="CI477" s="407"/>
      <c r="CJ477" s="407"/>
      <c r="CK477" s="473"/>
      <c r="CL477" s="473"/>
      <c r="CM477" s="407"/>
      <c r="CN477" s="407"/>
      <c r="CO477" s="407"/>
      <c r="CP477" s="407"/>
      <c r="CQ477" s="407"/>
      <c r="CR477" s="473"/>
      <c r="CS477" s="473"/>
      <c r="CT477" s="407"/>
      <c r="CU477" s="407"/>
      <c r="CV477" s="407"/>
      <c r="CW477" s="407"/>
      <c r="CX477" s="407"/>
      <c r="CY477" s="407"/>
      <c r="CZ477" s="407"/>
      <c r="DA477" s="407"/>
      <c r="DB477" s="407"/>
      <c r="DC477" s="393">
        <f>ROUNDUP(((0.5+1.53+9.3+1.53+0.5)*35.5)+((0.5+1.53+14.3+1.53+0.5)*35.5)+((0.8*12.3)*2)+((0.8*35.5)*2),0)</f>
        <v>1203</v>
      </c>
    </row>
    <row r="478" spans="1:107">
      <c r="A478" s="397"/>
      <c r="B478" s="396"/>
      <c r="C478" s="399"/>
      <c r="D478" s="400"/>
      <c r="E478" s="400"/>
      <c r="F478" s="400"/>
      <c r="G478" s="400"/>
      <c r="H478" s="400"/>
      <c r="I478" s="400"/>
      <c r="J478" s="400"/>
      <c r="K478" s="400"/>
      <c r="L478" s="400"/>
      <c r="M478" s="400"/>
      <c r="N478" s="400"/>
      <c r="O478" s="400"/>
      <c r="P478" s="401"/>
      <c r="Q478" s="401"/>
      <c r="R478" s="401"/>
      <c r="S478" s="401"/>
      <c r="T478" s="352">
        <f t="shared" ref="T478:T479" si="241">SUM(C478:O478)</f>
        <v>0</v>
      </c>
      <c r="U478" s="396"/>
      <c r="V478" s="396"/>
      <c r="W478" s="396"/>
      <c r="X478" s="399"/>
      <c r="Y478" s="399"/>
      <c r="Z478" s="399"/>
      <c r="AA478" s="399"/>
      <c r="AB478" s="399"/>
      <c r="AC478" s="399"/>
      <c r="AD478" s="399"/>
      <c r="AE478" s="399"/>
      <c r="AF478" s="399"/>
      <c r="AG478" s="399"/>
      <c r="AH478" s="399"/>
      <c r="AI478" s="399"/>
      <c r="AJ478" s="399"/>
      <c r="AK478" s="399"/>
      <c r="AL478" s="399"/>
      <c r="AM478" s="399"/>
      <c r="AN478" s="399"/>
      <c r="AO478" s="399"/>
      <c r="AP478" s="403"/>
      <c r="AQ478" s="404"/>
      <c r="AR478" s="396"/>
      <c r="AS478" s="399"/>
      <c r="AT478" s="399"/>
      <c r="AU478" s="403"/>
      <c r="AV478" s="404"/>
      <c r="AW478" s="396"/>
      <c r="AX478" s="399"/>
      <c r="AY478" s="404"/>
      <c r="AZ478" s="405"/>
      <c r="BA478" s="406"/>
      <c r="BB478" s="406"/>
      <c r="BC478" s="406"/>
      <c r="BD478" s="406"/>
      <c r="BE478" s="406"/>
      <c r="BF478" s="471"/>
      <c r="BG478" s="406"/>
      <c r="BH478" s="406"/>
      <c r="BI478" s="406"/>
      <c r="BJ478" s="406"/>
      <c r="BK478" s="406"/>
      <c r="BL478" s="406"/>
      <c r="BM478" s="406"/>
      <c r="BN478" s="406"/>
      <c r="BO478" s="406"/>
      <c r="BP478" s="471"/>
      <c r="BQ478" s="406"/>
      <c r="BR478" s="406"/>
      <c r="BS478" s="406"/>
      <c r="BT478" s="471"/>
      <c r="BU478" s="471"/>
      <c r="BV478" s="471"/>
      <c r="BW478" s="406"/>
      <c r="BX478" s="471"/>
      <c r="BY478" s="406"/>
      <c r="BZ478" s="406"/>
      <c r="CA478" s="406"/>
      <c r="CB478" s="406"/>
      <c r="CC478" s="473"/>
      <c r="CD478" s="407"/>
      <c r="CE478" s="473"/>
      <c r="CF478" s="407"/>
      <c r="CG478" s="473"/>
      <c r="CH478" s="407"/>
      <c r="CI478" s="407"/>
      <c r="CJ478" s="407"/>
      <c r="CK478" s="473"/>
      <c r="CL478" s="473"/>
      <c r="CM478" s="407"/>
      <c r="CN478" s="407"/>
      <c r="CO478" s="407"/>
      <c r="CP478" s="407"/>
      <c r="CQ478" s="407"/>
      <c r="CR478" s="473"/>
      <c r="CS478" s="473"/>
      <c r="CT478" s="407"/>
      <c r="CU478" s="407"/>
      <c r="CV478" s="407"/>
      <c r="CW478" s="407"/>
      <c r="CX478" s="407"/>
      <c r="CY478" s="407"/>
      <c r="CZ478" s="407"/>
      <c r="DA478" s="407"/>
      <c r="DB478" s="407"/>
      <c r="DC478" s="408"/>
    </row>
    <row r="479" spans="1:107">
      <c r="A479" s="397"/>
      <c r="B479" s="396"/>
      <c r="C479" s="399"/>
      <c r="D479" s="400"/>
      <c r="E479" s="400"/>
      <c r="F479" s="400"/>
      <c r="G479" s="400"/>
      <c r="H479" s="400"/>
      <c r="I479" s="400"/>
      <c r="J479" s="400"/>
      <c r="K479" s="400"/>
      <c r="L479" s="400"/>
      <c r="M479" s="400"/>
      <c r="N479" s="400"/>
      <c r="O479" s="400"/>
      <c r="P479" s="401"/>
      <c r="Q479" s="401"/>
      <c r="R479" s="401"/>
      <c r="S479" s="401"/>
      <c r="T479" s="352">
        <f t="shared" si="241"/>
        <v>0</v>
      </c>
      <c r="U479" s="396"/>
      <c r="V479" s="396"/>
      <c r="W479" s="396"/>
      <c r="X479" s="399"/>
      <c r="Y479" s="399"/>
      <c r="Z479" s="399"/>
      <c r="AA479" s="399"/>
      <c r="AB479" s="399"/>
      <c r="AC479" s="399"/>
      <c r="AD479" s="399"/>
      <c r="AE479" s="399"/>
      <c r="AF479" s="399"/>
      <c r="AG479" s="399"/>
      <c r="AH479" s="399"/>
      <c r="AI479" s="399"/>
      <c r="AJ479" s="399"/>
      <c r="AK479" s="399"/>
      <c r="AL479" s="399"/>
      <c r="AM479" s="399"/>
      <c r="AN479" s="399"/>
      <c r="AO479" s="399"/>
      <c r="AP479" s="403"/>
      <c r="AQ479" s="404"/>
      <c r="AR479" s="396"/>
      <c r="AS479" s="399"/>
      <c r="AT479" s="399"/>
      <c r="AU479" s="403"/>
      <c r="AV479" s="404"/>
      <c r="AW479" s="396"/>
      <c r="AX479" s="399"/>
      <c r="AY479" s="404"/>
      <c r="AZ479" s="405"/>
      <c r="BA479" s="406"/>
      <c r="BB479" s="406"/>
      <c r="BC479" s="406"/>
      <c r="BD479" s="406"/>
      <c r="BE479" s="406"/>
      <c r="BF479" s="471"/>
      <c r="BG479" s="406"/>
      <c r="BH479" s="406"/>
      <c r="BI479" s="406"/>
      <c r="BJ479" s="406"/>
      <c r="BK479" s="406"/>
      <c r="BL479" s="406"/>
      <c r="BM479" s="406"/>
      <c r="BN479" s="406"/>
      <c r="BO479" s="406"/>
      <c r="BP479" s="471"/>
      <c r="BQ479" s="406"/>
      <c r="BR479" s="406"/>
      <c r="BS479" s="406"/>
      <c r="BT479" s="471"/>
      <c r="BU479" s="471"/>
      <c r="BV479" s="471"/>
      <c r="BW479" s="406"/>
      <c r="BX479" s="471"/>
      <c r="BY479" s="406"/>
      <c r="BZ479" s="406"/>
      <c r="CA479" s="406"/>
      <c r="CB479" s="406"/>
      <c r="CC479" s="473"/>
      <c r="CD479" s="407"/>
      <c r="CE479" s="473"/>
      <c r="CF479" s="407"/>
      <c r="CG479" s="473"/>
      <c r="CH479" s="407"/>
      <c r="CI479" s="407"/>
      <c r="CJ479" s="407"/>
      <c r="CK479" s="473"/>
      <c r="CL479" s="473"/>
      <c r="CM479" s="407"/>
      <c r="CN479" s="407"/>
      <c r="CO479" s="407"/>
      <c r="CP479" s="407"/>
      <c r="CQ479" s="407"/>
      <c r="CR479" s="473"/>
      <c r="CS479" s="473"/>
      <c r="CT479" s="407"/>
      <c r="CU479" s="407"/>
      <c r="CV479" s="407"/>
      <c r="CW479" s="407"/>
      <c r="CX479" s="407"/>
      <c r="CY479" s="407"/>
      <c r="CZ479" s="407"/>
      <c r="DA479" s="407"/>
      <c r="DB479" s="407"/>
      <c r="DC479" s="408"/>
    </row>
    <row r="480" spans="1:107">
      <c r="A480" s="397"/>
      <c r="B480" s="396"/>
      <c r="C480" s="399"/>
      <c r="D480" s="400"/>
      <c r="E480" s="400"/>
      <c r="F480" s="400"/>
      <c r="G480" s="400"/>
      <c r="H480" s="400"/>
      <c r="I480" s="400"/>
      <c r="J480" s="400"/>
      <c r="K480" s="400"/>
      <c r="L480" s="400"/>
      <c r="M480" s="400"/>
      <c r="N480" s="400"/>
      <c r="O480" s="400"/>
      <c r="P480" s="401"/>
      <c r="Q480" s="401"/>
      <c r="R480" s="401"/>
      <c r="S480" s="401"/>
      <c r="T480" s="402"/>
      <c r="U480" s="396"/>
      <c r="V480" s="396"/>
      <c r="W480" s="396"/>
      <c r="X480" s="399"/>
      <c r="Y480" s="399"/>
      <c r="Z480" s="399"/>
      <c r="AA480" s="399"/>
      <c r="AB480" s="399"/>
      <c r="AC480" s="399"/>
      <c r="AD480" s="399"/>
      <c r="AE480" s="399"/>
      <c r="AF480" s="399"/>
      <c r="AG480" s="399"/>
      <c r="AH480" s="399"/>
      <c r="AI480" s="399"/>
      <c r="AJ480" s="399"/>
      <c r="AK480" s="399"/>
      <c r="AL480" s="399"/>
      <c r="AM480" s="399"/>
      <c r="AN480" s="399"/>
      <c r="AO480" s="399"/>
      <c r="AP480" s="403"/>
      <c r="AQ480" s="404"/>
      <c r="AR480" s="396"/>
      <c r="AS480" s="399"/>
      <c r="AT480" s="399"/>
      <c r="AU480" s="403"/>
      <c r="AV480" s="404"/>
      <c r="AW480" s="396"/>
      <c r="AX480" s="399"/>
      <c r="AY480" s="404"/>
      <c r="AZ480" s="405"/>
      <c r="BA480" s="406"/>
      <c r="BB480" s="406"/>
      <c r="BC480" s="406"/>
      <c r="BD480" s="406"/>
      <c r="BE480" s="406"/>
      <c r="BF480" s="471"/>
      <c r="BG480" s="406"/>
      <c r="BH480" s="406"/>
      <c r="BI480" s="406"/>
      <c r="BJ480" s="406"/>
      <c r="BK480" s="406"/>
      <c r="BL480" s="406"/>
      <c r="BM480" s="406"/>
      <c r="BN480" s="406"/>
      <c r="BO480" s="406"/>
      <c r="BP480" s="471"/>
      <c r="BQ480" s="406"/>
      <c r="BR480" s="406"/>
      <c r="BS480" s="406"/>
      <c r="BT480" s="471"/>
      <c r="BU480" s="471"/>
      <c r="BV480" s="471"/>
      <c r="BW480" s="406"/>
      <c r="BX480" s="471"/>
      <c r="BY480" s="406"/>
      <c r="BZ480" s="406"/>
      <c r="CA480" s="406"/>
      <c r="CB480" s="406"/>
      <c r="CC480" s="473"/>
      <c r="CD480" s="407"/>
      <c r="CE480" s="473"/>
      <c r="CF480" s="407"/>
      <c r="CG480" s="473"/>
      <c r="CH480" s="407"/>
      <c r="CI480" s="407"/>
      <c r="CJ480" s="407"/>
      <c r="CK480" s="473"/>
      <c r="CL480" s="473"/>
      <c r="CM480" s="407"/>
      <c r="CN480" s="407"/>
      <c r="CO480" s="407"/>
      <c r="CP480" s="407"/>
      <c r="CQ480" s="407"/>
      <c r="CR480" s="473"/>
      <c r="CS480" s="473"/>
      <c r="CT480" s="407"/>
      <c r="CU480" s="407"/>
      <c r="CV480" s="407"/>
      <c r="CW480" s="407"/>
      <c r="CX480" s="407"/>
      <c r="CY480" s="407"/>
      <c r="CZ480" s="407"/>
      <c r="DA480" s="407"/>
      <c r="DB480" s="407"/>
      <c r="DC480" s="408"/>
    </row>
    <row r="481" spans="1:107">
      <c r="A481" s="397"/>
      <c r="B481" s="396"/>
      <c r="C481" s="399"/>
      <c r="D481" s="400"/>
      <c r="E481" s="400"/>
      <c r="F481" s="400"/>
      <c r="G481" s="400"/>
      <c r="H481" s="400"/>
      <c r="I481" s="400"/>
      <c r="J481" s="400"/>
      <c r="K481" s="400"/>
      <c r="L481" s="400"/>
      <c r="M481" s="400"/>
      <c r="N481" s="400"/>
      <c r="O481" s="400"/>
      <c r="P481" s="401"/>
      <c r="Q481" s="401"/>
      <c r="R481" s="401"/>
      <c r="S481" s="401"/>
      <c r="T481" s="402"/>
      <c r="U481" s="396"/>
      <c r="V481" s="396"/>
      <c r="W481" s="396"/>
      <c r="X481" s="399"/>
      <c r="Y481" s="399"/>
      <c r="Z481" s="399"/>
      <c r="AA481" s="399"/>
      <c r="AB481" s="399"/>
      <c r="AC481" s="399"/>
      <c r="AD481" s="399"/>
      <c r="AE481" s="399"/>
      <c r="AF481" s="399"/>
      <c r="AG481" s="399"/>
      <c r="AH481" s="399"/>
      <c r="AI481" s="399"/>
      <c r="AJ481" s="399"/>
      <c r="AK481" s="399"/>
      <c r="AL481" s="399"/>
      <c r="AM481" s="399"/>
      <c r="AN481" s="399"/>
      <c r="AO481" s="399"/>
      <c r="AP481" s="403"/>
      <c r="AQ481" s="404"/>
      <c r="AR481" s="396"/>
      <c r="AS481" s="399"/>
      <c r="AT481" s="399"/>
      <c r="AU481" s="403"/>
      <c r="AV481" s="404"/>
      <c r="AW481" s="396"/>
      <c r="AX481" s="399"/>
      <c r="AY481" s="404"/>
      <c r="AZ481" s="405"/>
      <c r="BA481" s="406"/>
      <c r="BB481" s="406"/>
      <c r="BC481" s="406"/>
      <c r="BD481" s="406"/>
      <c r="BE481" s="406"/>
      <c r="BF481" s="471"/>
      <c r="BG481" s="406"/>
      <c r="BH481" s="406"/>
      <c r="BI481" s="406"/>
      <c r="BJ481" s="406"/>
      <c r="BK481" s="406"/>
      <c r="BL481" s="406"/>
      <c r="BM481" s="406"/>
      <c r="BN481" s="406"/>
      <c r="BO481" s="406"/>
      <c r="BP481" s="471"/>
      <c r="BQ481" s="406"/>
      <c r="BR481" s="406"/>
      <c r="BS481" s="406"/>
      <c r="BT481" s="471"/>
      <c r="BU481" s="471"/>
      <c r="BV481" s="471"/>
      <c r="BW481" s="406"/>
      <c r="BX481" s="471"/>
      <c r="BY481" s="406"/>
      <c r="BZ481" s="406"/>
      <c r="CA481" s="406"/>
      <c r="CB481" s="406"/>
      <c r="CC481" s="473"/>
      <c r="CD481" s="407"/>
      <c r="CE481" s="473"/>
      <c r="CF481" s="407"/>
      <c r="CG481" s="473"/>
      <c r="CH481" s="407"/>
      <c r="CI481" s="407"/>
      <c r="CJ481" s="407"/>
      <c r="CK481" s="473"/>
      <c r="CL481" s="473"/>
      <c r="CM481" s="407"/>
      <c r="CN481" s="407"/>
      <c r="CO481" s="407"/>
      <c r="CP481" s="407"/>
      <c r="CQ481" s="407"/>
      <c r="CR481" s="473"/>
      <c r="CS481" s="473"/>
      <c r="CT481" s="407"/>
      <c r="CU481" s="407"/>
      <c r="CV481" s="407"/>
      <c r="CW481" s="407"/>
      <c r="CX481" s="407"/>
      <c r="CY481" s="407"/>
      <c r="CZ481" s="407"/>
      <c r="DA481" s="407"/>
      <c r="DB481" s="407"/>
      <c r="DC481" s="408"/>
    </row>
    <row r="482" spans="1:107" ht="18.75">
      <c r="A482" s="397"/>
      <c r="B482" s="377" t="s">
        <v>171</v>
      </c>
      <c r="C482" s="378">
        <f t="shared" ref="C482" si="242">SUM(C470:C481)</f>
        <v>1787</v>
      </c>
      <c r="D482" s="378">
        <f t="shared" ref="D482" si="243">SUM(D470:D481)</f>
        <v>0</v>
      </c>
      <c r="E482" s="378">
        <f t="shared" ref="E482" si="244">SUM(E470:E481)</f>
        <v>0</v>
      </c>
      <c r="F482" s="378">
        <f>SUM(F470:F481)</f>
        <v>0</v>
      </c>
      <c r="G482" s="378">
        <f t="shared" ref="G482" si="245">SUM(G470:G481)</f>
        <v>0</v>
      </c>
      <c r="H482" s="378">
        <f t="shared" ref="H482" si="246">SUM(H470:H481)</f>
        <v>0</v>
      </c>
      <c r="I482" s="378">
        <f t="shared" ref="I482" si="247">SUM(I470:I481)</f>
        <v>0</v>
      </c>
      <c r="J482" s="378">
        <f t="shared" ref="J482" si="248">SUM(J470:J481)</f>
        <v>0</v>
      </c>
      <c r="K482" s="378">
        <f t="shared" ref="K482" si="249">SUM(K470:K481)</f>
        <v>0</v>
      </c>
      <c r="L482" s="378">
        <f t="shared" ref="L482" si="250">SUM(L470:L481)</f>
        <v>0</v>
      </c>
      <c r="M482" s="378">
        <f t="shared" ref="M482" si="251">SUM(M470:M481)</f>
        <v>0</v>
      </c>
      <c r="N482" s="378">
        <f t="shared" ref="N482" si="252">SUM(N470:N481)</f>
        <v>0</v>
      </c>
      <c r="O482" s="378">
        <f t="shared" ref="O482" si="253">SUM(O470:O481)</f>
        <v>0</v>
      </c>
      <c r="P482" s="378">
        <f t="shared" ref="P482" si="254">SUM(P470:P481)</f>
        <v>0</v>
      </c>
      <c r="Q482" s="378">
        <f t="shared" ref="Q482" si="255">SUM(Q470:Q481)</f>
        <v>0</v>
      </c>
      <c r="R482" s="378">
        <f t="shared" ref="R482" si="256">SUM(R470:R481)</f>
        <v>0</v>
      </c>
      <c r="S482" s="378">
        <f t="shared" ref="S482" si="257">SUM(S470:S481)</f>
        <v>0</v>
      </c>
      <c r="T482" s="378">
        <f t="shared" ref="T482" si="258">SUM(T470:T481)</f>
        <v>0</v>
      </c>
      <c r="U482" s="378">
        <f t="shared" ref="U482" si="259">SUM(U470:U481)</f>
        <v>159</v>
      </c>
      <c r="V482" s="378">
        <f t="shared" ref="V482" si="260">SUM(V470:V481)</f>
        <v>0</v>
      </c>
      <c r="W482" s="378">
        <f t="shared" ref="W482" si="261">SUM(W470:W481)</f>
        <v>0</v>
      </c>
      <c r="X482" s="378">
        <f t="shared" ref="X482" si="262">SUM(X470:X481)</f>
        <v>0</v>
      </c>
      <c r="Y482" s="378">
        <f t="shared" ref="Y482" si="263">SUM(Y470:Y481)</f>
        <v>0</v>
      </c>
      <c r="Z482" s="378">
        <f t="shared" ref="Z482" si="264">SUM(Z470:Z481)</f>
        <v>318</v>
      </c>
      <c r="AA482" s="378">
        <f t="shared" ref="AA482" si="265">SUM(AA470:AA481)</f>
        <v>0</v>
      </c>
      <c r="AB482" s="378">
        <f t="shared" ref="AB482" si="266">SUM(AB470:AB481)</f>
        <v>0</v>
      </c>
      <c r="AC482" s="378">
        <f t="shared" ref="AC482" si="267">SUM(AC470:AC481)</f>
        <v>0</v>
      </c>
      <c r="AD482" s="378">
        <f t="shared" ref="AD482" si="268">SUM(AD470:AD481)</f>
        <v>0</v>
      </c>
      <c r="AE482" s="378">
        <f t="shared" ref="AE482" si="269">SUM(AE470:AE481)</f>
        <v>0</v>
      </c>
      <c r="AF482" s="378">
        <f t="shared" ref="AF482" si="270">SUM(AF470:AF481)</f>
        <v>0</v>
      </c>
      <c r="AG482" s="378">
        <f t="shared" ref="AG482" si="271">SUM(AG470:AG481)</f>
        <v>0</v>
      </c>
      <c r="AH482" s="378">
        <f t="shared" ref="AH482" si="272">SUM(AH470:AH481)</f>
        <v>0</v>
      </c>
      <c r="AI482" s="378">
        <f t="shared" ref="AI482" si="273">SUM(AI470:AI481)</f>
        <v>0</v>
      </c>
      <c r="AJ482" s="378">
        <f t="shared" ref="AJ482" si="274">SUM(AJ470:AJ481)</f>
        <v>0</v>
      </c>
      <c r="AK482" s="378">
        <f t="shared" ref="AK482" si="275">SUM(AK470:AK481)</f>
        <v>0</v>
      </c>
      <c r="AL482" s="378">
        <f t="shared" ref="AL482" si="276">SUM(AL470:AL481)</f>
        <v>0</v>
      </c>
      <c r="AM482" s="378">
        <f t="shared" ref="AM482" si="277">SUM(AM470:AM481)</f>
        <v>0</v>
      </c>
      <c r="AN482" s="378">
        <f t="shared" ref="AN482" si="278">SUM(AN470:AN481)</f>
        <v>0</v>
      </c>
      <c r="AO482" s="378">
        <f t="shared" ref="AO482" si="279">SUM(AO470:AO481)</f>
        <v>0</v>
      </c>
      <c r="AP482" s="378">
        <f t="shared" ref="AP482" si="280">SUM(AP470:AP481)</f>
        <v>0</v>
      </c>
      <c r="AQ482" s="378">
        <f t="shared" ref="AQ482" si="281">SUM(AQ470:AQ481)</f>
        <v>198</v>
      </c>
      <c r="AR482" s="378">
        <f t="shared" ref="AR482" si="282">SUM(AR470:AR481)</f>
        <v>0</v>
      </c>
      <c r="AS482" s="378">
        <f t="shared" ref="AS482" si="283">SUM(AS470:AS481)</f>
        <v>0</v>
      </c>
      <c r="AT482" s="378">
        <f t="shared" ref="AT482" si="284">SUM(AT470:AT481)</f>
        <v>0</v>
      </c>
      <c r="AU482" s="378">
        <f t="shared" ref="AU482" si="285">SUM(AU470:AU481)</f>
        <v>0</v>
      </c>
      <c r="AV482" s="378">
        <f t="shared" ref="AV482" si="286">SUM(AV470:AV481)</f>
        <v>0</v>
      </c>
      <c r="AW482" s="378">
        <f t="shared" ref="AW482" si="287">SUM(AW470:AW481)</f>
        <v>0</v>
      </c>
      <c r="AX482" s="378">
        <f t="shared" ref="AX482" si="288">SUM(AX470:AX481)</f>
        <v>318</v>
      </c>
      <c r="AY482" s="378">
        <f t="shared" ref="AY482" si="289">SUM(AY470:AY481)</f>
        <v>0</v>
      </c>
      <c r="AZ482" s="378">
        <f t="shared" ref="AZ482" si="290">SUM(AZ470:AZ481)</f>
        <v>0</v>
      </c>
      <c r="BA482" s="378">
        <f t="shared" ref="BA482" si="291">SUM(BA470:BA481)</f>
        <v>0</v>
      </c>
      <c r="BB482" s="378">
        <f t="shared" ref="BB482" si="292">SUM(BB470:BB481)</f>
        <v>0</v>
      </c>
      <c r="BC482" s="378">
        <f t="shared" ref="BC482" si="293">SUM(BC470:BC481)</f>
        <v>0</v>
      </c>
      <c r="BD482" s="378">
        <f t="shared" ref="BD482" si="294">SUM(BD470:BD481)</f>
        <v>0</v>
      </c>
      <c r="BE482" s="378">
        <f t="shared" ref="BE482:BZ482" si="295">SUM(BE470:BE481)</f>
        <v>0</v>
      </c>
      <c r="BF482" s="378">
        <f t="shared" si="295"/>
        <v>0</v>
      </c>
      <c r="BG482" s="378">
        <f t="shared" si="295"/>
        <v>0</v>
      </c>
      <c r="BH482" s="378">
        <f t="shared" si="295"/>
        <v>0</v>
      </c>
      <c r="BI482" s="378">
        <f t="shared" si="295"/>
        <v>0</v>
      </c>
      <c r="BJ482" s="378">
        <f t="shared" si="295"/>
        <v>0</v>
      </c>
      <c r="BK482" s="378">
        <f t="shared" si="295"/>
        <v>0</v>
      </c>
      <c r="BL482" s="378">
        <f t="shared" si="295"/>
        <v>0</v>
      </c>
      <c r="BM482" s="378">
        <f t="shared" si="295"/>
        <v>0</v>
      </c>
      <c r="BN482" s="378">
        <f t="shared" si="295"/>
        <v>0</v>
      </c>
      <c r="BO482" s="378">
        <f t="shared" si="295"/>
        <v>0</v>
      </c>
      <c r="BP482" s="378">
        <f t="shared" si="295"/>
        <v>0</v>
      </c>
      <c r="BQ482" s="378">
        <f t="shared" si="295"/>
        <v>0</v>
      </c>
      <c r="BR482" s="378">
        <f t="shared" si="295"/>
        <v>0</v>
      </c>
      <c r="BS482" s="378">
        <f t="shared" si="295"/>
        <v>0</v>
      </c>
      <c r="BT482" s="378">
        <f t="shared" si="295"/>
        <v>0</v>
      </c>
      <c r="BU482" s="378">
        <f t="shared" si="295"/>
        <v>0</v>
      </c>
      <c r="BV482" s="378">
        <f t="shared" si="295"/>
        <v>0</v>
      </c>
      <c r="BW482" s="378">
        <f t="shared" si="295"/>
        <v>0</v>
      </c>
      <c r="BX482" s="378"/>
      <c r="BY482" s="378">
        <f t="shared" si="295"/>
        <v>0</v>
      </c>
      <c r="BZ482" s="378">
        <f t="shared" si="295"/>
        <v>0</v>
      </c>
      <c r="CA482" s="378">
        <f t="shared" ref="CA482:DC482" si="296">SUM(CA470:CA481)</f>
        <v>0</v>
      </c>
      <c r="CB482" s="378">
        <f t="shared" si="296"/>
        <v>0</v>
      </c>
      <c r="CC482" s="378"/>
      <c r="CD482" s="378">
        <f t="shared" si="296"/>
        <v>0</v>
      </c>
      <c r="CE482" s="378"/>
      <c r="CF482" s="378">
        <f t="shared" si="296"/>
        <v>0</v>
      </c>
      <c r="CG482" s="378"/>
      <c r="CH482" s="378">
        <f t="shared" si="296"/>
        <v>0</v>
      </c>
      <c r="CI482" s="378">
        <f t="shared" si="296"/>
        <v>0</v>
      </c>
      <c r="CJ482" s="378">
        <f t="shared" si="296"/>
        <v>0</v>
      </c>
      <c r="CK482" s="378"/>
      <c r="CL482" s="378"/>
      <c r="CM482" s="378">
        <f t="shared" si="296"/>
        <v>0</v>
      </c>
      <c r="CN482" s="378">
        <f t="shared" si="296"/>
        <v>0</v>
      </c>
      <c r="CO482" s="378">
        <f t="shared" si="296"/>
        <v>0</v>
      </c>
      <c r="CP482" s="378">
        <f t="shared" si="296"/>
        <v>0</v>
      </c>
      <c r="CQ482" s="378">
        <f t="shared" si="296"/>
        <v>0</v>
      </c>
      <c r="CR482" s="378"/>
      <c r="CS482" s="378"/>
      <c r="CT482" s="378">
        <f t="shared" si="296"/>
        <v>1051</v>
      </c>
      <c r="CU482" s="378">
        <f t="shared" si="296"/>
        <v>0</v>
      </c>
      <c r="CV482" s="378">
        <f t="shared" si="296"/>
        <v>0</v>
      </c>
      <c r="CW482" s="378">
        <f t="shared" si="296"/>
        <v>0</v>
      </c>
      <c r="CX482" s="378">
        <f t="shared" si="296"/>
        <v>0</v>
      </c>
      <c r="CY482" s="378">
        <f t="shared" si="296"/>
        <v>0</v>
      </c>
      <c r="CZ482" s="378">
        <f t="shared" si="296"/>
        <v>0</v>
      </c>
      <c r="DA482" s="378">
        <f t="shared" si="296"/>
        <v>0</v>
      </c>
      <c r="DB482" s="378">
        <f t="shared" si="296"/>
        <v>208</v>
      </c>
      <c r="DC482" s="378">
        <f t="shared" si="296"/>
        <v>1203</v>
      </c>
    </row>
    <row r="483" spans="1:107">
      <c r="A483" s="397"/>
      <c r="B483" s="396"/>
      <c r="C483" s="399"/>
      <c r="D483" s="400"/>
      <c r="E483" s="400"/>
      <c r="F483" s="400"/>
      <c r="G483" s="400"/>
      <c r="H483" s="400"/>
      <c r="I483" s="400"/>
      <c r="J483" s="400"/>
      <c r="K483" s="400"/>
      <c r="L483" s="400"/>
      <c r="M483" s="400"/>
      <c r="N483" s="400"/>
      <c r="O483" s="400"/>
      <c r="P483" s="401"/>
      <c r="Q483" s="401"/>
      <c r="R483" s="401"/>
      <c r="S483" s="401"/>
      <c r="T483" s="402"/>
      <c r="U483" s="396"/>
      <c r="V483" s="396"/>
      <c r="W483" s="396"/>
      <c r="X483" s="399"/>
      <c r="Y483" s="399"/>
      <c r="Z483" s="399"/>
      <c r="AA483" s="399"/>
      <c r="AB483" s="399"/>
      <c r="AC483" s="399"/>
      <c r="AD483" s="399"/>
      <c r="AE483" s="399"/>
      <c r="AF483" s="399"/>
      <c r="AG483" s="399"/>
      <c r="AH483" s="399"/>
      <c r="AI483" s="399"/>
      <c r="AJ483" s="399"/>
      <c r="AK483" s="399"/>
      <c r="AL483" s="399"/>
      <c r="AM483" s="399"/>
      <c r="AN483" s="399"/>
      <c r="AO483" s="399"/>
      <c r="AP483" s="403"/>
      <c r="AQ483" s="404"/>
      <c r="AR483" s="396"/>
      <c r="AS483" s="399"/>
      <c r="AT483" s="399"/>
      <c r="AU483" s="403"/>
      <c r="AV483" s="404"/>
      <c r="AW483" s="396"/>
      <c r="AX483" s="399"/>
      <c r="AY483" s="404"/>
      <c r="AZ483" s="405"/>
      <c r="BA483" s="406"/>
      <c r="BB483" s="406"/>
      <c r="BC483" s="406"/>
      <c r="BD483" s="406"/>
      <c r="BE483" s="406"/>
      <c r="BF483" s="471"/>
      <c r="BG483" s="406"/>
      <c r="BH483" s="406"/>
      <c r="BI483" s="406"/>
      <c r="BJ483" s="406"/>
      <c r="BK483" s="406"/>
      <c r="BL483" s="406"/>
      <c r="BM483" s="406"/>
      <c r="BN483" s="406"/>
      <c r="BO483" s="406"/>
      <c r="BP483" s="471"/>
      <c r="BQ483" s="406"/>
      <c r="BR483" s="406"/>
      <c r="BS483" s="406"/>
      <c r="BT483" s="471"/>
      <c r="BU483" s="471"/>
      <c r="BV483" s="471"/>
      <c r="BW483" s="406"/>
      <c r="BX483" s="471"/>
      <c r="BY483" s="406"/>
      <c r="BZ483" s="406"/>
      <c r="CA483" s="406"/>
      <c r="CB483" s="406"/>
      <c r="CC483" s="473"/>
      <c r="CD483" s="407"/>
      <c r="CE483" s="473"/>
      <c r="CF483" s="407"/>
      <c r="CG483" s="473"/>
      <c r="CH483" s="407"/>
      <c r="CI483" s="407"/>
      <c r="CJ483" s="407"/>
      <c r="CK483" s="473"/>
      <c r="CL483" s="473"/>
      <c r="CM483" s="407"/>
      <c r="CN483" s="407"/>
      <c r="CO483" s="407"/>
      <c r="CP483" s="407"/>
      <c r="CQ483" s="407"/>
      <c r="CR483" s="473"/>
      <c r="CS483" s="473"/>
      <c r="CT483" s="407"/>
      <c r="CU483" s="407"/>
      <c r="CV483" s="407"/>
      <c r="CW483" s="407"/>
      <c r="CX483" s="407"/>
      <c r="CY483" s="407"/>
      <c r="CZ483" s="407"/>
      <c r="DA483" s="407"/>
      <c r="DB483" s="407"/>
      <c r="DC483" s="408"/>
    </row>
    <row r="484" spans="1:107">
      <c r="A484" s="308"/>
      <c r="B484" s="410"/>
      <c r="C484" s="411"/>
      <c r="D484" s="412"/>
      <c r="E484" s="412"/>
      <c r="F484" s="412"/>
      <c r="G484" s="412"/>
      <c r="H484" s="412"/>
      <c r="I484" s="412"/>
      <c r="J484" s="412"/>
      <c r="K484" s="412"/>
      <c r="L484" s="412"/>
      <c r="M484" s="412"/>
      <c r="N484" s="412"/>
      <c r="O484" s="412"/>
      <c r="P484" s="413"/>
      <c r="Q484" s="413"/>
      <c r="R484" s="413"/>
      <c r="S484" s="413"/>
      <c r="T484" s="414"/>
      <c r="U484" s="410"/>
      <c r="V484" s="410"/>
      <c r="W484" s="410"/>
      <c r="X484" s="411"/>
      <c r="Y484" s="411"/>
      <c r="Z484" s="411"/>
      <c r="AA484" s="411"/>
      <c r="AB484" s="411"/>
      <c r="AC484" s="411"/>
      <c r="AD484" s="411"/>
      <c r="AE484" s="411"/>
      <c r="AF484" s="411"/>
      <c r="AG484" s="411"/>
      <c r="AH484" s="411"/>
      <c r="AI484" s="411"/>
      <c r="AJ484" s="411"/>
      <c r="AK484" s="411"/>
      <c r="AL484" s="411"/>
      <c r="AM484" s="411"/>
      <c r="AN484" s="411"/>
      <c r="AO484" s="411"/>
      <c r="AP484" s="415"/>
      <c r="AQ484" s="416"/>
      <c r="AR484" s="410"/>
      <c r="AS484" s="411"/>
      <c r="AT484" s="411"/>
      <c r="AU484" s="415"/>
      <c r="AV484" s="416"/>
      <c r="AW484" s="410"/>
      <c r="AX484" s="411"/>
      <c r="AY484" s="416"/>
      <c r="AZ484" s="417"/>
      <c r="BA484" s="418"/>
      <c r="BB484" s="418"/>
      <c r="BC484" s="418"/>
      <c r="BD484" s="418"/>
      <c r="BE484" s="418"/>
      <c r="BF484" s="418"/>
      <c r="BG484" s="418"/>
      <c r="BH484" s="418"/>
      <c r="BI484" s="418"/>
      <c r="BJ484" s="418"/>
      <c r="BK484" s="418"/>
      <c r="BL484" s="418"/>
      <c r="BM484" s="418"/>
      <c r="BN484" s="418"/>
      <c r="BO484" s="418"/>
      <c r="BP484" s="418"/>
      <c r="BQ484" s="418"/>
      <c r="BR484" s="418"/>
      <c r="BS484" s="418"/>
      <c r="BT484" s="418"/>
      <c r="BU484" s="418"/>
      <c r="BV484" s="418"/>
      <c r="BW484" s="418"/>
      <c r="BX484" s="418"/>
      <c r="BY484" s="418"/>
      <c r="BZ484" s="418"/>
      <c r="CA484" s="418"/>
      <c r="CB484" s="418"/>
      <c r="CC484" s="419"/>
      <c r="CD484" s="419"/>
      <c r="CE484" s="419"/>
      <c r="CF484" s="419"/>
      <c r="CG484" s="419"/>
      <c r="CH484" s="419"/>
      <c r="CI484" s="419"/>
      <c r="CJ484" s="419"/>
      <c r="CK484" s="419"/>
      <c r="CL484" s="419"/>
      <c r="CM484" s="419"/>
      <c r="CN484" s="419"/>
      <c r="CO484" s="419"/>
      <c r="CP484" s="419"/>
      <c r="CQ484" s="419"/>
      <c r="CR484" s="419"/>
      <c r="CS484" s="419"/>
      <c r="CT484" s="419"/>
      <c r="CU484" s="419"/>
      <c r="CV484" s="419"/>
      <c r="CW484" s="419"/>
      <c r="CX484" s="419"/>
      <c r="CY484" s="419"/>
      <c r="CZ484" s="419"/>
      <c r="DA484" s="419"/>
      <c r="DB484" s="419"/>
      <c r="DC484" s="420"/>
    </row>
    <row r="485" spans="1:107" ht="19.5" thickBot="1">
      <c r="A485" s="421"/>
      <c r="B485" s="422" t="s">
        <v>170</v>
      </c>
      <c r="C485" s="423">
        <f>SUM(C455+C468+C482)</f>
        <v>1787</v>
      </c>
      <c r="D485" s="423">
        <f t="shared" ref="D485:E485" si="297">SUM(D455+D468+D482)</f>
        <v>830</v>
      </c>
      <c r="E485" s="423">
        <f t="shared" si="297"/>
        <v>0</v>
      </c>
      <c r="F485" s="423">
        <f>SUM(F455+F468+F482)</f>
        <v>1089</v>
      </c>
      <c r="G485" s="423">
        <f t="shared" ref="G485" si="298">SUM(G455+G468+G482)</f>
        <v>0</v>
      </c>
      <c r="H485" s="423">
        <f>SUM(H455+H468+H482)</f>
        <v>157</v>
      </c>
      <c r="I485" s="423">
        <f t="shared" ref="I485:BZ485" si="299">SUM(I455+I468+I482)</f>
        <v>0</v>
      </c>
      <c r="J485" s="423">
        <f t="shared" si="299"/>
        <v>0</v>
      </c>
      <c r="K485" s="423">
        <f t="shared" si="299"/>
        <v>0</v>
      </c>
      <c r="L485" s="423">
        <f t="shared" si="299"/>
        <v>0</v>
      </c>
      <c r="M485" s="423">
        <f t="shared" si="299"/>
        <v>0</v>
      </c>
      <c r="N485" s="423">
        <f t="shared" si="299"/>
        <v>0</v>
      </c>
      <c r="O485" s="423">
        <f t="shared" si="299"/>
        <v>0</v>
      </c>
      <c r="P485" s="423">
        <f t="shared" si="299"/>
        <v>0</v>
      </c>
      <c r="Q485" s="423">
        <f t="shared" si="299"/>
        <v>0</v>
      </c>
      <c r="R485" s="423">
        <f t="shared" si="299"/>
        <v>0</v>
      </c>
      <c r="S485" s="423">
        <f t="shared" si="299"/>
        <v>0</v>
      </c>
      <c r="T485" s="423">
        <f t="shared" si="299"/>
        <v>2076</v>
      </c>
      <c r="U485" s="423">
        <f t="shared" si="299"/>
        <v>159</v>
      </c>
      <c r="V485" s="423">
        <f t="shared" si="299"/>
        <v>0</v>
      </c>
      <c r="W485" s="423">
        <f t="shared" si="299"/>
        <v>0</v>
      </c>
      <c r="X485" s="423">
        <f t="shared" si="299"/>
        <v>0</v>
      </c>
      <c r="Y485" s="423">
        <f t="shared" si="299"/>
        <v>0</v>
      </c>
      <c r="Z485" s="423">
        <f t="shared" si="299"/>
        <v>318</v>
      </c>
      <c r="AA485" s="423">
        <f t="shared" si="299"/>
        <v>0</v>
      </c>
      <c r="AB485" s="423">
        <f t="shared" si="299"/>
        <v>0</v>
      </c>
      <c r="AC485" s="423">
        <f t="shared" si="299"/>
        <v>0</v>
      </c>
      <c r="AD485" s="423">
        <f t="shared" si="299"/>
        <v>0</v>
      </c>
      <c r="AE485" s="423">
        <f t="shared" si="299"/>
        <v>0</v>
      </c>
      <c r="AF485" s="423">
        <f t="shared" si="299"/>
        <v>0</v>
      </c>
      <c r="AG485" s="423">
        <f t="shared" si="299"/>
        <v>0</v>
      </c>
      <c r="AH485" s="423">
        <f t="shared" si="299"/>
        <v>0</v>
      </c>
      <c r="AI485" s="423">
        <f t="shared" si="299"/>
        <v>0</v>
      </c>
      <c r="AJ485" s="423">
        <f t="shared" si="299"/>
        <v>0</v>
      </c>
      <c r="AK485" s="423">
        <f t="shared" si="299"/>
        <v>0</v>
      </c>
      <c r="AL485" s="423">
        <f t="shared" si="299"/>
        <v>0</v>
      </c>
      <c r="AM485" s="423">
        <f t="shared" si="299"/>
        <v>0</v>
      </c>
      <c r="AN485" s="423">
        <f t="shared" si="299"/>
        <v>35</v>
      </c>
      <c r="AO485" s="423">
        <f t="shared" si="299"/>
        <v>0</v>
      </c>
      <c r="AP485" s="423">
        <f t="shared" si="299"/>
        <v>0</v>
      </c>
      <c r="AQ485" s="423">
        <f t="shared" si="299"/>
        <v>218.6</v>
      </c>
      <c r="AR485" s="423">
        <f t="shared" si="299"/>
        <v>0</v>
      </c>
      <c r="AS485" s="423">
        <f t="shared" si="299"/>
        <v>0</v>
      </c>
      <c r="AT485" s="423">
        <f t="shared" si="299"/>
        <v>0</v>
      </c>
      <c r="AU485" s="423">
        <f t="shared" si="299"/>
        <v>0</v>
      </c>
      <c r="AV485" s="423">
        <f t="shared" si="299"/>
        <v>0</v>
      </c>
      <c r="AW485" s="423">
        <f t="shared" si="299"/>
        <v>0</v>
      </c>
      <c r="AX485" s="423">
        <f t="shared" si="299"/>
        <v>318</v>
      </c>
      <c r="AY485" s="423">
        <f t="shared" si="299"/>
        <v>0</v>
      </c>
      <c r="AZ485" s="423">
        <f t="shared" si="299"/>
        <v>2</v>
      </c>
      <c r="BA485" s="423">
        <f t="shared" si="299"/>
        <v>3</v>
      </c>
      <c r="BB485" s="423">
        <f t="shared" si="299"/>
        <v>1</v>
      </c>
      <c r="BC485" s="423">
        <f t="shared" si="299"/>
        <v>0</v>
      </c>
      <c r="BD485" s="423">
        <f t="shared" si="299"/>
        <v>0</v>
      </c>
      <c r="BE485" s="423">
        <f t="shared" si="299"/>
        <v>0</v>
      </c>
      <c r="BF485" s="423">
        <f t="shared" si="299"/>
        <v>0</v>
      </c>
      <c r="BG485" s="423">
        <f t="shared" si="299"/>
        <v>0</v>
      </c>
      <c r="BH485" s="423">
        <f t="shared" si="299"/>
        <v>0</v>
      </c>
      <c r="BI485" s="423">
        <f t="shared" si="299"/>
        <v>0</v>
      </c>
      <c r="BJ485" s="423">
        <f t="shared" si="299"/>
        <v>0</v>
      </c>
      <c r="BK485" s="423">
        <f t="shared" si="299"/>
        <v>0</v>
      </c>
      <c r="BL485" s="423">
        <f t="shared" si="299"/>
        <v>0</v>
      </c>
      <c r="BM485" s="423">
        <f t="shared" si="299"/>
        <v>0</v>
      </c>
      <c r="BN485" s="423">
        <f t="shared" si="299"/>
        <v>0</v>
      </c>
      <c r="BO485" s="423">
        <f t="shared" si="299"/>
        <v>0</v>
      </c>
      <c r="BP485" s="423">
        <f t="shared" si="299"/>
        <v>0</v>
      </c>
      <c r="BQ485" s="423">
        <f t="shared" si="299"/>
        <v>0</v>
      </c>
      <c r="BR485" s="423">
        <f t="shared" si="299"/>
        <v>0</v>
      </c>
      <c r="BS485" s="423">
        <f t="shared" si="299"/>
        <v>0</v>
      </c>
      <c r="BT485" s="423">
        <f t="shared" si="299"/>
        <v>0</v>
      </c>
      <c r="BU485" s="423">
        <f t="shared" si="299"/>
        <v>0</v>
      </c>
      <c r="BV485" s="423">
        <f t="shared" si="299"/>
        <v>0</v>
      </c>
      <c r="BW485" s="423">
        <f t="shared" si="299"/>
        <v>1</v>
      </c>
      <c r="BX485" s="423"/>
      <c r="BY485" s="423">
        <f t="shared" si="299"/>
        <v>0</v>
      </c>
      <c r="BZ485" s="423">
        <f t="shared" si="299"/>
        <v>0</v>
      </c>
      <c r="CA485" s="423">
        <f t="shared" ref="CA485:CI485" si="300">SUM(CA455+CA468+CA482)</f>
        <v>0</v>
      </c>
      <c r="CB485" s="423">
        <f t="shared" si="300"/>
        <v>0</v>
      </c>
      <c r="CC485" s="423"/>
      <c r="CD485" s="423">
        <f t="shared" si="300"/>
        <v>0</v>
      </c>
      <c r="CE485" s="423"/>
      <c r="CF485" s="423">
        <f t="shared" si="300"/>
        <v>0</v>
      </c>
      <c r="CG485" s="423"/>
      <c r="CH485" s="423">
        <f t="shared" si="300"/>
        <v>0</v>
      </c>
      <c r="CI485" s="423">
        <f t="shared" si="300"/>
        <v>0</v>
      </c>
      <c r="CJ485" s="423">
        <f t="shared" ref="CJ485:DC485" si="301">SUM(CJ455+CJ468+CJ482)</f>
        <v>0</v>
      </c>
      <c r="CK485" s="423"/>
      <c r="CL485" s="423"/>
      <c r="CM485" s="423">
        <f t="shared" si="301"/>
        <v>0</v>
      </c>
      <c r="CN485" s="423">
        <f t="shared" si="301"/>
        <v>0</v>
      </c>
      <c r="CO485" s="423">
        <f t="shared" si="301"/>
        <v>0</v>
      </c>
      <c r="CP485" s="423">
        <f t="shared" si="301"/>
        <v>0</v>
      </c>
      <c r="CQ485" s="423">
        <f t="shared" si="301"/>
        <v>0</v>
      </c>
      <c r="CR485" s="423"/>
      <c r="CS485" s="423"/>
      <c r="CT485" s="423">
        <f t="shared" si="301"/>
        <v>1051</v>
      </c>
      <c r="CU485" s="423">
        <f t="shared" si="301"/>
        <v>0</v>
      </c>
      <c r="CV485" s="423">
        <f t="shared" si="301"/>
        <v>0</v>
      </c>
      <c r="CW485" s="423">
        <f t="shared" si="301"/>
        <v>0</v>
      </c>
      <c r="CX485" s="423">
        <f t="shared" si="301"/>
        <v>0</v>
      </c>
      <c r="CY485" s="423">
        <f t="shared" si="301"/>
        <v>0</v>
      </c>
      <c r="CZ485" s="423">
        <f t="shared" si="301"/>
        <v>0</v>
      </c>
      <c r="DA485" s="423">
        <f t="shared" si="301"/>
        <v>0</v>
      </c>
      <c r="DB485" s="423">
        <f t="shared" si="301"/>
        <v>208</v>
      </c>
      <c r="DC485" s="423">
        <f t="shared" si="301"/>
        <v>1203</v>
      </c>
    </row>
    <row r="486" spans="1:107" ht="17.25" thickTop="1"/>
  </sheetData>
  <sheetProtection algorithmName="SHA-512" hashValue="vLYwWTXBZyEWqGU5H+h9m5b+Tmwt6a9oXDH0p/1MhElA/ewVG/robY4s4cHBw+/eeYRZh/iOtopRqYQLwdcEKQ==" saltValue="zovVsTbE6dSO1NvqMnOK5g==" spinCount="100000" sheet="1" formatCells="0" formatColumns="0" formatRows="0" insertColumns="0" insertRows="0" insertHyperlinks="0" deleteColumns="0" deleteRows="0" sort="0" autoFilter="0" pivotTables="0"/>
  <mergeCells count="9">
    <mergeCell ref="CT5:DC5"/>
    <mergeCell ref="U6:V6"/>
    <mergeCell ref="AZ5:CQ5"/>
    <mergeCell ref="U5:AM5"/>
    <mergeCell ref="C5:T5"/>
    <mergeCell ref="Z6:AA6"/>
    <mergeCell ref="AR5:AV5"/>
    <mergeCell ref="AW5:AY5"/>
    <mergeCell ref="AN5:AP5"/>
  </mergeCells>
  <phoneticPr fontId="39" type="noConversion"/>
  <pageMargins left="0.7" right="0.7" top="0.75" bottom="0.75" header="0.3" footer="0.3"/>
  <pageSetup paperSize="9" orientation="portrait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topLeftCell="A4" zoomScale="80" zoomScaleNormal="80" workbookViewId="0">
      <selection activeCell="AB19" sqref="AB19"/>
    </sheetView>
  </sheetViews>
  <sheetFormatPr defaultRowHeight="18.75"/>
  <cols>
    <col min="1" max="1" width="9.7109375" customWidth="1"/>
    <col min="2" max="2" width="58.7109375" customWidth="1"/>
    <col min="3" max="7" width="15.7109375" customWidth="1"/>
    <col min="8" max="8" width="12.7109375" customWidth="1"/>
    <col min="9" max="9" width="9.7109375" customWidth="1"/>
    <col min="10" max="10" width="58.7109375" customWidth="1"/>
    <col min="11" max="14" width="15.7109375" style="62" customWidth="1"/>
    <col min="15" max="15" width="12.7109375" style="62" customWidth="1"/>
    <col min="16" max="16" width="9.7109375" customWidth="1"/>
    <col min="17" max="17" width="58.7109375" customWidth="1"/>
    <col min="18" max="24" width="15.7109375" customWidth="1"/>
    <col min="25" max="25" width="12.7109375" customWidth="1"/>
    <col min="28" max="28" width="12.140625" customWidth="1"/>
    <col min="30" max="30" width="11" customWidth="1"/>
  </cols>
  <sheetData>
    <row r="1" spans="1:35" ht="23.25" customHeight="1">
      <c r="A1" s="1089" t="s">
        <v>593</v>
      </c>
      <c r="B1" s="1089"/>
      <c r="C1" s="1090"/>
      <c r="D1" s="1090"/>
      <c r="E1" s="1090"/>
      <c r="F1" s="1090"/>
      <c r="G1" s="303"/>
      <c r="H1" s="1091" t="s">
        <v>171</v>
      </c>
      <c r="I1" s="1098" t="s">
        <v>592</v>
      </c>
      <c r="J1" s="1098"/>
      <c r="K1" s="1099"/>
      <c r="L1" s="1099"/>
      <c r="M1" s="1099"/>
      <c r="N1" s="1099"/>
      <c r="O1" s="1102" t="s">
        <v>171</v>
      </c>
      <c r="P1" s="1097" t="s">
        <v>684</v>
      </c>
      <c r="Q1" s="1097"/>
      <c r="R1" s="1110"/>
      <c r="S1" s="1110"/>
      <c r="T1" s="1110"/>
      <c r="U1" s="1110"/>
      <c r="V1" s="443"/>
      <c r="W1" s="443"/>
      <c r="X1" s="303"/>
      <c r="Y1" s="1111" t="s">
        <v>171</v>
      </c>
    </row>
    <row r="2" spans="1:35" ht="23.25" customHeight="1">
      <c r="A2" s="1089"/>
      <c r="B2" s="1089"/>
      <c r="C2" s="94" t="s">
        <v>239</v>
      </c>
      <c r="D2" s="94" t="s">
        <v>240</v>
      </c>
      <c r="E2" s="94" t="s">
        <v>242</v>
      </c>
      <c r="F2" s="94" t="s">
        <v>243</v>
      </c>
      <c r="G2" s="429" t="s">
        <v>572</v>
      </c>
      <c r="H2" s="1092"/>
      <c r="I2" s="1098"/>
      <c r="J2" s="1098"/>
      <c r="K2" s="86" t="s">
        <v>239</v>
      </c>
      <c r="L2" s="86" t="s">
        <v>240</v>
      </c>
      <c r="M2" s="86"/>
      <c r="N2" s="86"/>
      <c r="O2" s="1103"/>
      <c r="P2" s="1097"/>
      <c r="Q2" s="1097"/>
      <c r="R2" s="102" t="s">
        <v>239</v>
      </c>
      <c r="S2" s="102" t="s">
        <v>240</v>
      </c>
      <c r="T2" s="102" t="s">
        <v>242</v>
      </c>
      <c r="U2" s="102" t="s">
        <v>243</v>
      </c>
      <c r="V2" s="102" t="s">
        <v>688</v>
      </c>
      <c r="W2" s="102" t="s">
        <v>689</v>
      </c>
      <c r="X2" s="429" t="s">
        <v>572</v>
      </c>
      <c r="Y2" s="1112"/>
    </row>
    <row r="3" spans="1:35" ht="20.25">
      <c r="A3" s="95"/>
      <c r="B3" s="1093" t="s">
        <v>5</v>
      </c>
      <c r="C3" s="96"/>
      <c r="D3" s="96"/>
      <c r="E3" s="96"/>
      <c r="F3" s="96"/>
      <c r="G3" s="430"/>
      <c r="H3" s="1092"/>
      <c r="I3" s="87"/>
      <c r="J3" s="1100" t="s">
        <v>5</v>
      </c>
      <c r="K3" s="88"/>
      <c r="L3" s="88"/>
      <c r="M3" s="88"/>
      <c r="N3" s="88"/>
      <c r="O3" s="1103"/>
      <c r="P3" s="103"/>
      <c r="Q3" s="1095" t="s">
        <v>5</v>
      </c>
      <c r="R3" s="104"/>
      <c r="S3" s="104"/>
      <c r="T3" s="104"/>
      <c r="U3" s="104"/>
      <c r="V3" s="104"/>
      <c r="W3" s="104"/>
      <c r="X3" s="430"/>
      <c r="Y3" s="1112"/>
    </row>
    <row r="4" spans="1:35" ht="20.25">
      <c r="A4" s="97"/>
      <c r="B4" s="1094"/>
      <c r="C4" s="98"/>
      <c r="D4" s="98"/>
      <c r="E4" s="98"/>
      <c r="F4" s="98"/>
      <c r="G4" s="431"/>
      <c r="H4" s="1092"/>
      <c r="I4" s="89"/>
      <c r="J4" s="1101"/>
      <c r="K4" s="90"/>
      <c r="L4" s="90"/>
      <c r="M4" s="90"/>
      <c r="N4" s="90"/>
      <c r="O4" s="1103"/>
      <c r="P4" s="105"/>
      <c r="Q4" s="1096"/>
      <c r="R4" s="106"/>
      <c r="S4" s="106"/>
      <c r="T4" s="106"/>
      <c r="U4" s="106"/>
      <c r="V4" s="106"/>
      <c r="W4" s="106"/>
      <c r="X4" s="431"/>
      <c r="Y4" s="1112"/>
    </row>
    <row r="5" spans="1:35" ht="20.25">
      <c r="A5" s="99"/>
      <c r="B5" s="100" t="s">
        <v>235</v>
      </c>
      <c r="C5" s="101"/>
      <c r="D5" s="101"/>
      <c r="E5" s="101"/>
      <c r="F5" s="101"/>
      <c r="G5" s="101"/>
      <c r="H5" s="125"/>
      <c r="I5" s="91"/>
      <c r="J5" s="92" t="s">
        <v>235</v>
      </c>
      <c r="K5" s="93"/>
      <c r="L5" s="93"/>
      <c r="M5" s="93"/>
      <c r="N5" s="93"/>
      <c r="O5" s="126"/>
      <c r="P5" s="107"/>
      <c r="Q5" s="108" t="s">
        <v>235</v>
      </c>
      <c r="R5" s="109"/>
      <c r="S5" s="109"/>
      <c r="T5" s="109"/>
      <c r="U5" s="109"/>
      <c r="V5" s="109"/>
      <c r="W5" s="109"/>
      <c r="X5" s="101"/>
      <c r="Y5" s="127"/>
    </row>
    <row r="6" spans="1:35" ht="20.25">
      <c r="A6" s="121"/>
      <c r="B6" s="122"/>
      <c r="C6" s="123"/>
      <c r="D6" s="123"/>
      <c r="E6" s="123"/>
      <c r="F6" s="123"/>
      <c r="G6" s="123"/>
      <c r="H6" s="124"/>
      <c r="I6" s="121"/>
      <c r="J6" s="122"/>
      <c r="K6" s="123"/>
      <c r="L6" s="123"/>
      <c r="M6" s="123"/>
      <c r="N6" s="123"/>
      <c r="O6" s="124"/>
      <c r="P6" s="121"/>
      <c r="Q6" s="122"/>
      <c r="R6" s="123"/>
      <c r="S6" s="123"/>
      <c r="T6" s="123"/>
      <c r="U6" s="123"/>
      <c r="V6" s="123"/>
      <c r="W6" s="123"/>
      <c r="X6" s="123"/>
      <c r="Y6" s="124"/>
    </row>
    <row r="7" spans="1:35" ht="24">
      <c r="A7" s="110"/>
      <c r="B7" s="115" t="s">
        <v>575</v>
      </c>
      <c r="C7" s="113">
        <v>4</v>
      </c>
      <c r="D7" s="69">
        <v>7</v>
      </c>
      <c r="E7" s="69">
        <v>3</v>
      </c>
      <c r="F7" s="69">
        <v>9</v>
      </c>
      <c r="G7" s="432">
        <v>1</v>
      </c>
      <c r="H7" s="68">
        <f>SUM(C7:G7)</f>
        <v>24</v>
      </c>
      <c r="I7" s="110"/>
      <c r="J7" s="115" t="s">
        <v>575</v>
      </c>
      <c r="K7" s="113">
        <v>1</v>
      </c>
      <c r="L7" s="69">
        <v>4</v>
      </c>
      <c r="M7" s="82"/>
      <c r="N7" s="69"/>
      <c r="O7" s="77">
        <f t="shared" ref="O7:O28" si="0">SUM(K7:N7)</f>
        <v>5</v>
      </c>
      <c r="P7" s="110"/>
      <c r="Q7" s="115" t="s">
        <v>575</v>
      </c>
      <c r="R7" s="113">
        <v>5</v>
      </c>
      <c r="S7" s="69">
        <v>5</v>
      </c>
      <c r="T7" s="69">
        <v>5</v>
      </c>
      <c r="U7" s="69">
        <v>5</v>
      </c>
      <c r="V7" s="69"/>
      <c r="W7" s="69"/>
      <c r="X7" s="432">
        <v>1</v>
      </c>
      <c r="Y7" s="77">
        <f>SUM(R7:X7)</f>
        <v>21</v>
      </c>
      <c r="AB7" s="465">
        <v>8400</v>
      </c>
      <c r="AD7" s="466">
        <v>450</v>
      </c>
      <c r="AG7" s="465">
        <v>4850</v>
      </c>
      <c r="AI7" s="466">
        <v>450</v>
      </c>
    </row>
    <row r="8" spans="1:35" ht="24">
      <c r="A8" s="111"/>
      <c r="B8" s="116" t="s">
        <v>536</v>
      </c>
      <c r="C8" s="80">
        <f>C7</f>
        <v>4</v>
      </c>
      <c r="D8" s="65">
        <f>D7</f>
        <v>7</v>
      </c>
      <c r="E8" s="65">
        <f t="shared" ref="E8:F8" si="1">E7</f>
        <v>3</v>
      </c>
      <c r="F8" s="65">
        <f t="shared" si="1"/>
        <v>9</v>
      </c>
      <c r="G8" s="433">
        <f>G7</f>
        <v>1</v>
      </c>
      <c r="H8" s="64">
        <f t="shared" ref="H8:H28" si="2">SUM(C8:G8)</f>
        <v>24</v>
      </c>
      <c r="I8" s="111"/>
      <c r="J8" s="116" t="s">
        <v>536</v>
      </c>
      <c r="K8" s="80">
        <f>K7</f>
        <v>1</v>
      </c>
      <c r="L8" s="65">
        <f>L7</f>
        <v>4</v>
      </c>
      <c r="M8" s="81"/>
      <c r="N8" s="65"/>
      <c r="O8" s="64">
        <f t="shared" si="0"/>
        <v>5</v>
      </c>
      <c r="P8" s="111"/>
      <c r="Q8" s="116" t="s">
        <v>536</v>
      </c>
      <c r="R8" s="80">
        <f>R7</f>
        <v>5</v>
      </c>
      <c r="S8" s="65">
        <f>S7</f>
        <v>5</v>
      </c>
      <c r="T8" s="65">
        <f t="shared" ref="T8:U8" si="3">T7</f>
        <v>5</v>
      </c>
      <c r="U8" s="65">
        <f t="shared" si="3"/>
        <v>5</v>
      </c>
      <c r="V8" s="65">
        <f t="shared" ref="V8:W8" si="4">V7</f>
        <v>0</v>
      </c>
      <c r="W8" s="65">
        <f t="shared" si="4"/>
        <v>0</v>
      </c>
      <c r="X8" s="433">
        <f>X7</f>
        <v>1</v>
      </c>
      <c r="Y8" s="77">
        <f t="shared" ref="Y8:Y28" si="5">SUM(R8:X8)</f>
        <v>21</v>
      </c>
      <c r="AB8" s="467">
        <v>305</v>
      </c>
      <c r="AD8" s="466">
        <v>35</v>
      </c>
      <c r="AG8" s="467">
        <v>80</v>
      </c>
      <c r="AI8" s="466">
        <v>35</v>
      </c>
    </row>
    <row r="9" spans="1:35" ht="24">
      <c r="A9" s="111"/>
      <c r="B9" s="116" t="s">
        <v>537</v>
      </c>
      <c r="C9" s="80">
        <f>C7</f>
        <v>4</v>
      </c>
      <c r="D9" s="65">
        <f>D7</f>
        <v>7</v>
      </c>
      <c r="E9" s="65">
        <f t="shared" ref="E9:F9" si="6">E7</f>
        <v>3</v>
      </c>
      <c r="F9" s="65">
        <f t="shared" si="6"/>
        <v>9</v>
      </c>
      <c r="G9" s="433">
        <f>G7</f>
        <v>1</v>
      </c>
      <c r="H9" s="64">
        <f t="shared" si="2"/>
        <v>24</v>
      </c>
      <c r="I9" s="111"/>
      <c r="J9" s="116" t="s">
        <v>537</v>
      </c>
      <c r="K9" s="80">
        <f>K7</f>
        <v>1</v>
      </c>
      <c r="L9" s="65">
        <f>L7</f>
        <v>4</v>
      </c>
      <c r="M9" s="80"/>
      <c r="N9" s="65"/>
      <c r="O9" s="64">
        <f t="shared" si="0"/>
        <v>5</v>
      </c>
      <c r="P9" s="111"/>
      <c r="Q9" s="116" t="s">
        <v>537</v>
      </c>
      <c r="R9" s="80">
        <f>R7</f>
        <v>5</v>
      </c>
      <c r="S9" s="65">
        <f>S7</f>
        <v>5</v>
      </c>
      <c r="T9" s="65">
        <f t="shared" ref="T9:U9" si="7">T7</f>
        <v>5</v>
      </c>
      <c r="U9" s="65">
        <f t="shared" si="7"/>
        <v>5</v>
      </c>
      <c r="V9" s="65">
        <f t="shared" ref="V9:W9" si="8">V7</f>
        <v>0</v>
      </c>
      <c r="W9" s="65">
        <f t="shared" si="8"/>
        <v>0</v>
      </c>
      <c r="X9" s="433">
        <f>X7</f>
        <v>1</v>
      </c>
      <c r="Y9" s="77">
        <f t="shared" si="5"/>
        <v>21</v>
      </c>
      <c r="AB9" s="463">
        <v>1180</v>
      </c>
      <c r="AD9" s="464">
        <v>105</v>
      </c>
      <c r="AG9" s="463">
        <v>380</v>
      </c>
      <c r="AI9" s="464">
        <v>105</v>
      </c>
    </row>
    <row r="10" spans="1:35" ht="24">
      <c r="A10" s="111"/>
      <c r="B10" s="116" t="s">
        <v>576</v>
      </c>
      <c r="C10" s="80">
        <f>C7</f>
        <v>4</v>
      </c>
      <c r="D10" s="65">
        <f>D7</f>
        <v>7</v>
      </c>
      <c r="E10" s="65">
        <f t="shared" ref="E10:F10" si="9">E7</f>
        <v>3</v>
      </c>
      <c r="F10" s="65">
        <f t="shared" si="9"/>
        <v>9</v>
      </c>
      <c r="G10" s="433">
        <f>G7</f>
        <v>1</v>
      </c>
      <c r="H10" s="64">
        <f t="shared" si="2"/>
        <v>24</v>
      </c>
      <c r="I10" s="111"/>
      <c r="J10" s="116" t="s">
        <v>576</v>
      </c>
      <c r="K10" s="80">
        <f>K7</f>
        <v>1</v>
      </c>
      <c r="L10" s="65">
        <f>L7</f>
        <v>4</v>
      </c>
      <c r="M10" s="80"/>
      <c r="N10" s="65"/>
      <c r="O10" s="64">
        <f t="shared" si="0"/>
        <v>5</v>
      </c>
      <c r="P10" s="111"/>
      <c r="Q10" s="116" t="s">
        <v>576</v>
      </c>
      <c r="R10" s="80">
        <f>R7</f>
        <v>5</v>
      </c>
      <c r="S10" s="65">
        <f>S7</f>
        <v>5</v>
      </c>
      <c r="T10" s="65">
        <f t="shared" ref="T10:U10" si="10">T7</f>
        <v>5</v>
      </c>
      <c r="U10" s="65">
        <f t="shared" si="10"/>
        <v>5</v>
      </c>
      <c r="V10" s="65">
        <f t="shared" ref="V10:W10" si="11">V7</f>
        <v>0</v>
      </c>
      <c r="W10" s="65">
        <f t="shared" si="11"/>
        <v>0</v>
      </c>
      <c r="X10" s="433">
        <f>X7</f>
        <v>1</v>
      </c>
      <c r="Y10" s="77">
        <f t="shared" si="5"/>
        <v>21</v>
      </c>
      <c r="AB10" s="463">
        <v>720</v>
      </c>
      <c r="AD10" s="464">
        <v>120</v>
      </c>
      <c r="AG10" s="463">
        <v>390</v>
      </c>
      <c r="AI10" s="464">
        <v>120</v>
      </c>
    </row>
    <row r="11" spans="1:35" ht="20.25">
      <c r="A11" s="111"/>
      <c r="B11" s="116" t="s">
        <v>538</v>
      </c>
      <c r="C11" s="80">
        <v>4</v>
      </c>
      <c r="D11" s="65">
        <v>4</v>
      </c>
      <c r="E11" s="65">
        <v>4</v>
      </c>
      <c r="F11" s="65">
        <v>3</v>
      </c>
      <c r="G11" s="433">
        <v>1</v>
      </c>
      <c r="H11" s="64">
        <f t="shared" si="2"/>
        <v>16</v>
      </c>
      <c r="I11" s="111"/>
      <c r="J11" s="116" t="s">
        <v>538</v>
      </c>
      <c r="K11" s="80">
        <v>2</v>
      </c>
      <c r="L11" s="65">
        <v>4</v>
      </c>
      <c r="M11" s="80"/>
      <c r="N11" s="65"/>
      <c r="O11" s="64">
        <f t="shared" si="0"/>
        <v>6</v>
      </c>
      <c r="P11" s="111"/>
      <c r="Q11" s="116" t="s">
        <v>538</v>
      </c>
      <c r="R11" s="80">
        <v>4</v>
      </c>
      <c r="S11" s="65">
        <v>4</v>
      </c>
      <c r="T11" s="65">
        <v>3</v>
      </c>
      <c r="U11" s="65">
        <v>6</v>
      </c>
      <c r="V11" s="65">
        <v>1</v>
      </c>
      <c r="W11" s="65">
        <v>1</v>
      </c>
      <c r="X11" s="433">
        <v>1</v>
      </c>
      <c r="Y11" s="77">
        <f t="shared" si="5"/>
        <v>20</v>
      </c>
      <c r="AB11" s="1104">
        <v>4773</v>
      </c>
      <c r="AD11" s="1107">
        <v>450</v>
      </c>
      <c r="AG11" s="1104">
        <v>3500</v>
      </c>
      <c r="AI11" s="1107">
        <v>450</v>
      </c>
    </row>
    <row r="12" spans="1:35" ht="20.25">
      <c r="A12" s="111"/>
      <c r="B12" s="116" t="s">
        <v>539</v>
      </c>
      <c r="C12" s="80">
        <f>C11</f>
        <v>4</v>
      </c>
      <c r="D12" s="65">
        <f>D11</f>
        <v>4</v>
      </c>
      <c r="E12" s="65">
        <f t="shared" ref="E12:F12" si="12">E11</f>
        <v>4</v>
      </c>
      <c r="F12" s="65">
        <f t="shared" si="12"/>
        <v>3</v>
      </c>
      <c r="G12" s="433">
        <f>G11</f>
        <v>1</v>
      </c>
      <c r="H12" s="64">
        <f t="shared" si="2"/>
        <v>16</v>
      </c>
      <c r="I12" s="111"/>
      <c r="J12" s="116" t="s">
        <v>539</v>
      </c>
      <c r="K12" s="80">
        <f>K11</f>
        <v>2</v>
      </c>
      <c r="L12" s="65">
        <f>L11</f>
        <v>4</v>
      </c>
      <c r="M12" s="80"/>
      <c r="N12" s="65"/>
      <c r="O12" s="64">
        <f t="shared" si="0"/>
        <v>6</v>
      </c>
      <c r="P12" s="111"/>
      <c r="Q12" s="116" t="s">
        <v>539</v>
      </c>
      <c r="R12" s="80">
        <f>R11</f>
        <v>4</v>
      </c>
      <c r="S12" s="65">
        <f>S11</f>
        <v>4</v>
      </c>
      <c r="T12" s="65">
        <f t="shared" ref="T12:U12" si="13">T11</f>
        <v>3</v>
      </c>
      <c r="U12" s="65">
        <f t="shared" si="13"/>
        <v>6</v>
      </c>
      <c r="V12" s="65">
        <f t="shared" ref="V12:W12" si="14">V11</f>
        <v>1</v>
      </c>
      <c r="W12" s="65">
        <f t="shared" si="14"/>
        <v>1</v>
      </c>
      <c r="X12" s="433">
        <f>X11</f>
        <v>1</v>
      </c>
      <c r="Y12" s="77">
        <f t="shared" si="5"/>
        <v>20</v>
      </c>
      <c r="AB12" s="1105"/>
      <c r="AD12" s="1108"/>
      <c r="AG12" s="1105"/>
      <c r="AI12" s="1108"/>
    </row>
    <row r="13" spans="1:35" ht="20.25">
      <c r="A13" s="111"/>
      <c r="B13" s="116" t="s">
        <v>540</v>
      </c>
      <c r="C13" s="80">
        <f>C11</f>
        <v>4</v>
      </c>
      <c r="D13" s="65">
        <f>D11</f>
        <v>4</v>
      </c>
      <c r="E13" s="65">
        <f t="shared" ref="E13:F13" si="15">E11</f>
        <v>4</v>
      </c>
      <c r="F13" s="65">
        <f t="shared" si="15"/>
        <v>3</v>
      </c>
      <c r="G13" s="433">
        <f>G11</f>
        <v>1</v>
      </c>
      <c r="H13" s="64">
        <f t="shared" si="2"/>
        <v>16</v>
      </c>
      <c r="I13" s="111"/>
      <c r="J13" s="116" t="s">
        <v>540</v>
      </c>
      <c r="K13" s="80">
        <f>K11</f>
        <v>2</v>
      </c>
      <c r="L13" s="65">
        <f>L11</f>
        <v>4</v>
      </c>
      <c r="M13" s="80"/>
      <c r="N13" s="65"/>
      <c r="O13" s="64">
        <f t="shared" si="0"/>
        <v>6</v>
      </c>
      <c r="P13" s="111"/>
      <c r="Q13" s="116" t="s">
        <v>540</v>
      </c>
      <c r="R13" s="80">
        <f>R11</f>
        <v>4</v>
      </c>
      <c r="S13" s="65">
        <f>S11</f>
        <v>4</v>
      </c>
      <c r="T13" s="65">
        <f t="shared" ref="T13:U13" si="16">T11</f>
        <v>3</v>
      </c>
      <c r="U13" s="65">
        <f t="shared" si="16"/>
        <v>6</v>
      </c>
      <c r="V13" s="65">
        <f t="shared" ref="V13:W13" si="17">V11</f>
        <v>1</v>
      </c>
      <c r="W13" s="65">
        <f t="shared" si="17"/>
        <v>1</v>
      </c>
      <c r="X13" s="433">
        <f>X11</f>
        <v>1</v>
      </c>
      <c r="Y13" s="77">
        <f t="shared" si="5"/>
        <v>20</v>
      </c>
      <c r="AB13" s="1105"/>
      <c r="AD13" s="1108"/>
      <c r="AG13" s="1105"/>
      <c r="AI13" s="1108"/>
    </row>
    <row r="14" spans="1:35" ht="20.25">
      <c r="A14" s="111"/>
      <c r="B14" s="116" t="s">
        <v>541</v>
      </c>
      <c r="C14" s="80">
        <f>C11</f>
        <v>4</v>
      </c>
      <c r="D14" s="65">
        <f>D11</f>
        <v>4</v>
      </c>
      <c r="E14" s="65">
        <f t="shared" ref="E14:F14" si="18">E11</f>
        <v>4</v>
      </c>
      <c r="F14" s="65">
        <f t="shared" si="18"/>
        <v>3</v>
      </c>
      <c r="G14" s="433">
        <f>G11</f>
        <v>1</v>
      </c>
      <c r="H14" s="64">
        <f t="shared" si="2"/>
        <v>16</v>
      </c>
      <c r="I14" s="111"/>
      <c r="J14" s="116" t="s">
        <v>541</v>
      </c>
      <c r="K14" s="80">
        <f>K11</f>
        <v>2</v>
      </c>
      <c r="L14" s="65">
        <f>L11</f>
        <v>4</v>
      </c>
      <c r="M14" s="80"/>
      <c r="N14" s="65"/>
      <c r="O14" s="64">
        <f t="shared" si="0"/>
        <v>6</v>
      </c>
      <c r="P14" s="111"/>
      <c r="Q14" s="116" t="s">
        <v>541</v>
      </c>
      <c r="R14" s="80">
        <f>R11</f>
        <v>4</v>
      </c>
      <c r="S14" s="65">
        <f>S11</f>
        <v>4</v>
      </c>
      <c r="T14" s="65">
        <f t="shared" ref="T14:U14" si="19">T11</f>
        <v>3</v>
      </c>
      <c r="U14" s="65">
        <f t="shared" si="19"/>
        <v>6</v>
      </c>
      <c r="V14" s="65">
        <f t="shared" ref="V14:W14" si="20">V11</f>
        <v>1</v>
      </c>
      <c r="W14" s="65">
        <f t="shared" si="20"/>
        <v>1</v>
      </c>
      <c r="X14" s="433">
        <f>X11</f>
        <v>1</v>
      </c>
      <c r="Y14" s="77">
        <f t="shared" si="5"/>
        <v>20</v>
      </c>
      <c r="AB14" s="1105"/>
      <c r="AD14" s="1108"/>
      <c r="AG14" s="1105"/>
      <c r="AI14" s="1108"/>
    </row>
    <row r="15" spans="1:35" ht="20.25">
      <c r="A15" s="111"/>
      <c r="B15" s="116" t="s">
        <v>542</v>
      </c>
      <c r="C15" s="80">
        <f>C11</f>
        <v>4</v>
      </c>
      <c r="D15" s="65">
        <f>D11</f>
        <v>4</v>
      </c>
      <c r="E15" s="65">
        <f t="shared" ref="E15:F15" si="21">E11</f>
        <v>4</v>
      </c>
      <c r="F15" s="65">
        <f t="shared" si="21"/>
        <v>3</v>
      </c>
      <c r="G15" s="433">
        <f>G11</f>
        <v>1</v>
      </c>
      <c r="H15" s="64">
        <f t="shared" si="2"/>
        <v>16</v>
      </c>
      <c r="I15" s="111"/>
      <c r="J15" s="116" t="s">
        <v>542</v>
      </c>
      <c r="K15" s="80">
        <f>K11</f>
        <v>2</v>
      </c>
      <c r="L15" s="65">
        <f>L11</f>
        <v>4</v>
      </c>
      <c r="M15" s="80"/>
      <c r="N15" s="65"/>
      <c r="O15" s="64">
        <f t="shared" si="0"/>
        <v>6</v>
      </c>
      <c r="P15" s="111"/>
      <c r="Q15" s="116" t="s">
        <v>542</v>
      </c>
      <c r="R15" s="80">
        <f>R11</f>
        <v>4</v>
      </c>
      <c r="S15" s="65">
        <f>S11</f>
        <v>4</v>
      </c>
      <c r="T15" s="65">
        <f t="shared" ref="T15:U15" si="22">T11</f>
        <v>3</v>
      </c>
      <c r="U15" s="65">
        <f t="shared" si="22"/>
        <v>6</v>
      </c>
      <c r="V15" s="65">
        <f t="shared" ref="V15:W15" si="23">V11</f>
        <v>1</v>
      </c>
      <c r="W15" s="65">
        <f t="shared" si="23"/>
        <v>1</v>
      </c>
      <c r="X15" s="433">
        <f>X11</f>
        <v>1</v>
      </c>
      <c r="Y15" s="77">
        <f t="shared" si="5"/>
        <v>20</v>
      </c>
      <c r="AB15" s="1106"/>
      <c r="AD15" s="1109"/>
      <c r="AG15" s="1106"/>
      <c r="AI15" s="1109"/>
    </row>
    <row r="16" spans="1:35" ht="24">
      <c r="A16" s="111"/>
      <c r="B16" s="116" t="s">
        <v>251</v>
      </c>
      <c r="C16" s="80">
        <v>1</v>
      </c>
      <c r="D16" s="65">
        <v>1</v>
      </c>
      <c r="E16" s="65">
        <f t="shared" ref="E16:F16" si="24">E11</f>
        <v>4</v>
      </c>
      <c r="F16" s="65">
        <f t="shared" si="24"/>
        <v>3</v>
      </c>
      <c r="G16" s="433">
        <f>G11</f>
        <v>1</v>
      </c>
      <c r="H16" s="64">
        <f t="shared" si="2"/>
        <v>10</v>
      </c>
      <c r="I16" s="111"/>
      <c r="J16" s="116" t="s">
        <v>251</v>
      </c>
      <c r="K16" s="80">
        <v>1</v>
      </c>
      <c r="L16" s="65">
        <v>1</v>
      </c>
      <c r="M16" s="80"/>
      <c r="N16" s="65"/>
      <c r="O16" s="64">
        <f t="shared" si="0"/>
        <v>2</v>
      </c>
      <c r="P16" s="111"/>
      <c r="Q16" s="116" t="s">
        <v>251</v>
      </c>
      <c r="R16" s="80">
        <v>1</v>
      </c>
      <c r="S16" s="65">
        <v>1</v>
      </c>
      <c r="T16" s="65">
        <v>1</v>
      </c>
      <c r="U16" s="65">
        <v>1</v>
      </c>
      <c r="V16" s="65">
        <v>1</v>
      </c>
      <c r="W16" s="65">
        <v>1</v>
      </c>
      <c r="X16" s="433">
        <f>X11</f>
        <v>1</v>
      </c>
      <c r="Y16" s="77">
        <f t="shared" si="5"/>
        <v>7</v>
      </c>
      <c r="AB16" s="463">
        <v>3500</v>
      </c>
      <c r="AD16" s="464">
        <v>120</v>
      </c>
      <c r="AG16" s="463">
        <v>3500</v>
      </c>
      <c r="AI16" s="464">
        <v>120</v>
      </c>
    </row>
    <row r="17" spans="1:35" ht="24">
      <c r="A17" s="111"/>
      <c r="B17" s="116" t="s">
        <v>577</v>
      </c>
      <c r="C17" s="80">
        <v>4</v>
      </c>
      <c r="D17" s="79"/>
      <c r="E17" s="79">
        <v>6</v>
      </c>
      <c r="F17" s="79"/>
      <c r="G17" s="434"/>
      <c r="H17" s="64">
        <f t="shared" si="2"/>
        <v>10</v>
      </c>
      <c r="I17" s="111"/>
      <c r="J17" s="116" t="s">
        <v>577</v>
      </c>
      <c r="K17" s="80">
        <v>4</v>
      </c>
      <c r="L17" s="79"/>
      <c r="M17" s="80"/>
      <c r="N17" s="79"/>
      <c r="O17" s="64">
        <f t="shared" si="0"/>
        <v>4</v>
      </c>
      <c r="P17" s="111"/>
      <c r="Q17" s="116" t="s">
        <v>577</v>
      </c>
      <c r="R17" s="80">
        <v>5</v>
      </c>
      <c r="S17" s="79"/>
      <c r="T17" s="79">
        <v>3</v>
      </c>
      <c r="U17" s="79"/>
      <c r="V17" s="79"/>
      <c r="W17" s="79"/>
      <c r="X17" s="434"/>
      <c r="Y17" s="77">
        <f t="shared" si="5"/>
        <v>8</v>
      </c>
      <c r="AB17" s="468">
        <v>5500</v>
      </c>
      <c r="AD17" s="469">
        <v>450</v>
      </c>
      <c r="AG17" s="468">
        <v>5500</v>
      </c>
      <c r="AI17" s="469">
        <v>450</v>
      </c>
    </row>
    <row r="18" spans="1:35" ht="24">
      <c r="A18" s="111"/>
      <c r="B18" s="117" t="s">
        <v>543</v>
      </c>
      <c r="C18" s="81">
        <v>1</v>
      </c>
      <c r="D18" s="79"/>
      <c r="E18" s="79"/>
      <c r="F18" s="79"/>
      <c r="G18" s="434"/>
      <c r="H18" s="64">
        <f t="shared" si="2"/>
        <v>1</v>
      </c>
      <c r="I18" s="111"/>
      <c r="J18" s="117" t="s">
        <v>543</v>
      </c>
      <c r="K18" s="81">
        <v>1</v>
      </c>
      <c r="L18" s="79">
        <v>1</v>
      </c>
      <c r="M18" s="81"/>
      <c r="N18" s="79"/>
      <c r="O18" s="64">
        <f t="shared" si="0"/>
        <v>2</v>
      </c>
      <c r="P18" s="111"/>
      <c r="Q18" s="117" t="s">
        <v>543</v>
      </c>
      <c r="R18" s="81"/>
      <c r="S18" s="79"/>
      <c r="T18" s="79"/>
      <c r="U18" s="79"/>
      <c r="V18" s="79">
        <v>4</v>
      </c>
      <c r="W18" s="79">
        <v>3</v>
      </c>
      <c r="X18" s="434"/>
      <c r="Y18" s="77">
        <f t="shared" si="5"/>
        <v>7</v>
      </c>
      <c r="AB18" s="463">
        <v>18000</v>
      </c>
      <c r="AD18" s="464">
        <v>170</v>
      </c>
      <c r="AG18" s="463">
        <v>400</v>
      </c>
      <c r="AI18" s="464">
        <v>170</v>
      </c>
    </row>
    <row r="19" spans="1:35" ht="24">
      <c r="A19" s="111"/>
      <c r="B19" s="117" t="s">
        <v>544</v>
      </c>
      <c r="C19" s="81">
        <v>1</v>
      </c>
      <c r="D19" s="79">
        <v>1</v>
      </c>
      <c r="E19" s="79">
        <v>1</v>
      </c>
      <c r="F19" s="79">
        <v>1</v>
      </c>
      <c r="G19" s="434"/>
      <c r="H19" s="64">
        <f t="shared" si="2"/>
        <v>4</v>
      </c>
      <c r="I19" s="111"/>
      <c r="J19" s="117" t="s">
        <v>544</v>
      </c>
      <c r="K19" s="81">
        <v>1</v>
      </c>
      <c r="L19" s="79">
        <v>1</v>
      </c>
      <c r="M19" s="81"/>
      <c r="N19" s="79"/>
      <c r="O19" s="64">
        <f t="shared" si="0"/>
        <v>2</v>
      </c>
      <c r="P19" s="111"/>
      <c r="Q19" s="117" t="s">
        <v>544</v>
      </c>
      <c r="R19" s="81"/>
      <c r="S19" s="79"/>
      <c r="T19" s="79"/>
      <c r="U19" s="79"/>
      <c r="V19" s="79">
        <v>1</v>
      </c>
      <c r="W19" s="79">
        <v>1</v>
      </c>
      <c r="X19" s="434"/>
      <c r="Y19" s="77">
        <f t="shared" si="5"/>
        <v>2</v>
      </c>
      <c r="AB19" s="463">
        <v>370</v>
      </c>
      <c r="AD19" s="464">
        <v>120</v>
      </c>
      <c r="AG19" s="463">
        <v>370</v>
      </c>
      <c r="AI19" s="464">
        <v>120</v>
      </c>
    </row>
    <row r="20" spans="1:35" ht="24">
      <c r="A20" s="111"/>
      <c r="B20" s="117" t="s">
        <v>545</v>
      </c>
      <c r="C20" s="81">
        <v>1</v>
      </c>
      <c r="D20" s="79">
        <v>1</v>
      </c>
      <c r="E20" s="79">
        <v>1</v>
      </c>
      <c r="F20" s="79">
        <v>1</v>
      </c>
      <c r="G20" s="434"/>
      <c r="H20" s="64">
        <f t="shared" si="2"/>
        <v>4</v>
      </c>
      <c r="I20" s="111"/>
      <c r="J20" s="117" t="s">
        <v>545</v>
      </c>
      <c r="K20" s="81">
        <v>1</v>
      </c>
      <c r="L20" s="79">
        <v>1</v>
      </c>
      <c r="M20" s="81"/>
      <c r="N20" s="79"/>
      <c r="O20" s="64">
        <f t="shared" si="0"/>
        <v>2</v>
      </c>
      <c r="P20" s="111"/>
      <c r="Q20" s="117" t="s">
        <v>545</v>
      </c>
      <c r="R20" s="81"/>
      <c r="S20" s="79"/>
      <c r="T20" s="79"/>
      <c r="U20" s="79"/>
      <c r="V20" s="79">
        <v>1</v>
      </c>
      <c r="W20" s="79">
        <v>1</v>
      </c>
      <c r="X20" s="434"/>
      <c r="Y20" s="77">
        <f t="shared" si="5"/>
        <v>2</v>
      </c>
      <c r="AB20" s="463">
        <v>180</v>
      </c>
      <c r="AD20" s="464">
        <v>130</v>
      </c>
      <c r="AG20" s="463">
        <v>180</v>
      </c>
      <c r="AI20" s="464">
        <v>130</v>
      </c>
    </row>
    <row r="21" spans="1:35" ht="24">
      <c r="A21" s="111"/>
      <c r="B21" s="117" t="s">
        <v>573</v>
      </c>
      <c r="C21" s="81"/>
      <c r="D21" s="79"/>
      <c r="E21" s="81"/>
      <c r="F21" s="79"/>
      <c r="G21" s="434">
        <v>1</v>
      </c>
      <c r="H21" s="64">
        <f t="shared" si="2"/>
        <v>1</v>
      </c>
      <c r="I21" s="111"/>
      <c r="J21" s="117" t="s">
        <v>573</v>
      </c>
      <c r="K21" s="81"/>
      <c r="L21" s="79"/>
      <c r="M21" s="81"/>
      <c r="N21" s="79"/>
      <c r="O21" s="64"/>
      <c r="P21" s="111"/>
      <c r="Q21" s="117" t="s">
        <v>573</v>
      </c>
      <c r="R21" s="81"/>
      <c r="S21" s="79"/>
      <c r="T21" s="81"/>
      <c r="U21" s="79"/>
      <c r="V21" s="81"/>
      <c r="W21" s="79"/>
      <c r="X21" s="434">
        <v>1</v>
      </c>
      <c r="Y21" s="77">
        <f t="shared" si="5"/>
        <v>1</v>
      </c>
      <c r="AB21" s="463">
        <v>2200</v>
      </c>
      <c r="AD21" s="464">
        <v>105</v>
      </c>
      <c r="AG21" s="463">
        <v>2200</v>
      </c>
      <c r="AI21" s="464">
        <v>105</v>
      </c>
    </row>
    <row r="22" spans="1:35" ht="24">
      <c r="A22" s="111"/>
      <c r="B22" s="117" t="s">
        <v>574</v>
      </c>
      <c r="C22" s="81"/>
      <c r="D22" s="79"/>
      <c r="E22" s="81"/>
      <c r="F22" s="79"/>
      <c r="G22" s="434">
        <v>2</v>
      </c>
      <c r="H22" s="64">
        <f t="shared" si="2"/>
        <v>2</v>
      </c>
      <c r="I22" s="111"/>
      <c r="J22" s="117" t="s">
        <v>574</v>
      </c>
      <c r="K22" s="81"/>
      <c r="L22" s="79"/>
      <c r="M22" s="81"/>
      <c r="N22" s="79"/>
      <c r="O22" s="64"/>
      <c r="P22" s="111"/>
      <c r="Q22" s="117" t="s">
        <v>574</v>
      </c>
      <c r="R22" s="81"/>
      <c r="S22" s="79"/>
      <c r="T22" s="81"/>
      <c r="U22" s="79"/>
      <c r="V22" s="81"/>
      <c r="W22" s="79"/>
      <c r="X22" s="434">
        <v>1</v>
      </c>
      <c r="Y22" s="77">
        <f t="shared" si="5"/>
        <v>1</v>
      </c>
      <c r="AB22" s="463">
        <v>3400</v>
      </c>
      <c r="AD22" s="464">
        <v>105</v>
      </c>
      <c r="AG22" s="463">
        <v>3400</v>
      </c>
      <c r="AI22" s="464">
        <v>105</v>
      </c>
    </row>
    <row r="23" spans="1:35" ht="24">
      <c r="A23" s="111"/>
      <c r="B23" s="117" t="s">
        <v>546</v>
      </c>
      <c r="C23" s="81">
        <v>1</v>
      </c>
      <c r="D23" s="79">
        <v>1</v>
      </c>
      <c r="E23" s="81">
        <v>1</v>
      </c>
      <c r="F23" s="79">
        <v>1</v>
      </c>
      <c r="G23" s="434">
        <v>1</v>
      </c>
      <c r="H23" s="64">
        <f t="shared" si="2"/>
        <v>5</v>
      </c>
      <c r="I23" s="111"/>
      <c r="J23" s="117" t="s">
        <v>546</v>
      </c>
      <c r="K23" s="81">
        <v>1</v>
      </c>
      <c r="L23" s="79">
        <v>1</v>
      </c>
      <c r="M23" s="81"/>
      <c r="N23" s="79"/>
      <c r="O23" s="64">
        <f t="shared" si="0"/>
        <v>2</v>
      </c>
      <c r="P23" s="111"/>
      <c r="Q23" s="117" t="s">
        <v>546</v>
      </c>
      <c r="R23" s="81">
        <v>1</v>
      </c>
      <c r="S23" s="79">
        <v>1</v>
      </c>
      <c r="T23" s="81">
        <v>1</v>
      </c>
      <c r="U23" s="79">
        <v>1</v>
      </c>
      <c r="V23" s="81">
        <v>1</v>
      </c>
      <c r="W23" s="79">
        <v>1</v>
      </c>
      <c r="X23" s="434">
        <v>1</v>
      </c>
      <c r="Y23" s="77">
        <f t="shared" si="5"/>
        <v>7</v>
      </c>
      <c r="AB23" s="463">
        <v>125</v>
      </c>
      <c r="AD23" s="464">
        <v>25</v>
      </c>
      <c r="AG23" s="463">
        <v>125</v>
      </c>
      <c r="AI23" s="464">
        <v>25</v>
      </c>
    </row>
    <row r="24" spans="1:35" ht="24">
      <c r="A24" s="111"/>
      <c r="B24" s="117" t="s">
        <v>547</v>
      </c>
      <c r="C24" s="81">
        <v>2</v>
      </c>
      <c r="D24" s="79">
        <v>2</v>
      </c>
      <c r="E24" s="81">
        <v>2</v>
      </c>
      <c r="F24" s="79">
        <v>2</v>
      </c>
      <c r="G24" s="434"/>
      <c r="H24" s="64">
        <f t="shared" si="2"/>
        <v>8</v>
      </c>
      <c r="I24" s="111"/>
      <c r="J24" s="117" t="s">
        <v>547</v>
      </c>
      <c r="K24" s="81">
        <v>2</v>
      </c>
      <c r="L24" s="79">
        <v>2</v>
      </c>
      <c r="M24" s="81"/>
      <c r="N24" s="79"/>
      <c r="O24" s="64">
        <f t="shared" si="0"/>
        <v>4</v>
      </c>
      <c r="P24" s="111"/>
      <c r="Q24" s="117" t="s">
        <v>547</v>
      </c>
      <c r="R24" s="81">
        <v>2</v>
      </c>
      <c r="S24" s="79">
        <v>2</v>
      </c>
      <c r="T24" s="81">
        <v>2</v>
      </c>
      <c r="U24" s="79">
        <v>2</v>
      </c>
      <c r="V24" s="81">
        <v>2</v>
      </c>
      <c r="W24" s="79">
        <v>2</v>
      </c>
      <c r="X24" s="434"/>
      <c r="Y24" s="77">
        <f t="shared" si="5"/>
        <v>12</v>
      </c>
      <c r="AB24" s="463">
        <v>350</v>
      </c>
      <c r="AD24" s="464">
        <v>75</v>
      </c>
      <c r="AG24" s="463">
        <v>350</v>
      </c>
      <c r="AI24" s="464">
        <v>75</v>
      </c>
    </row>
    <row r="25" spans="1:35" ht="24">
      <c r="A25" s="111"/>
      <c r="B25" s="117" t="s">
        <v>42</v>
      </c>
      <c r="C25" s="81">
        <f>C7+C18</f>
        <v>5</v>
      </c>
      <c r="D25" s="79">
        <f>D7</f>
        <v>7</v>
      </c>
      <c r="E25" s="79">
        <f t="shared" ref="E25:F25" si="25">E7</f>
        <v>3</v>
      </c>
      <c r="F25" s="79">
        <f t="shared" si="25"/>
        <v>9</v>
      </c>
      <c r="G25" s="434"/>
      <c r="H25" s="64">
        <f t="shared" si="2"/>
        <v>24</v>
      </c>
      <c r="I25" s="111"/>
      <c r="J25" s="117" t="s">
        <v>42</v>
      </c>
      <c r="K25" s="81">
        <v>3</v>
      </c>
      <c r="L25" s="79">
        <v>5</v>
      </c>
      <c r="M25" s="81"/>
      <c r="N25" s="79"/>
      <c r="O25" s="64">
        <f t="shared" si="0"/>
        <v>8</v>
      </c>
      <c r="P25" s="111"/>
      <c r="Q25" s="117" t="s">
        <v>42</v>
      </c>
      <c r="R25" s="81">
        <f>R7+R18</f>
        <v>5</v>
      </c>
      <c r="S25" s="79">
        <f>S7</f>
        <v>5</v>
      </c>
      <c r="T25" s="79">
        <f t="shared" ref="T25:U25" si="26">T7</f>
        <v>5</v>
      </c>
      <c r="U25" s="79">
        <f t="shared" si="26"/>
        <v>5</v>
      </c>
      <c r="V25" s="79">
        <f>V7+V18</f>
        <v>4</v>
      </c>
      <c r="W25" s="79">
        <f>W7+W18</f>
        <v>3</v>
      </c>
      <c r="X25" s="434"/>
      <c r="Y25" s="77">
        <f t="shared" si="5"/>
        <v>27</v>
      </c>
      <c r="AB25" s="463">
        <v>20535</v>
      </c>
      <c r="AD25" s="464">
        <v>1250</v>
      </c>
      <c r="AG25" s="463">
        <v>13400</v>
      </c>
      <c r="AI25" s="464">
        <v>850</v>
      </c>
    </row>
    <row r="26" spans="1:35" ht="24">
      <c r="A26" s="111"/>
      <c r="B26" s="117" t="s">
        <v>252</v>
      </c>
      <c r="C26" s="81">
        <v>3</v>
      </c>
      <c r="D26" s="67"/>
      <c r="E26" s="79">
        <v>5</v>
      </c>
      <c r="F26" s="67"/>
      <c r="G26" s="435"/>
      <c r="H26" s="64">
        <f t="shared" si="2"/>
        <v>8</v>
      </c>
      <c r="I26" s="111"/>
      <c r="J26" s="117" t="s">
        <v>252</v>
      </c>
      <c r="K26" s="81">
        <v>3</v>
      </c>
      <c r="L26" s="67"/>
      <c r="M26" s="79"/>
      <c r="N26" s="67"/>
      <c r="O26" s="64">
        <f t="shared" si="0"/>
        <v>3</v>
      </c>
      <c r="P26" s="111"/>
      <c r="Q26" s="117" t="s">
        <v>252</v>
      </c>
      <c r="R26" s="81">
        <v>4</v>
      </c>
      <c r="S26" s="67"/>
      <c r="T26" s="79">
        <v>2</v>
      </c>
      <c r="U26" s="67"/>
      <c r="V26" s="79"/>
      <c r="W26" s="67"/>
      <c r="X26" s="435"/>
      <c r="Y26" s="77">
        <f t="shared" si="5"/>
        <v>6</v>
      </c>
      <c r="AB26" s="463">
        <v>6000</v>
      </c>
      <c r="AD26" s="464">
        <v>0</v>
      </c>
      <c r="AG26" s="463">
        <v>6000</v>
      </c>
      <c r="AI26" s="464">
        <v>0</v>
      </c>
    </row>
    <row r="27" spans="1:35" ht="24">
      <c r="A27" s="111"/>
      <c r="B27" s="117" t="s">
        <v>43</v>
      </c>
      <c r="C27" s="81">
        <f>ROUNDUP((0.6*4.1)+(0.6*0.25)+(0.25*4.1)+(0.15*4.1)+(0.15*3.2)+(0.2*4.2),0)</f>
        <v>6</v>
      </c>
      <c r="D27" s="81">
        <f>ROUNDUP((0.6*3.75)+(0.6*0.25)+(0.25*3.75)+(0.15*3.75)+(0.15*3.2)+(0.3*3.2),0)</f>
        <v>6</v>
      </c>
      <c r="E27" s="81">
        <f>ROUNDUP((0.6*3.5)+(0.6*0.25)+(0.25*3.5)+(0.15*3.5)+(0.15*3),0)</f>
        <v>5</v>
      </c>
      <c r="F27" s="81">
        <f>ROUNDUP((0.6*8.7)+(0.6*0.25)+(0.25*8.7)+(0.15*8.7)+(0.15*10),0)</f>
        <v>11</v>
      </c>
      <c r="G27" s="81">
        <f>ROUNDUP((0.6*1.5)+(0.6*0.25)+(0.25*1.5)+(0.15*1.5),0)</f>
        <v>2</v>
      </c>
      <c r="H27" s="64">
        <f t="shared" si="2"/>
        <v>30</v>
      </c>
      <c r="I27" s="111"/>
      <c r="J27" s="117" t="s">
        <v>43</v>
      </c>
      <c r="K27" s="81">
        <f>ROUNDUP((0.6*1.35)+(0.6*0.25)+(0.25*1.35)+(0.15*1.35),0)</f>
        <v>2</v>
      </c>
      <c r="L27" s="81">
        <f>ROUNDUP((0.6*1.75)+(0.6*0.25)+(0.25*1.75)+(0.15*1.75)+(0.3*2.78),0)</f>
        <v>3</v>
      </c>
      <c r="M27" s="81"/>
      <c r="N27" s="81"/>
      <c r="O27" s="64">
        <f t="shared" si="0"/>
        <v>5</v>
      </c>
      <c r="P27" s="111"/>
      <c r="Q27" s="117" t="s">
        <v>43</v>
      </c>
      <c r="R27" s="81">
        <f>ROUNDUP((0.6*3.7)+(0.6*0.25)+(0.25*3.7)+(0.15*3.7),0)</f>
        <v>4</v>
      </c>
      <c r="S27" s="81">
        <f>ROUNDUP((0.6*3)+(0.8*0.25)+(0.25*3)+(0.15*3),0)</f>
        <v>4</v>
      </c>
      <c r="T27" s="81">
        <f>ROUNDUP((0.6*2.8)+(0.6*0.25)+(0.25*2.8)+(0.15*2.8),0)</f>
        <v>3</v>
      </c>
      <c r="U27" s="81">
        <f>ROUNDUP((0.6*5.6)+(0.25*5.6)+(0.15*5.6),0)</f>
        <v>6</v>
      </c>
      <c r="V27" s="81">
        <f>ROUNDUP((0.6*1.3)+(0.6*0.25)+(0.25*1.3)+(0.15*1.3),0)</f>
        <v>2</v>
      </c>
      <c r="W27" s="81">
        <f>ROUNDUP((0.6*1.3)+(0.6*0.25)+(0.25*1.3)+(0.15*1.3),0)</f>
        <v>2</v>
      </c>
      <c r="X27" s="81">
        <f>ROUNDUP((0.6*1)+(0.6*0.25)+(0.25*1)+(0.15*1),0)</f>
        <v>2</v>
      </c>
      <c r="Y27" s="77">
        <f t="shared" si="5"/>
        <v>23</v>
      </c>
      <c r="AB27" s="463">
        <v>2500</v>
      </c>
      <c r="AD27" s="464">
        <v>250</v>
      </c>
      <c r="AG27" s="463">
        <v>2500</v>
      </c>
      <c r="AI27" s="464">
        <v>250</v>
      </c>
    </row>
    <row r="28" spans="1:35" ht="20.25">
      <c r="A28" s="111"/>
      <c r="B28" s="118" t="s">
        <v>39</v>
      </c>
      <c r="C28" s="81">
        <f>ROUNDUP(4.1,0)</f>
        <v>5</v>
      </c>
      <c r="D28" s="81">
        <v>4</v>
      </c>
      <c r="E28" s="81">
        <v>4</v>
      </c>
      <c r="F28" s="81">
        <v>9</v>
      </c>
      <c r="G28" s="436">
        <v>2</v>
      </c>
      <c r="H28" s="66">
        <f t="shared" si="2"/>
        <v>24</v>
      </c>
      <c r="I28" s="111"/>
      <c r="J28" s="118" t="s">
        <v>39</v>
      </c>
      <c r="K28" s="81">
        <v>2</v>
      </c>
      <c r="L28" s="81">
        <v>2</v>
      </c>
      <c r="M28" s="81"/>
      <c r="N28" s="81"/>
      <c r="O28" s="64">
        <f t="shared" si="0"/>
        <v>4</v>
      </c>
      <c r="P28" s="111"/>
      <c r="Q28" s="118" t="s">
        <v>39</v>
      </c>
      <c r="R28" s="81">
        <v>4</v>
      </c>
      <c r="S28" s="81">
        <v>3</v>
      </c>
      <c r="T28" s="81">
        <v>3</v>
      </c>
      <c r="U28" s="81">
        <v>6</v>
      </c>
      <c r="V28" s="81">
        <v>2</v>
      </c>
      <c r="W28" s="81">
        <v>2</v>
      </c>
      <c r="X28" s="436">
        <v>2</v>
      </c>
      <c r="Y28" s="77">
        <f t="shared" si="5"/>
        <v>22</v>
      </c>
    </row>
    <row r="29" spans="1:35" ht="20.25">
      <c r="A29" s="111"/>
      <c r="B29" s="116"/>
      <c r="C29" s="78"/>
      <c r="D29" s="65"/>
      <c r="E29" s="67"/>
      <c r="F29" s="67"/>
      <c r="G29" s="435"/>
      <c r="H29" s="64"/>
      <c r="I29" s="111"/>
      <c r="J29" s="116"/>
      <c r="K29" s="78"/>
      <c r="L29" s="65"/>
      <c r="M29" s="67"/>
      <c r="N29" s="67"/>
      <c r="O29" s="64"/>
      <c r="P29" s="111"/>
      <c r="Q29" s="116"/>
      <c r="R29" s="78"/>
      <c r="S29" s="65"/>
      <c r="T29" s="67"/>
      <c r="U29" s="67"/>
      <c r="V29" s="67"/>
      <c r="W29" s="67"/>
      <c r="X29" s="435"/>
      <c r="Y29" s="64"/>
    </row>
    <row r="30" spans="1:35" ht="20.25">
      <c r="A30" s="111"/>
      <c r="B30" s="116"/>
      <c r="C30" s="78"/>
      <c r="D30" s="65"/>
      <c r="E30" s="67"/>
      <c r="F30" s="67"/>
      <c r="G30" s="435"/>
      <c r="H30" s="64"/>
      <c r="I30" s="111"/>
      <c r="J30" s="116"/>
      <c r="K30" s="78"/>
      <c r="L30" s="65"/>
      <c r="M30" s="67"/>
      <c r="N30" s="67"/>
      <c r="O30" s="64"/>
      <c r="P30" s="111"/>
      <c r="Q30" s="116"/>
      <c r="R30" s="78"/>
      <c r="S30" s="65"/>
      <c r="T30" s="67"/>
      <c r="U30" s="67"/>
      <c r="V30" s="67"/>
      <c r="W30" s="67"/>
      <c r="X30" s="435"/>
      <c r="Y30" s="64"/>
    </row>
    <row r="31" spans="1:35" ht="20.25">
      <c r="A31" s="112"/>
      <c r="B31" s="119"/>
      <c r="C31" s="114"/>
      <c r="D31" s="76"/>
      <c r="E31" s="76"/>
      <c r="F31" s="76"/>
      <c r="G31" s="437"/>
      <c r="H31" s="75"/>
      <c r="I31" s="112"/>
      <c r="J31" s="119"/>
      <c r="K31" s="114"/>
      <c r="L31" s="76"/>
      <c r="M31" s="76"/>
      <c r="N31" s="76"/>
      <c r="O31" s="75"/>
      <c r="P31" s="112"/>
      <c r="Q31" s="119"/>
      <c r="R31" s="114"/>
      <c r="S31" s="76"/>
      <c r="T31" s="76"/>
      <c r="U31" s="76"/>
      <c r="V31" s="76"/>
      <c r="W31" s="76"/>
      <c r="X31" s="437"/>
      <c r="Y31" s="75"/>
    </row>
    <row r="32" spans="1:35" ht="20.25">
      <c r="A32" s="74"/>
      <c r="B32" s="73" t="s">
        <v>234</v>
      </c>
      <c r="C32" s="72"/>
      <c r="D32" s="71"/>
      <c r="E32" s="71"/>
      <c r="F32" s="71"/>
      <c r="G32" s="438"/>
      <c r="H32" s="70"/>
      <c r="I32" s="74"/>
      <c r="J32" s="73"/>
      <c r="K32" s="72"/>
      <c r="L32" s="71"/>
      <c r="M32" s="71"/>
      <c r="N32" s="71"/>
      <c r="O32" s="70"/>
      <c r="P32" s="74"/>
      <c r="Q32" s="73" t="s">
        <v>234</v>
      </c>
      <c r="R32" s="72"/>
      <c r="S32" s="71"/>
      <c r="T32" s="71"/>
      <c r="U32" s="71"/>
      <c r="V32" s="71"/>
      <c r="W32" s="71"/>
      <c r="X32" s="438"/>
      <c r="Y32" s="70"/>
    </row>
    <row r="33" spans="1:25" ht="20.25">
      <c r="A33" s="110"/>
      <c r="B33" s="115" t="s">
        <v>575</v>
      </c>
      <c r="C33" s="113">
        <v>4</v>
      </c>
      <c r="D33" s="69">
        <v>7</v>
      </c>
      <c r="E33" s="69">
        <v>3</v>
      </c>
      <c r="F33" s="69">
        <v>9</v>
      </c>
      <c r="G33" s="432">
        <v>1</v>
      </c>
      <c r="H33" s="68">
        <f>SUM(C33:G33)</f>
        <v>24</v>
      </c>
      <c r="I33" s="110"/>
      <c r="J33" s="115"/>
      <c r="K33" s="80">
        <v>1</v>
      </c>
      <c r="L33" s="69">
        <v>1</v>
      </c>
      <c r="M33" s="80">
        <v>1</v>
      </c>
      <c r="N33" s="69">
        <v>1</v>
      </c>
      <c r="O33" s="68">
        <f t="shared" ref="O33:O54" si="27">SUM(K33:N33)</f>
        <v>4</v>
      </c>
      <c r="P33" s="110"/>
      <c r="Q33" s="115" t="s">
        <v>575</v>
      </c>
      <c r="R33" s="113">
        <v>5</v>
      </c>
      <c r="S33" s="69">
        <v>5</v>
      </c>
      <c r="T33" s="69">
        <v>5</v>
      </c>
      <c r="U33" s="69">
        <v>5</v>
      </c>
      <c r="V33" s="69"/>
      <c r="W33" s="69"/>
      <c r="X33" s="432">
        <v>1</v>
      </c>
      <c r="Y33" s="68">
        <f>SUM(R33:X33)</f>
        <v>21</v>
      </c>
    </row>
    <row r="34" spans="1:25" ht="20.25">
      <c r="A34" s="111"/>
      <c r="B34" s="116" t="s">
        <v>536</v>
      </c>
      <c r="C34" s="80">
        <f>C33</f>
        <v>4</v>
      </c>
      <c r="D34" s="65">
        <f>D33</f>
        <v>7</v>
      </c>
      <c r="E34" s="65">
        <f t="shared" ref="E34" si="28">E33</f>
        <v>3</v>
      </c>
      <c r="F34" s="65">
        <f t="shared" ref="F34" si="29">F33</f>
        <v>9</v>
      </c>
      <c r="G34" s="433">
        <f>G33</f>
        <v>1</v>
      </c>
      <c r="H34" s="64">
        <f t="shared" ref="H34:H54" si="30">SUM(C34:G34)</f>
        <v>24</v>
      </c>
      <c r="I34" s="111"/>
      <c r="J34" s="116"/>
      <c r="K34" s="80">
        <v>1</v>
      </c>
      <c r="L34" s="65">
        <v>1</v>
      </c>
      <c r="M34" s="80">
        <v>1</v>
      </c>
      <c r="N34" s="65">
        <v>1</v>
      </c>
      <c r="O34" s="64">
        <f t="shared" si="27"/>
        <v>4</v>
      </c>
      <c r="P34" s="111"/>
      <c r="Q34" s="116" t="s">
        <v>536</v>
      </c>
      <c r="R34" s="80">
        <f>R33</f>
        <v>5</v>
      </c>
      <c r="S34" s="65">
        <f>S33</f>
        <v>5</v>
      </c>
      <c r="T34" s="65">
        <f t="shared" ref="T34:W34" si="31">T33</f>
        <v>5</v>
      </c>
      <c r="U34" s="65">
        <f t="shared" si="31"/>
        <v>5</v>
      </c>
      <c r="V34" s="65">
        <f t="shared" si="31"/>
        <v>0</v>
      </c>
      <c r="W34" s="65">
        <f t="shared" si="31"/>
        <v>0</v>
      </c>
      <c r="X34" s="433">
        <f>X33</f>
        <v>1</v>
      </c>
      <c r="Y34" s="68">
        <f t="shared" ref="Y34:Y54" si="32">SUM(R34:X34)</f>
        <v>21</v>
      </c>
    </row>
    <row r="35" spans="1:25" ht="20.25">
      <c r="A35" s="111"/>
      <c r="B35" s="116" t="s">
        <v>537</v>
      </c>
      <c r="C35" s="80">
        <f>C33</f>
        <v>4</v>
      </c>
      <c r="D35" s="65">
        <f>D33</f>
        <v>7</v>
      </c>
      <c r="E35" s="65">
        <f t="shared" ref="E35:F35" si="33">E33</f>
        <v>3</v>
      </c>
      <c r="F35" s="65">
        <f t="shared" si="33"/>
        <v>9</v>
      </c>
      <c r="G35" s="433">
        <f>G33</f>
        <v>1</v>
      </c>
      <c r="H35" s="64">
        <f t="shared" si="30"/>
        <v>24</v>
      </c>
      <c r="I35" s="111"/>
      <c r="J35" s="116"/>
      <c r="K35" s="80">
        <v>1</v>
      </c>
      <c r="L35" s="65">
        <v>1</v>
      </c>
      <c r="M35" s="80">
        <v>1</v>
      </c>
      <c r="N35" s="65">
        <v>1</v>
      </c>
      <c r="O35" s="64">
        <f t="shared" si="27"/>
        <v>4</v>
      </c>
      <c r="P35" s="111"/>
      <c r="Q35" s="116" t="s">
        <v>537</v>
      </c>
      <c r="R35" s="80">
        <f>R33</f>
        <v>5</v>
      </c>
      <c r="S35" s="65">
        <f>S33</f>
        <v>5</v>
      </c>
      <c r="T35" s="65">
        <f t="shared" ref="T35:W35" si="34">T33</f>
        <v>5</v>
      </c>
      <c r="U35" s="65">
        <f t="shared" si="34"/>
        <v>5</v>
      </c>
      <c r="V35" s="65">
        <f t="shared" si="34"/>
        <v>0</v>
      </c>
      <c r="W35" s="65">
        <f t="shared" si="34"/>
        <v>0</v>
      </c>
      <c r="X35" s="433">
        <f>X33</f>
        <v>1</v>
      </c>
      <c r="Y35" s="68">
        <f t="shared" si="32"/>
        <v>21</v>
      </c>
    </row>
    <row r="36" spans="1:25" ht="20.25">
      <c r="A36" s="111"/>
      <c r="B36" s="116" t="s">
        <v>576</v>
      </c>
      <c r="C36" s="80">
        <f>C33</f>
        <v>4</v>
      </c>
      <c r="D36" s="65">
        <f>D33</f>
        <v>7</v>
      </c>
      <c r="E36" s="65">
        <f t="shared" ref="E36:F36" si="35">E33</f>
        <v>3</v>
      </c>
      <c r="F36" s="65">
        <f t="shared" si="35"/>
        <v>9</v>
      </c>
      <c r="G36" s="433">
        <f>G33</f>
        <v>1</v>
      </c>
      <c r="H36" s="64">
        <f t="shared" si="30"/>
        <v>24</v>
      </c>
      <c r="I36" s="111"/>
      <c r="J36" s="116"/>
      <c r="K36" s="80">
        <v>1</v>
      </c>
      <c r="L36" s="65">
        <v>1</v>
      </c>
      <c r="M36" s="80">
        <v>1</v>
      </c>
      <c r="N36" s="65">
        <v>1</v>
      </c>
      <c r="O36" s="64">
        <f t="shared" si="27"/>
        <v>4</v>
      </c>
      <c r="P36" s="111"/>
      <c r="Q36" s="116" t="s">
        <v>576</v>
      </c>
      <c r="R36" s="80">
        <f>R33</f>
        <v>5</v>
      </c>
      <c r="S36" s="65">
        <f>S33</f>
        <v>5</v>
      </c>
      <c r="T36" s="65">
        <f t="shared" ref="T36:W36" si="36">T33</f>
        <v>5</v>
      </c>
      <c r="U36" s="65">
        <f t="shared" si="36"/>
        <v>5</v>
      </c>
      <c r="V36" s="65">
        <f t="shared" si="36"/>
        <v>0</v>
      </c>
      <c r="W36" s="65">
        <f t="shared" si="36"/>
        <v>0</v>
      </c>
      <c r="X36" s="433">
        <f>X33</f>
        <v>1</v>
      </c>
      <c r="Y36" s="68">
        <f t="shared" si="32"/>
        <v>21</v>
      </c>
    </row>
    <row r="37" spans="1:25" ht="20.25">
      <c r="A37" s="111"/>
      <c r="B37" s="116" t="s">
        <v>538</v>
      </c>
      <c r="C37" s="80">
        <v>4</v>
      </c>
      <c r="D37" s="65">
        <v>4</v>
      </c>
      <c r="E37" s="65">
        <v>4</v>
      </c>
      <c r="F37" s="65">
        <v>3</v>
      </c>
      <c r="G37" s="433">
        <v>1</v>
      </c>
      <c r="H37" s="64">
        <f t="shared" si="30"/>
        <v>16</v>
      </c>
      <c r="I37" s="111"/>
      <c r="J37" s="116"/>
      <c r="K37" s="80">
        <v>1</v>
      </c>
      <c r="L37" s="65">
        <v>1</v>
      </c>
      <c r="M37" s="80">
        <v>1</v>
      </c>
      <c r="N37" s="65">
        <v>1</v>
      </c>
      <c r="O37" s="64">
        <f t="shared" si="27"/>
        <v>4</v>
      </c>
      <c r="P37" s="111"/>
      <c r="Q37" s="116" t="s">
        <v>538</v>
      </c>
      <c r="R37" s="80">
        <v>4</v>
      </c>
      <c r="S37" s="65">
        <v>4</v>
      </c>
      <c r="T37" s="65">
        <v>3</v>
      </c>
      <c r="U37" s="65">
        <v>6</v>
      </c>
      <c r="V37" s="65"/>
      <c r="W37" s="65"/>
      <c r="X37" s="433">
        <v>1</v>
      </c>
      <c r="Y37" s="68">
        <f t="shared" si="32"/>
        <v>18</v>
      </c>
    </row>
    <row r="38" spans="1:25" ht="20.25">
      <c r="A38" s="111"/>
      <c r="B38" s="116" t="s">
        <v>539</v>
      </c>
      <c r="C38" s="80">
        <f>C37</f>
        <v>4</v>
      </c>
      <c r="D38" s="65">
        <f>D37</f>
        <v>4</v>
      </c>
      <c r="E38" s="65">
        <f t="shared" ref="E38" si="37">E37</f>
        <v>4</v>
      </c>
      <c r="F38" s="65">
        <f t="shared" ref="F38" si="38">F37</f>
        <v>3</v>
      </c>
      <c r="G38" s="433">
        <f>G37</f>
        <v>1</v>
      </c>
      <c r="H38" s="64">
        <f t="shared" si="30"/>
        <v>16</v>
      </c>
      <c r="I38" s="111"/>
      <c r="J38" s="116"/>
      <c r="K38" s="80">
        <v>1</v>
      </c>
      <c r="L38" s="65">
        <v>1</v>
      </c>
      <c r="M38" s="80">
        <v>1</v>
      </c>
      <c r="N38" s="65">
        <v>1</v>
      </c>
      <c r="O38" s="64">
        <f t="shared" si="27"/>
        <v>4</v>
      </c>
      <c r="P38" s="111"/>
      <c r="Q38" s="116" t="s">
        <v>539</v>
      </c>
      <c r="R38" s="80">
        <f>R37</f>
        <v>4</v>
      </c>
      <c r="S38" s="65">
        <f>S37</f>
        <v>4</v>
      </c>
      <c r="T38" s="65">
        <f t="shared" ref="T38:W38" si="39">T37</f>
        <v>3</v>
      </c>
      <c r="U38" s="65">
        <f t="shared" si="39"/>
        <v>6</v>
      </c>
      <c r="V38" s="65">
        <f t="shared" si="39"/>
        <v>0</v>
      </c>
      <c r="W38" s="65">
        <f t="shared" si="39"/>
        <v>0</v>
      </c>
      <c r="X38" s="433">
        <f>X37</f>
        <v>1</v>
      </c>
      <c r="Y38" s="68">
        <f t="shared" si="32"/>
        <v>18</v>
      </c>
    </row>
    <row r="39" spans="1:25" ht="20.25">
      <c r="A39" s="111"/>
      <c r="B39" s="116" t="s">
        <v>540</v>
      </c>
      <c r="C39" s="80">
        <f>C37</f>
        <v>4</v>
      </c>
      <c r="D39" s="65">
        <f>D37</f>
        <v>4</v>
      </c>
      <c r="E39" s="65">
        <f t="shared" ref="E39:F39" si="40">E37</f>
        <v>4</v>
      </c>
      <c r="F39" s="65">
        <f t="shared" si="40"/>
        <v>3</v>
      </c>
      <c r="G39" s="433">
        <f>G37</f>
        <v>1</v>
      </c>
      <c r="H39" s="64">
        <f t="shared" si="30"/>
        <v>16</v>
      </c>
      <c r="I39" s="111"/>
      <c r="J39" s="116"/>
      <c r="K39" s="80">
        <v>1</v>
      </c>
      <c r="L39" s="65">
        <v>1</v>
      </c>
      <c r="M39" s="80">
        <v>1</v>
      </c>
      <c r="N39" s="65">
        <v>1</v>
      </c>
      <c r="O39" s="64">
        <f t="shared" si="27"/>
        <v>4</v>
      </c>
      <c r="P39" s="111"/>
      <c r="Q39" s="116" t="s">
        <v>540</v>
      </c>
      <c r="R39" s="80">
        <f>R37</f>
        <v>4</v>
      </c>
      <c r="S39" s="65">
        <f>S37</f>
        <v>4</v>
      </c>
      <c r="T39" s="65">
        <f t="shared" ref="T39:W39" si="41">T37</f>
        <v>3</v>
      </c>
      <c r="U39" s="65">
        <f t="shared" si="41"/>
        <v>6</v>
      </c>
      <c r="V39" s="65">
        <f t="shared" si="41"/>
        <v>0</v>
      </c>
      <c r="W39" s="65">
        <f t="shared" si="41"/>
        <v>0</v>
      </c>
      <c r="X39" s="433">
        <f>X37</f>
        <v>1</v>
      </c>
      <c r="Y39" s="68">
        <f t="shared" si="32"/>
        <v>18</v>
      </c>
    </row>
    <row r="40" spans="1:25" ht="20.25">
      <c r="A40" s="111"/>
      <c r="B40" s="116" t="s">
        <v>541</v>
      </c>
      <c r="C40" s="80">
        <f>C37</f>
        <v>4</v>
      </c>
      <c r="D40" s="65">
        <f>D37</f>
        <v>4</v>
      </c>
      <c r="E40" s="65">
        <f t="shared" ref="E40:F40" si="42">E37</f>
        <v>4</v>
      </c>
      <c r="F40" s="65">
        <f t="shared" si="42"/>
        <v>3</v>
      </c>
      <c r="G40" s="433">
        <f>G37</f>
        <v>1</v>
      </c>
      <c r="H40" s="64">
        <f t="shared" si="30"/>
        <v>16</v>
      </c>
      <c r="I40" s="111"/>
      <c r="J40" s="116"/>
      <c r="K40" s="80">
        <v>1</v>
      </c>
      <c r="L40" s="65">
        <v>1</v>
      </c>
      <c r="M40" s="80">
        <v>1</v>
      </c>
      <c r="N40" s="65">
        <v>1</v>
      </c>
      <c r="O40" s="64">
        <f t="shared" si="27"/>
        <v>4</v>
      </c>
      <c r="P40" s="111"/>
      <c r="Q40" s="116" t="s">
        <v>541</v>
      </c>
      <c r="R40" s="80">
        <f>R37</f>
        <v>4</v>
      </c>
      <c r="S40" s="65">
        <f>S37</f>
        <v>4</v>
      </c>
      <c r="T40" s="65">
        <f t="shared" ref="T40:W40" si="43">T37</f>
        <v>3</v>
      </c>
      <c r="U40" s="65">
        <f t="shared" si="43"/>
        <v>6</v>
      </c>
      <c r="V40" s="65">
        <f t="shared" si="43"/>
        <v>0</v>
      </c>
      <c r="W40" s="65">
        <f t="shared" si="43"/>
        <v>0</v>
      </c>
      <c r="X40" s="433">
        <f>X37</f>
        <v>1</v>
      </c>
      <c r="Y40" s="68">
        <f t="shared" si="32"/>
        <v>18</v>
      </c>
    </row>
    <row r="41" spans="1:25" ht="20.25">
      <c r="A41" s="111"/>
      <c r="B41" s="116" t="s">
        <v>542</v>
      </c>
      <c r="C41" s="80">
        <f>C37</f>
        <v>4</v>
      </c>
      <c r="D41" s="65">
        <f>D37</f>
        <v>4</v>
      </c>
      <c r="E41" s="65">
        <f t="shared" ref="E41:F41" si="44">E37</f>
        <v>4</v>
      </c>
      <c r="F41" s="65">
        <f t="shared" si="44"/>
        <v>3</v>
      </c>
      <c r="G41" s="433">
        <f>G37</f>
        <v>1</v>
      </c>
      <c r="H41" s="64">
        <f t="shared" si="30"/>
        <v>16</v>
      </c>
      <c r="I41" s="111"/>
      <c r="J41" s="116"/>
      <c r="K41" s="80">
        <v>1</v>
      </c>
      <c r="L41" s="65">
        <v>1</v>
      </c>
      <c r="M41" s="80">
        <v>1</v>
      </c>
      <c r="N41" s="65">
        <v>1</v>
      </c>
      <c r="O41" s="64">
        <f t="shared" si="27"/>
        <v>4</v>
      </c>
      <c r="P41" s="111"/>
      <c r="Q41" s="116" t="s">
        <v>542</v>
      </c>
      <c r="R41" s="80">
        <f>R37</f>
        <v>4</v>
      </c>
      <c r="S41" s="65">
        <f>S37</f>
        <v>4</v>
      </c>
      <c r="T41" s="65">
        <f t="shared" ref="T41:W41" si="45">T37</f>
        <v>3</v>
      </c>
      <c r="U41" s="65">
        <f t="shared" si="45"/>
        <v>6</v>
      </c>
      <c r="V41" s="65">
        <f t="shared" si="45"/>
        <v>0</v>
      </c>
      <c r="W41" s="65">
        <f t="shared" si="45"/>
        <v>0</v>
      </c>
      <c r="X41" s="433">
        <f>X37</f>
        <v>1</v>
      </c>
      <c r="Y41" s="68">
        <f t="shared" si="32"/>
        <v>18</v>
      </c>
    </row>
    <row r="42" spans="1:25" ht="20.25">
      <c r="A42" s="111"/>
      <c r="B42" s="116" t="s">
        <v>251</v>
      </c>
      <c r="C42" s="80">
        <v>1</v>
      </c>
      <c r="D42" s="80">
        <v>1</v>
      </c>
      <c r="E42" s="80">
        <v>1</v>
      </c>
      <c r="F42" s="80">
        <v>1</v>
      </c>
      <c r="G42" s="433">
        <f>G37</f>
        <v>1</v>
      </c>
      <c r="H42" s="64">
        <f t="shared" si="30"/>
        <v>5</v>
      </c>
      <c r="I42" s="111"/>
      <c r="J42" s="116"/>
      <c r="K42" s="81">
        <v>1</v>
      </c>
      <c r="L42" s="65">
        <v>1</v>
      </c>
      <c r="M42" s="81">
        <v>1</v>
      </c>
      <c r="N42" s="65">
        <v>1</v>
      </c>
      <c r="O42" s="64">
        <f t="shared" si="27"/>
        <v>4</v>
      </c>
      <c r="P42" s="111"/>
      <c r="Q42" s="116" t="s">
        <v>251</v>
      </c>
      <c r="R42" s="80">
        <v>1</v>
      </c>
      <c r="S42" s="65">
        <v>1</v>
      </c>
      <c r="T42" s="65">
        <v>1</v>
      </c>
      <c r="U42" s="65">
        <v>1</v>
      </c>
      <c r="V42" s="65"/>
      <c r="W42" s="65"/>
      <c r="X42" s="433">
        <f>X37</f>
        <v>1</v>
      </c>
      <c r="Y42" s="68">
        <f t="shared" si="32"/>
        <v>5</v>
      </c>
    </row>
    <row r="43" spans="1:25" ht="20.25">
      <c r="A43" s="111"/>
      <c r="B43" s="116" t="s">
        <v>577</v>
      </c>
      <c r="C43" s="80">
        <v>4</v>
      </c>
      <c r="D43" s="79"/>
      <c r="E43" s="79">
        <v>6</v>
      </c>
      <c r="F43" s="79"/>
      <c r="G43" s="434"/>
      <c r="H43" s="64">
        <f t="shared" si="30"/>
        <v>10</v>
      </c>
      <c r="I43" s="111"/>
      <c r="J43" s="116"/>
      <c r="K43" s="81">
        <v>1</v>
      </c>
      <c r="L43" s="79"/>
      <c r="M43" s="81">
        <v>1</v>
      </c>
      <c r="N43" s="79"/>
      <c r="O43" s="64">
        <f t="shared" si="27"/>
        <v>2</v>
      </c>
      <c r="P43" s="111"/>
      <c r="Q43" s="116" t="s">
        <v>577</v>
      </c>
      <c r="R43" s="80">
        <v>5</v>
      </c>
      <c r="S43" s="79"/>
      <c r="T43" s="79">
        <v>3</v>
      </c>
      <c r="U43" s="79"/>
      <c r="V43" s="79"/>
      <c r="W43" s="79"/>
      <c r="X43" s="434"/>
      <c r="Y43" s="68">
        <f t="shared" si="32"/>
        <v>8</v>
      </c>
    </row>
    <row r="44" spans="1:25" ht="20.25">
      <c r="A44" s="111"/>
      <c r="B44" s="117" t="s">
        <v>543</v>
      </c>
      <c r="C44" s="81">
        <v>1</v>
      </c>
      <c r="D44" s="79"/>
      <c r="E44" s="79"/>
      <c r="F44" s="79"/>
      <c r="G44" s="434"/>
      <c r="H44" s="64">
        <f t="shared" si="30"/>
        <v>1</v>
      </c>
      <c r="I44" s="111"/>
      <c r="J44" s="117"/>
      <c r="K44" s="81">
        <v>1</v>
      </c>
      <c r="L44" s="79">
        <v>1</v>
      </c>
      <c r="M44" s="81">
        <v>1</v>
      </c>
      <c r="N44" s="79">
        <v>1</v>
      </c>
      <c r="O44" s="64">
        <f t="shared" si="27"/>
        <v>4</v>
      </c>
      <c r="P44" s="111"/>
      <c r="Q44" s="117" t="s">
        <v>543</v>
      </c>
      <c r="R44" s="81"/>
      <c r="S44" s="79"/>
      <c r="T44" s="79"/>
      <c r="U44" s="79"/>
      <c r="V44" s="79"/>
      <c r="W44" s="79"/>
      <c r="X44" s="434"/>
      <c r="Y44" s="68">
        <f t="shared" si="32"/>
        <v>0</v>
      </c>
    </row>
    <row r="45" spans="1:25" ht="20.25">
      <c r="A45" s="111"/>
      <c r="B45" s="117" t="s">
        <v>544</v>
      </c>
      <c r="C45" s="81">
        <v>1</v>
      </c>
      <c r="D45" s="79">
        <v>1</v>
      </c>
      <c r="E45" s="79">
        <v>1</v>
      </c>
      <c r="F45" s="79">
        <v>1</v>
      </c>
      <c r="G45" s="434"/>
      <c r="H45" s="64">
        <f t="shared" si="30"/>
        <v>4</v>
      </c>
      <c r="I45" s="111"/>
      <c r="J45" s="117"/>
      <c r="K45" s="81">
        <v>1</v>
      </c>
      <c r="L45" s="79">
        <v>1</v>
      </c>
      <c r="M45" s="81">
        <v>1</v>
      </c>
      <c r="N45" s="79">
        <v>1</v>
      </c>
      <c r="O45" s="64">
        <f t="shared" si="27"/>
        <v>4</v>
      </c>
      <c r="P45" s="111"/>
      <c r="Q45" s="117" t="s">
        <v>544</v>
      </c>
      <c r="R45" s="81"/>
      <c r="S45" s="79"/>
      <c r="T45" s="79"/>
      <c r="U45" s="79"/>
      <c r="V45" s="79"/>
      <c r="W45" s="79"/>
      <c r="X45" s="434"/>
      <c r="Y45" s="68">
        <f t="shared" si="32"/>
        <v>0</v>
      </c>
    </row>
    <row r="46" spans="1:25" ht="20.25">
      <c r="A46" s="111"/>
      <c r="B46" s="117" t="s">
        <v>545</v>
      </c>
      <c r="C46" s="81">
        <v>1</v>
      </c>
      <c r="D46" s="79">
        <v>1</v>
      </c>
      <c r="E46" s="79">
        <v>1</v>
      </c>
      <c r="F46" s="79">
        <v>1</v>
      </c>
      <c r="G46" s="434"/>
      <c r="H46" s="64">
        <f t="shared" si="30"/>
        <v>4</v>
      </c>
      <c r="I46" s="111"/>
      <c r="J46" s="117"/>
      <c r="K46" s="81">
        <v>1</v>
      </c>
      <c r="L46" s="79">
        <v>1</v>
      </c>
      <c r="M46" s="81">
        <v>1</v>
      </c>
      <c r="N46" s="79">
        <v>1</v>
      </c>
      <c r="O46" s="64">
        <f t="shared" si="27"/>
        <v>4</v>
      </c>
      <c r="P46" s="111"/>
      <c r="Q46" s="117" t="s">
        <v>545</v>
      </c>
      <c r="R46" s="81"/>
      <c r="S46" s="79"/>
      <c r="T46" s="79"/>
      <c r="U46" s="79"/>
      <c r="V46" s="79"/>
      <c r="W46" s="79"/>
      <c r="X46" s="434"/>
      <c r="Y46" s="68">
        <f t="shared" si="32"/>
        <v>0</v>
      </c>
    </row>
    <row r="47" spans="1:25" ht="20.25">
      <c r="A47" s="111"/>
      <c r="B47" s="117" t="s">
        <v>573</v>
      </c>
      <c r="C47" s="81"/>
      <c r="D47" s="79"/>
      <c r="E47" s="81"/>
      <c r="F47" s="79"/>
      <c r="G47" s="434">
        <v>1</v>
      </c>
      <c r="H47" s="64">
        <f t="shared" si="30"/>
        <v>1</v>
      </c>
      <c r="I47" s="111"/>
      <c r="J47" s="117"/>
      <c r="K47" s="81"/>
      <c r="L47" s="79"/>
      <c r="M47" s="81"/>
      <c r="N47" s="79"/>
      <c r="O47" s="64"/>
      <c r="P47" s="111"/>
      <c r="Q47" s="117" t="s">
        <v>573</v>
      </c>
      <c r="R47" s="81"/>
      <c r="S47" s="79"/>
      <c r="T47" s="81"/>
      <c r="U47" s="79"/>
      <c r="V47" s="81"/>
      <c r="W47" s="79"/>
      <c r="X47" s="434">
        <v>1</v>
      </c>
      <c r="Y47" s="68">
        <f t="shared" si="32"/>
        <v>1</v>
      </c>
    </row>
    <row r="48" spans="1:25" ht="20.25">
      <c r="A48" s="111"/>
      <c r="B48" s="117" t="s">
        <v>574</v>
      </c>
      <c r="C48" s="81"/>
      <c r="D48" s="79"/>
      <c r="E48" s="81"/>
      <c r="F48" s="79"/>
      <c r="G48" s="434">
        <v>2</v>
      </c>
      <c r="H48" s="64">
        <f t="shared" si="30"/>
        <v>2</v>
      </c>
      <c r="I48" s="111"/>
      <c r="J48" s="117"/>
      <c r="K48" s="81"/>
      <c r="L48" s="79"/>
      <c r="M48" s="81"/>
      <c r="N48" s="79"/>
      <c r="O48" s="64"/>
      <c r="P48" s="111"/>
      <c r="Q48" s="117" t="s">
        <v>574</v>
      </c>
      <c r="R48" s="81"/>
      <c r="S48" s="79"/>
      <c r="T48" s="81"/>
      <c r="U48" s="79"/>
      <c r="V48" s="81"/>
      <c r="W48" s="79"/>
      <c r="X48" s="434">
        <v>1</v>
      </c>
      <c r="Y48" s="68">
        <f t="shared" si="32"/>
        <v>1</v>
      </c>
    </row>
    <row r="49" spans="1:25" ht="20.25">
      <c r="A49" s="111"/>
      <c r="B49" s="117" t="s">
        <v>546</v>
      </c>
      <c r="C49" s="81">
        <v>1</v>
      </c>
      <c r="D49" s="79">
        <v>1</v>
      </c>
      <c r="E49" s="81">
        <v>1</v>
      </c>
      <c r="F49" s="79">
        <v>1</v>
      </c>
      <c r="G49" s="434">
        <v>1</v>
      </c>
      <c r="H49" s="64">
        <f t="shared" si="30"/>
        <v>5</v>
      </c>
      <c r="I49" s="111"/>
      <c r="J49" s="117"/>
      <c r="K49" s="81">
        <v>1</v>
      </c>
      <c r="L49" s="79">
        <v>1</v>
      </c>
      <c r="M49" s="81">
        <v>1</v>
      </c>
      <c r="N49" s="79">
        <v>1</v>
      </c>
      <c r="O49" s="64">
        <f t="shared" si="27"/>
        <v>4</v>
      </c>
      <c r="P49" s="111"/>
      <c r="Q49" s="117" t="s">
        <v>546</v>
      </c>
      <c r="R49" s="81">
        <v>1</v>
      </c>
      <c r="S49" s="79">
        <v>1</v>
      </c>
      <c r="T49" s="81">
        <v>1</v>
      </c>
      <c r="U49" s="79">
        <v>1</v>
      </c>
      <c r="V49" s="81">
        <v>1</v>
      </c>
      <c r="W49" s="79">
        <v>1</v>
      </c>
      <c r="X49" s="434">
        <v>1</v>
      </c>
      <c r="Y49" s="68">
        <f t="shared" si="32"/>
        <v>7</v>
      </c>
    </row>
    <row r="50" spans="1:25" ht="20.25">
      <c r="A50" s="111"/>
      <c r="B50" s="117" t="s">
        <v>547</v>
      </c>
      <c r="C50" s="81">
        <v>2</v>
      </c>
      <c r="D50" s="79">
        <v>2</v>
      </c>
      <c r="E50" s="81">
        <v>2</v>
      </c>
      <c r="F50" s="79">
        <v>2</v>
      </c>
      <c r="G50" s="434"/>
      <c r="H50" s="64">
        <f t="shared" si="30"/>
        <v>8</v>
      </c>
      <c r="I50" s="111"/>
      <c r="J50" s="117"/>
      <c r="K50" s="81">
        <v>1</v>
      </c>
      <c r="L50" s="79">
        <v>1</v>
      </c>
      <c r="M50" s="81">
        <v>1</v>
      </c>
      <c r="N50" s="79">
        <v>1</v>
      </c>
      <c r="O50" s="64">
        <f t="shared" si="27"/>
        <v>4</v>
      </c>
      <c r="P50" s="111"/>
      <c r="Q50" s="117" t="s">
        <v>547</v>
      </c>
      <c r="R50" s="81">
        <v>2</v>
      </c>
      <c r="S50" s="79">
        <v>2</v>
      </c>
      <c r="T50" s="81">
        <v>2</v>
      </c>
      <c r="U50" s="79">
        <v>2</v>
      </c>
      <c r="V50" s="81">
        <v>2</v>
      </c>
      <c r="W50" s="79">
        <v>2</v>
      </c>
      <c r="X50" s="434"/>
      <c r="Y50" s="68">
        <f t="shared" si="32"/>
        <v>12</v>
      </c>
    </row>
    <row r="51" spans="1:25" ht="20.25">
      <c r="A51" s="111"/>
      <c r="B51" s="117" t="s">
        <v>42</v>
      </c>
      <c r="C51" s="81">
        <f>C33+C44</f>
        <v>5</v>
      </c>
      <c r="D51" s="79">
        <f>D33</f>
        <v>7</v>
      </c>
      <c r="E51" s="79">
        <f t="shared" ref="E51:F51" si="46">E33</f>
        <v>3</v>
      </c>
      <c r="F51" s="79">
        <f t="shared" si="46"/>
        <v>9</v>
      </c>
      <c r="G51" s="434"/>
      <c r="H51" s="64">
        <f t="shared" si="30"/>
        <v>24</v>
      </c>
      <c r="I51" s="111"/>
      <c r="J51" s="117"/>
      <c r="K51" s="81">
        <v>1</v>
      </c>
      <c r="L51" s="79">
        <v>1</v>
      </c>
      <c r="M51" s="80">
        <v>1</v>
      </c>
      <c r="N51" s="79">
        <v>1</v>
      </c>
      <c r="O51" s="64">
        <f t="shared" si="27"/>
        <v>4</v>
      </c>
      <c r="P51" s="111"/>
      <c r="Q51" s="117" t="s">
        <v>42</v>
      </c>
      <c r="R51" s="81">
        <f>R33+R44</f>
        <v>5</v>
      </c>
      <c r="S51" s="79">
        <f>S33</f>
        <v>5</v>
      </c>
      <c r="T51" s="79">
        <f t="shared" ref="T51:U51" si="47">T33</f>
        <v>5</v>
      </c>
      <c r="U51" s="79">
        <f t="shared" si="47"/>
        <v>5</v>
      </c>
      <c r="V51" s="79">
        <f>V33+V44</f>
        <v>0</v>
      </c>
      <c r="W51" s="79">
        <f>W33+W44</f>
        <v>0</v>
      </c>
      <c r="X51" s="434"/>
      <c r="Y51" s="68">
        <f t="shared" si="32"/>
        <v>20</v>
      </c>
    </row>
    <row r="52" spans="1:25" ht="20.25">
      <c r="A52" s="111"/>
      <c r="B52" s="117" t="s">
        <v>252</v>
      </c>
      <c r="C52" s="81">
        <v>3</v>
      </c>
      <c r="D52" s="67"/>
      <c r="E52" s="79">
        <v>5</v>
      </c>
      <c r="F52" s="67"/>
      <c r="G52" s="435"/>
      <c r="H52" s="64">
        <f t="shared" si="30"/>
        <v>8</v>
      </c>
      <c r="I52" s="111"/>
      <c r="J52" s="117"/>
      <c r="K52" s="81">
        <v>1</v>
      </c>
      <c r="L52" s="67"/>
      <c r="M52" s="65">
        <v>1</v>
      </c>
      <c r="N52" s="67"/>
      <c r="O52" s="64">
        <f t="shared" si="27"/>
        <v>2</v>
      </c>
      <c r="P52" s="111"/>
      <c r="Q52" s="117" t="s">
        <v>252</v>
      </c>
      <c r="R52" s="81">
        <v>4</v>
      </c>
      <c r="S52" s="67"/>
      <c r="T52" s="79">
        <v>2</v>
      </c>
      <c r="U52" s="67"/>
      <c r="V52" s="79"/>
      <c r="W52" s="67"/>
      <c r="X52" s="435"/>
      <c r="Y52" s="68">
        <f t="shared" si="32"/>
        <v>6</v>
      </c>
    </row>
    <row r="53" spans="1:25" ht="20.25">
      <c r="A53" s="111"/>
      <c r="B53" s="117" t="s">
        <v>43</v>
      </c>
      <c r="C53" s="81">
        <f>ROUNDUP((0.6*4.1)+(0.6*0.25)+(0.25*4.1)+(0.15*4.1)+(0.15*3.2)+(0.2*4.2),0)</f>
        <v>6</v>
      </c>
      <c r="D53" s="81">
        <f>ROUNDUP((0.6*3.75)+(0.6*0.25)+(0.25*3.75)+(0.15*3.75)+(0.15*3.2)+(0.3*3.2),0)</f>
        <v>6</v>
      </c>
      <c r="E53" s="81">
        <f>ROUNDUP((0.6*3.5)+(0.6*0.25)+(0.25*3.5)+(0.15*3.5)+(0.15*3),0)</f>
        <v>5</v>
      </c>
      <c r="F53" s="81">
        <f>ROUNDUP((0.6*8.7)+(0.6*0.25)+(0.25*8.7)+(0.15*8.7)+(0.15*10),0)</f>
        <v>11</v>
      </c>
      <c r="G53" s="81">
        <f>ROUNDUP((0.6*1.5)+(0.6*0.25)+(0.25*1.5)+(0.15*1.5),0)</f>
        <v>2</v>
      </c>
      <c r="H53" s="64">
        <f t="shared" si="30"/>
        <v>30</v>
      </c>
      <c r="I53" s="111"/>
      <c r="J53" s="117"/>
      <c r="K53" s="81">
        <f t="shared" ref="K53:N53" si="48">0.6*4.5</f>
        <v>2.6999999999999997</v>
      </c>
      <c r="L53" s="81">
        <f t="shared" si="48"/>
        <v>2.6999999999999997</v>
      </c>
      <c r="M53" s="81">
        <f t="shared" si="48"/>
        <v>2.6999999999999997</v>
      </c>
      <c r="N53" s="81">
        <f t="shared" si="48"/>
        <v>2.6999999999999997</v>
      </c>
      <c r="O53" s="64">
        <f t="shared" si="27"/>
        <v>10.799999999999999</v>
      </c>
      <c r="P53" s="111"/>
      <c r="Q53" s="117" t="s">
        <v>43</v>
      </c>
      <c r="R53" s="81">
        <f>ROUNDUP((0.6*3.7)+(0.6*0.25)+(0.25*3.7)+(0.15*3.7),0)</f>
        <v>4</v>
      </c>
      <c r="S53" s="81">
        <f>ROUNDUP((0.6*3)+(0.8*0.25)+(0.25*3)+(0.15*3),0)</f>
        <v>4</v>
      </c>
      <c r="T53" s="81">
        <f>ROUNDUP((0.6*2.8)+(0.6*0.25)+(0.25*2.8)+(0.15*2.8),0)</f>
        <v>3</v>
      </c>
      <c r="U53" s="81">
        <f>ROUNDUP((0.6*5.6)+(0.25*5.6)+(0.15*5.6),0)</f>
        <v>6</v>
      </c>
      <c r="V53" s="81">
        <f>ROUNDUP((0.6*1.3)+(0.6*0.25)+(0.25*1.3)+(0.15*1.3),0)</f>
        <v>2</v>
      </c>
      <c r="W53" s="81">
        <f>ROUNDUP((0.6*1.3)+(0.6*0.25)+(0.25*1.3)+(0.15*1.3),0)</f>
        <v>2</v>
      </c>
      <c r="X53" s="81">
        <f>ROUNDUP((0.6*1)+(0.6*0.25)+(0.25*1)+(0.15*1),0)</f>
        <v>2</v>
      </c>
      <c r="Y53" s="68">
        <f t="shared" si="32"/>
        <v>23</v>
      </c>
    </row>
    <row r="54" spans="1:25" ht="20.25">
      <c r="A54" s="111"/>
      <c r="B54" s="118" t="s">
        <v>39</v>
      </c>
      <c r="C54" s="81">
        <f>ROUNDUP(4.1,0)</f>
        <v>5</v>
      </c>
      <c r="D54" s="81">
        <v>4</v>
      </c>
      <c r="E54" s="81">
        <v>4</v>
      </c>
      <c r="F54" s="81">
        <v>9</v>
      </c>
      <c r="G54" s="436">
        <v>2</v>
      </c>
      <c r="H54" s="66">
        <f t="shared" si="30"/>
        <v>24</v>
      </c>
      <c r="I54" s="111"/>
      <c r="J54" s="118"/>
      <c r="K54" s="81">
        <v>4.5</v>
      </c>
      <c r="L54" s="81">
        <v>4.5</v>
      </c>
      <c r="M54" s="81">
        <v>4.5</v>
      </c>
      <c r="N54" s="81">
        <v>4.5</v>
      </c>
      <c r="O54" s="64">
        <f t="shared" si="27"/>
        <v>18</v>
      </c>
      <c r="P54" s="111"/>
      <c r="Q54" s="118" t="s">
        <v>39</v>
      </c>
      <c r="R54" s="81">
        <v>4</v>
      </c>
      <c r="S54" s="81">
        <v>3</v>
      </c>
      <c r="T54" s="81">
        <v>3</v>
      </c>
      <c r="U54" s="81">
        <v>6</v>
      </c>
      <c r="V54" s="81">
        <v>2</v>
      </c>
      <c r="W54" s="81">
        <v>2</v>
      </c>
      <c r="X54" s="436">
        <v>2</v>
      </c>
      <c r="Y54" s="68">
        <f t="shared" si="32"/>
        <v>22</v>
      </c>
    </row>
    <row r="55" spans="1:25" ht="20.25">
      <c r="A55" s="111"/>
      <c r="B55" s="118"/>
      <c r="C55" s="78"/>
      <c r="D55" s="67"/>
      <c r="E55" s="65"/>
      <c r="F55" s="67"/>
      <c r="G55" s="439"/>
      <c r="H55" s="66"/>
      <c r="I55" s="111"/>
      <c r="J55" s="118"/>
      <c r="K55" s="78"/>
      <c r="L55" s="67"/>
      <c r="M55" s="65"/>
      <c r="N55" s="67"/>
      <c r="O55" s="66"/>
      <c r="P55" s="111"/>
      <c r="Q55" s="118"/>
      <c r="R55" s="78"/>
      <c r="S55" s="67"/>
      <c r="T55" s="65"/>
      <c r="U55" s="67"/>
      <c r="V55" s="65"/>
      <c r="W55" s="67"/>
      <c r="X55" s="439"/>
      <c r="Y55" s="66"/>
    </row>
    <row r="56" spans="1:25" ht="20.25">
      <c r="A56" s="111"/>
      <c r="B56" s="119"/>
      <c r="C56" s="78"/>
      <c r="D56" s="67"/>
      <c r="E56" s="67"/>
      <c r="F56" s="67"/>
      <c r="G56" s="439"/>
      <c r="H56" s="66"/>
      <c r="I56" s="111"/>
      <c r="J56" s="119"/>
      <c r="K56" s="78"/>
      <c r="L56" s="67"/>
      <c r="M56" s="67"/>
      <c r="N56" s="67"/>
      <c r="O56" s="66"/>
      <c r="P56" s="111"/>
      <c r="Q56" s="119"/>
      <c r="R56" s="78"/>
      <c r="S56" s="67"/>
      <c r="T56" s="67"/>
      <c r="U56" s="67"/>
      <c r="V56" s="67"/>
      <c r="W56" s="67"/>
      <c r="X56" s="439"/>
      <c r="Y56" s="66"/>
    </row>
    <row r="57" spans="1:25" ht="20.25">
      <c r="A57" s="74"/>
      <c r="B57" s="73" t="s">
        <v>254</v>
      </c>
      <c r="C57" s="72"/>
      <c r="D57" s="71"/>
      <c r="E57" s="71"/>
      <c r="F57" s="71"/>
      <c r="G57" s="438"/>
      <c r="H57" s="70"/>
      <c r="I57" s="74"/>
      <c r="J57" s="73"/>
      <c r="K57" s="72"/>
      <c r="L57" s="71"/>
      <c r="M57" s="71"/>
      <c r="N57" s="71"/>
      <c r="O57" s="70"/>
      <c r="P57" s="74"/>
      <c r="Q57" s="73" t="s">
        <v>254</v>
      </c>
      <c r="R57" s="72"/>
      <c r="S57" s="71"/>
      <c r="T57" s="71"/>
      <c r="U57" s="71"/>
      <c r="V57" s="71"/>
      <c r="W57" s="71"/>
      <c r="X57" s="438"/>
      <c r="Y57" s="70"/>
    </row>
    <row r="58" spans="1:25" ht="20.25">
      <c r="A58" s="110"/>
      <c r="B58" s="115" t="s">
        <v>575</v>
      </c>
      <c r="C58" s="113">
        <v>4</v>
      </c>
      <c r="D58" s="69">
        <v>7</v>
      </c>
      <c r="E58" s="69">
        <v>3</v>
      </c>
      <c r="F58" s="69">
        <v>9</v>
      </c>
      <c r="G58" s="432">
        <v>1</v>
      </c>
      <c r="H58" s="68">
        <f>SUM(C58:G58)</f>
        <v>24</v>
      </c>
      <c r="I58" s="110"/>
      <c r="J58" s="115"/>
      <c r="K58" s="80">
        <v>1</v>
      </c>
      <c r="L58" s="69">
        <v>1</v>
      </c>
      <c r="M58" s="80">
        <v>1</v>
      </c>
      <c r="N58" s="69">
        <v>1</v>
      </c>
      <c r="O58" s="68">
        <f t="shared" ref="O58:O79" si="49">SUM(K58:N58)</f>
        <v>4</v>
      </c>
      <c r="P58" s="110"/>
      <c r="Q58" s="115" t="s">
        <v>575</v>
      </c>
      <c r="R58" s="113">
        <v>5</v>
      </c>
      <c r="S58" s="69">
        <v>5</v>
      </c>
      <c r="T58" s="69">
        <v>5</v>
      </c>
      <c r="U58" s="69">
        <v>5</v>
      </c>
      <c r="V58" s="69"/>
      <c r="W58" s="69"/>
      <c r="X58" s="432">
        <v>1</v>
      </c>
      <c r="Y58" s="68">
        <f>SUM(R58:X58)</f>
        <v>21</v>
      </c>
    </row>
    <row r="59" spans="1:25" ht="20.25">
      <c r="A59" s="111"/>
      <c r="B59" s="116" t="s">
        <v>536</v>
      </c>
      <c r="C59" s="80">
        <f>C58</f>
        <v>4</v>
      </c>
      <c r="D59" s="65">
        <f>D58</f>
        <v>7</v>
      </c>
      <c r="E59" s="65">
        <f t="shared" ref="E59" si="50">E58</f>
        <v>3</v>
      </c>
      <c r="F59" s="65">
        <f t="shared" ref="F59" si="51">F58</f>
        <v>9</v>
      </c>
      <c r="G59" s="433">
        <f>G58</f>
        <v>1</v>
      </c>
      <c r="H59" s="64">
        <f t="shared" ref="H59:H79" si="52">SUM(C59:G59)</f>
        <v>24</v>
      </c>
      <c r="I59" s="111"/>
      <c r="J59" s="116"/>
      <c r="K59" s="80">
        <v>1</v>
      </c>
      <c r="L59" s="65">
        <v>1</v>
      </c>
      <c r="M59" s="80">
        <v>1</v>
      </c>
      <c r="N59" s="65">
        <v>1</v>
      </c>
      <c r="O59" s="64">
        <f t="shared" si="49"/>
        <v>4</v>
      </c>
      <c r="P59" s="111"/>
      <c r="Q59" s="116" t="s">
        <v>536</v>
      </c>
      <c r="R59" s="80">
        <f>R58</f>
        <v>5</v>
      </c>
      <c r="S59" s="65">
        <f>S58</f>
        <v>5</v>
      </c>
      <c r="T59" s="65">
        <f t="shared" ref="T59:W59" si="53">T58</f>
        <v>5</v>
      </c>
      <c r="U59" s="65">
        <f t="shared" si="53"/>
        <v>5</v>
      </c>
      <c r="V59" s="65">
        <f t="shared" si="53"/>
        <v>0</v>
      </c>
      <c r="W59" s="65">
        <f t="shared" si="53"/>
        <v>0</v>
      </c>
      <c r="X59" s="433">
        <f>X58</f>
        <v>1</v>
      </c>
      <c r="Y59" s="68">
        <f t="shared" ref="Y59:Y79" si="54">SUM(R59:X59)</f>
        <v>21</v>
      </c>
    </row>
    <row r="60" spans="1:25" ht="20.25">
      <c r="A60" s="111"/>
      <c r="B60" s="116" t="s">
        <v>537</v>
      </c>
      <c r="C60" s="80">
        <f>C58</f>
        <v>4</v>
      </c>
      <c r="D60" s="65">
        <f>D58</f>
        <v>7</v>
      </c>
      <c r="E60" s="65">
        <f t="shared" ref="E60:F60" si="55">E58</f>
        <v>3</v>
      </c>
      <c r="F60" s="65">
        <f t="shared" si="55"/>
        <v>9</v>
      </c>
      <c r="G60" s="433">
        <f>G58</f>
        <v>1</v>
      </c>
      <c r="H60" s="64">
        <f t="shared" si="52"/>
        <v>24</v>
      </c>
      <c r="I60" s="111"/>
      <c r="J60" s="116"/>
      <c r="K60" s="80">
        <v>1</v>
      </c>
      <c r="L60" s="65">
        <v>1</v>
      </c>
      <c r="M60" s="80">
        <v>1</v>
      </c>
      <c r="N60" s="65">
        <v>1</v>
      </c>
      <c r="O60" s="64">
        <f t="shared" si="49"/>
        <v>4</v>
      </c>
      <c r="P60" s="111"/>
      <c r="Q60" s="116" t="s">
        <v>537</v>
      </c>
      <c r="R60" s="80">
        <f>R58</f>
        <v>5</v>
      </c>
      <c r="S60" s="65">
        <f>S58</f>
        <v>5</v>
      </c>
      <c r="T60" s="65">
        <f t="shared" ref="T60:W60" si="56">T58</f>
        <v>5</v>
      </c>
      <c r="U60" s="65">
        <f t="shared" si="56"/>
        <v>5</v>
      </c>
      <c r="V60" s="65">
        <f t="shared" si="56"/>
        <v>0</v>
      </c>
      <c r="W60" s="65">
        <f t="shared" si="56"/>
        <v>0</v>
      </c>
      <c r="X60" s="433">
        <f>X58</f>
        <v>1</v>
      </c>
      <c r="Y60" s="68">
        <f t="shared" si="54"/>
        <v>21</v>
      </c>
    </row>
    <row r="61" spans="1:25" ht="20.25">
      <c r="A61" s="111"/>
      <c r="B61" s="116" t="s">
        <v>576</v>
      </c>
      <c r="C61" s="80">
        <f>C58</f>
        <v>4</v>
      </c>
      <c r="D61" s="65">
        <f>D58</f>
        <v>7</v>
      </c>
      <c r="E61" s="65">
        <f t="shared" ref="E61:F61" si="57">E58</f>
        <v>3</v>
      </c>
      <c r="F61" s="65">
        <f t="shared" si="57"/>
        <v>9</v>
      </c>
      <c r="G61" s="433">
        <f>G58</f>
        <v>1</v>
      </c>
      <c r="H61" s="64">
        <f t="shared" si="52"/>
        <v>24</v>
      </c>
      <c r="I61" s="111"/>
      <c r="J61" s="116"/>
      <c r="K61" s="80">
        <v>1</v>
      </c>
      <c r="L61" s="65">
        <v>1</v>
      </c>
      <c r="M61" s="80">
        <v>1</v>
      </c>
      <c r="N61" s="65">
        <v>1</v>
      </c>
      <c r="O61" s="64">
        <f t="shared" si="49"/>
        <v>4</v>
      </c>
      <c r="P61" s="111"/>
      <c r="Q61" s="116" t="s">
        <v>576</v>
      </c>
      <c r="R61" s="80">
        <f>R58</f>
        <v>5</v>
      </c>
      <c r="S61" s="65">
        <f>S58</f>
        <v>5</v>
      </c>
      <c r="T61" s="65">
        <f t="shared" ref="T61:W61" si="58">T58</f>
        <v>5</v>
      </c>
      <c r="U61" s="65">
        <f t="shared" si="58"/>
        <v>5</v>
      </c>
      <c r="V61" s="65">
        <f t="shared" si="58"/>
        <v>0</v>
      </c>
      <c r="W61" s="65">
        <f t="shared" si="58"/>
        <v>0</v>
      </c>
      <c r="X61" s="433">
        <f>X58</f>
        <v>1</v>
      </c>
      <c r="Y61" s="68">
        <f t="shared" si="54"/>
        <v>21</v>
      </c>
    </row>
    <row r="62" spans="1:25" ht="20.25">
      <c r="A62" s="111"/>
      <c r="B62" s="116" t="s">
        <v>538</v>
      </c>
      <c r="C62" s="80">
        <v>4</v>
      </c>
      <c r="D62" s="65">
        <v>4</v>
      </c>
      <c r="E62" s="65">
        <v>4</v>
      </c>
      <c r="F62" s="65">
        <v>3</v>
      </c>
      <c r="G62" s="433">
        <v>1</v>
      </c>
      <c r="H62" s="64">
        <f t="shared" si="52"/>
        <v>16</v>
      </c>
      <c r="I62" s="111"/>
      <c r="J62" s="116"/>
      <c r="K62" s="80">
        <v>1</v>
      </c>
      <c r="L62" s="65">
        <v>1</v>
      </c>
      <c r="M62" s="80">
        <v>1</v>
      </c>
      <c r="N62" s="65">
        <v>1</v>
      </c>
      <c r="O62" s="64">
        <f t="shared" si="49"/>
        <v>4</v>
      </c>
      <c r="P62" s="111"/>
      <c r="Q62" s="116" t="s">
        <v>538</v>
      </c>
      <c r="R62" s="80">
        <v>4</v>
      </c>
      <c r="S62" s="65">
        <v>4</v>
      </c>
      <c r="T62" s="65">
        <v>3</v>
      </c>
      <c r="U62" s="65">
        <v>6</v>
      </c>
      <c r="V62" s="65"/>
      <c r="W62" s="65"/>
      <c r="X62" s="433">
        <v>1</v>
      </c>
      <c r="Y62" s="68">
        <f t="shared" si="54"/>
        <v>18</v>
      </c>
    </row>
    <row r="63" spans="1:25" ht="20.25">
      <c r="A63" s="111"/>
      <c r="B63" s="116" t="s">
        <v>539</v>
      </c>
      <c r="C63" s="80">
        <f>C62</f>
        <v>4</v>
      </c>
      <c r="D63" s="65">
        <f>D62</f>
        <v>4</v>
      </c>
      <c r="E63" s="65">
        <f t="shared" ref="E63" si="59">E62</f>
        <v>4</v>
      </c>
      <c r="F63" s="65">
        <f t="shared" ref="F63" si="60">F62</f>
        <v>3</v>
      </c>
      <c r="G63" s="433">
        <f>G62</f>
        <v>1</v>
      </c>
      <c r="H63" s="64">
        <f t="shared" si="52"/>
        <v>16</v>
      </c>
      <c r="I63" s="111"/>
      <c r="J63" s="116"/>
      <c r="K63" s="80">
        <v>1</v>
      </c>
      <c r="L63" s="65">
        <v>1</v>
      </c>
      <c r="M63" s="80">
        <v>1</v>
      </c>
      <c r="N63" s="65">
        <v>1</v>
      </c>
      <c r="O63" s="64">
        <f t="shared" si="49"/>
        <v>4</v>
      </c>
      <c r="P63" s="111"/>
      <c r="Q63" s="116" t="s">
        <v>539</v>
      </c>
      <c r="R63" s="80">
        <f>R62</f>
        <v>4</v>
      </c>
      <c r="S63" s="65">
        <f>S62</f>
        <v>4</v>
      </c>
      <c r="T63" s="65">
        <f t="shared" ref="T63:W63" si="61">T62</f>
        <v>3</v>
      </c>
      <c r="U63" s="65">
        <f t="shared" si="61"/>
        <v>6</v>
      </c>
      <c r="V63" s="65">
        <f t="shared" si="61"/>
        <v>0</v>
      </c>
      <c r="W63" s="65">
        <f t="shared" si="61"/>
        <v>0</v>
      </c>
      <c r="X63" s="433">
        <f>X62</f>
        <v>1</v>
      </c>
      <c r="Y63" s="68">
        <f t="shared" si="54"/>
        <v>18</v>
      </c>
    </row>
    <row r="64" spans="1:25" ht="20.25">
      <c r="A64" s="111"/>
      <c r="B64" s="116" t="s">
        <v>540</v>
      </c>
      <c r="C64" s="80">
        <f>C62</f>
        <v>4</v>
      </c>
      <c r="D64" s="65">
        <f>D62</f>
        <v>4</v>
      </c>
      <c r="E64" s="65">
        <f t="shared" ref="E64:F64" si="62">E62</f>
        <v>4</v>
      </c>
      <c r="F64" s="65">
        <f t="shared" si="62"/>
        <v>3</v>
      </c>
      <c r="G64" s="433">
        <f>G62</f>
        <v>1</v>
      </c>
      <c r="H64" s="64">
        <f t="shared" si="52"/>
        <v>16</v>
      </c>
      <c r="I64" s="111"/>
      <c r="J64" s="116"/>
      <c r="K64" s="80">
        <v>1</v>
      </c>
      <c r="L64" s="65">
        <v>1</v>
      </c>
      <c r="M64" s="80">
        <v>1</v>
      </c>
      <c r="N64" s="65">
        <v>1</v>
      </c>
      <c r="O64" s="64">
        <f t="shared" si="49"/>
        <v>4</v>
      </c>
      <c r="P64" s="111"/>
      <c r="Q64" s="116" t="s">
        <v>540</v>
      </c>
      <c r="R64" s="80">
        <f>R62</f>
        <v>4</v>
      </c>
      <c r="S64" s="65">
        <f>S62</f>
        <v>4</v>
      </c>
      <c r="T64" s="65">
        <f t="shared" ref="T64:W64" si="63">T62</f>
        <v>3</v>
      </c>
      <c r="U64" s="65">
        <f t="shared" si="63"/>
        <v>6</v>
      </c>
      <c r="V64" s="65">
        <f t="shared" si="63"/>
        <v>0</v>
      </c>
      <c r="W64" s="65">
        <f t="shared" si="63"/>
        <v>0</v>
      </c>
      <c r="X64" s="433">
        <f>X62</f>
        <v>1</v>
      </c>
      <c r="Y64" s="68">
        <f t="shared" si="54"/>
        <v>18</v>
      </c>
    </row>
    <row r="65" spans="1:25" ht="20.25">
      <c r="A65" s="111"/>
      <c r="B65" s="116" t="s">
        <v>541</v>
      </c>
      <c r="C65" s="80">
        <f>C62</f>
        <v>4</v>
      </c>
      <c r="D65" s="65">
        <f>D62</f>
        <v>4</v>
      </c>
      <c r="E65" s="65">
        <f t="shared" ref="E65:F65" si="64">E62</f>
        <v>4</v>
      </c>
      <c r="F65" s="65">
        <f t="shared" si="64"/>
        <v>3</v>
      </c>
      <c r="G65" s="433">
        <f>G62</f>
        <v>1</v>
      </c>
      <c r="H65" s="64">
        <f t="shared" si="52"/>
        <v>16</v>
      </c>
      <c r="I65" s="111"/>
      <c r="J65" s="116"/>
      <c r="K65" s="80">
        <v>1</v>
      </c>
      <c r="L65" s="65">
        <v>1</v>
      </c>
      <c r="M65" s="80">
        <v>1</v>
      </c>
      <c r="N65" s="65">
        <v>1</v>
      </c>
      <c r="O65" s="64">
        <f t="shared" si="49"/>
        <v>4</v>
      </c>
      <c r="P65" s="111"/>
      <c r="Q65" s="116" t="s">
        <v>541</v>
      </c>
      <c r="R65" s="80">
        <f>R62</f>
        <v>4</v>
      </c>
      <c r="S65" s="65">
        <f>S62</f>
        <v>4</v>
      </c>
      <c r="T65" s="65">
        <f t="shared" ref="T65:W65" si="65">T62</f>
        <v>3</v>
      </c>
      <c r="U65" s="65">
        <f t="shared" si="65"/>
        <v>6</v>
      </c>
      <c r="V65" s="65">
        <f t="shared" si="65"/>
        <v>0</v>
      </c>
      <c r="W65" s="65">
        <f t="shared" si="65"/>
        <v>0</v>
      </c>
      <c r="X65" s="433">
        <f>X62</f>
        <v>1</v>
      </c>
      <c r="Y65" s="68">
        <f t="shared" si="54"/>
        <v>18</v>
      </c>
    </row>
    <row r="66" spans="1:25" ht="20.25">
      <c r="A66" s="111"/>
      <c r="B66" s="116" t="s">
        <v>542</v>
      </c>
      <c r="C66" s="80">
        <f>C62</f>
        <v>4</v>
      </c>
      <c r="D66" s="65">
        <f>D62</f>
        <v>4</v>
      </c>
      <c r="E66" s="65">
        <f t="shared" ref="E66:F66" si="66">E62</f>
        <v>4</v>
      </c>
      <c r="F66" s="65">
        <f t="shared" si="66"/>
        <v>3</v>
      </c>
      <c r="G66" s="433">
        <f>G62</f>
        <v>1</v>
      </c>
      <c r="H66" s="64">
        <f t="shared" si="52"/>
        <v>16</v>
      </c>
      <c r="I66" s="111"/>
      <c r="J66" s="116"/>
      <c r="K66" s="80">
        <v>1</v>
      </c>
      <c r="L66" s="65">
        <v>1</v>
      </c>
      <c r="M66" s="80">
        <v>1</v>
      </c>
      <c r="N66" s="65">
        <v>1</v>
      </c>
      <c r="O66" s="64">
        <f t="shared" si="49"/>
        <v>4</v>
      </c>
      <c r="P66" s="111"/>
      <c r="Q66" s="116" t="s">
        <v>542</v>
      </c>
      <c r="R66" s="80">
        <f>R62</f>
        <v>4</v>
      </c>
      <c r="S66" s="65">
        <f>S62</f>
        <v>4</v>
      </c>
      <c r="T66" s="65">
        <f t="shared" ref="T66:W66" si="67">T62</f>
        <v>3</v>
      </c>
      <c r="U66" s="65">
        <f t="shared" si="67"/>
        <v>6</v>
      </c>
      <c r="V66" s="65">
        <f t="shared" si="67"/>
        <v>0</v>
      </c>
      <c r="W66" s="65">
        <f t="shared" si="67"/>
        <v>0</v>
      </c>
      <c r="X66" s="433">
        <f>X62</f>
        <v>1</v>
      </c>
      <c r="Y66" s="68">
        <f t="shared" si="54"/>
        <v>18</v>
      </c>
    </row>
    <row r="67" spans="1:25" ht="20.25">
      <c r="A67" s="111"/>
      <c r="B67" s="116" t="s">
        <v>251</v>
      </c>
      <c r="C67" s="80">
        <v>1</v>
      </c>
      <c r="D67" s="80">
        <v>1</v>
      </c>
      <c r="E67" s="80">
        <v>1</v>
      </c>
      <c r="F67" s="80">
        <v>1</v>
      </c>
      <c r="G67" s="433">
        <f>G62</f>
        <v>1</v>
      </c>
      <c r="H67" s="64">
        <f t="shared" si="52"/>
        <v>5</v>
      </c>
      <c r="I67" s="111"/>
      <c r="J67" s="116"/>
      <c r="K67" s="81">
        <v>1</v>
      </c>
      <c r="L67" s="65">
        <v>1</v>
      </c>
      <c r="M67" s="81">
        <v>1</v>
      </c>
      <c r="N67" s="65">
        <v>1</v>
      </c>
      <c r="O67" s="64">
        <f t="shared" si="49"/>
        <v>4</v>
      </c>
      <c r="P67" s="111"/>
      <c r="Q67" s="116" t="s">
        <v>251</v>
      </c>
      <c r="R67" s="80">
        <v>1</v>
      </c>
      <c r="S67" s="65">
        <v>1</v>
      </c>
      <c r="T67" s="65">
        <v>1</v>
      </c>
      <c r="U67" s="65">
        <v>1</v>
      </c>
      <c r="V67" s="65"/>
      <c r="W67" s="65"/>
      <c r="X67" s="433">
        <f>X62</f>
        <v>1</v>
      </c>
      <c r="Y67" s="68">
        <f t="shared" si="54"/>
        <v>5</v>
      </c>
    </row>
    <row r="68" spans="1:25" ht="20.25">
      <c r="A68" s="111"/>
      <c r="B68" s="116" t="s">
        <v>577</v>
      </c>
      <c r="C68" s="80">
        <v>4</v>
      </c>
      <c r="D68" s="79"/>
      <c r="E68" s="79">
        <v>6</v>
      </c>
      <c r="F68" s="79"/>
      <c r="G68" s="434"/>
      <c r="H68" s="64">
        <f t="shared" si="52"/>
        <v>10</v>
      </c>
      <c r="I68" s="111"/>
      <c r="J68" s="116"/>
      <c r="K68" s="81">
        <v>1</v>
      </c>
      <c r="L68" s="79"/>
      <c r="M68" s="81">
        <v>1</v>
      </c>
      <c r="N68" s="79"/>
      <c r="O68" s="64">
        <f t="shared" si="49"/>
        <v>2</v>
      </c>
      <c r="P68" s="111"/>
      <c r="Q68" s="116" t="s">
        <v>577</v>
      </c>
      <c r="R68" s="80">
        <v>5</v>
      </c>
      <c r="S68" s="79"/>
      <c r="T68" s="79">
        <v>3</v>
      </c>
      <c r="U68" s="79"/>
      <c r="V68" s="79"/>
      <c r="W68" s="79"/>
      <c r="X68" s="434"/>
      <c r="Y68" s="68">
        <f t="shared" si="54"/>
        <v>8</v>
      </c>
    </row>
    <row r="69" spans="1:25" ht="20.25">
      <c r="A69" s="111"/>
      <c r="B69" s="117" t="s">
        <v>543</v>
      </c>
      <c r="C69" s="81">
        <v>1</v>
      </c>
      <c r="D69" s="79"/>
      <c r="E69" s="79"/>
      <c r="F69" s="79"/>
      <c r="G69" s="434"/>
      <c r="H69" s="64">
        <f t="shared" si="52"/>
        <v>1</v>
      </c>
      <c r="I69" s="111"/>
      <c r="J69" s="117"/>
      <c r="K69" s="81">
        <v>1</v>
      </c>
      <c r="L69" s="79">
        <v>1</v>
      </c>
      <c r="M69" s="81">
        <v>1</v>
      </c>
      <c r="N69" s="79">
        <v>1</v>
      </c>
      <c r="O69" s="64">
        <f t="shared" si="49"/>
        <v>4</v>
      </c>
      <c r="P69" s="111"/>
      <c r="Q69" s="117" t="s">
        <v>543</v>
      </c>
      <c r="R69" s="81"/>
      <c r="S69" s="79"/>
      <c r="T69" s="79"/>
      <c r="U69" s="79"/>
      <c r="V69" s="79"/>
      <c r="W69" s="79"/>
      <c r="X69" s="434"/>
      <c r="Y69" s="68">
        <f t="shared" si="54"/>
        <v>0</v>
      </c>
    </row>
    <row r="70" spans="1:25" ht="20.25">
      <c r="A70" s="111"/>
      <c r="B70" s="117" t="s">
        <v>544</v>
      </c>
      <c r="C70" s="81">
        <v>1</v>
      </c>
      <c r="D70" s="79">
        <v>1</v>
      </c>
      <c r="E70" s="79">
        <v>1</v>
      </c>
      <c r="F70" s="79">
        <v>1</v>
      </c>
      <c r="G70" s="434"/>
      <c r="H70" s="64">
        <f t="shared" si="52"/>
        <v>4</v>
      </c>
      <c r="I70" s="111"/>
      <c r="J70" s="117"/>
      <c r="K70" s="81">
        <v>1</v>
      </c>
      <c r="L70" s="79">
        <v>1</v>
      </c>
      <c r="M70" s="81">
        <v>1</v>
      </c>
      <c r="N70" s="79">
        <v>1</v>
      </c>
      <c r="O70" s="64">
        <f t="shared" si="49"/>
        <v>4</v>
      </c>
      <c r="P70" s="111"/>
      <c r="Q70" s="117" t="s">
        <v>544</v>
      </c>
      <c r="R70" s="81"/>
      <c r="S70" s="79"/>
      <c r="T70" s="79"/>
      <c r="U70" s="79"/>
      <c r="V70" s="79"/>
      <c r="W70" s="79"/>
      <c r="X70" s="434"/>
      <c r="Y70" s="68">
        <f t="shared" si="54"/>
        <v>0</v>
      </c>
    </row>
    <row r="71" spans="1:25" ht="20.25">
      <c r="A71" s="111"/>
      <c r="B71" s="117" t="s">
        <v>545</v>
      </c>
      <c r="C71" s="81">
        <v>1</v>
      </c>
      <c r="D71" s="79">
        <v>1</v>
      </c>
      <c r="E71" s="79">
        <v>1</v>
      </c>
      <c r="F71" s="79">
        <v>1</v>
      </c>
      <c r="G71" s="434"/>
      <c r="H71" s="64">
        <f t="shared" si="52"/>
        <v>4</v>
      </c>
      <c r="I71" s="111"/>
      <c r="J71" s="117"/>
      <c r="K71" s="81">
        <v>1</v>
      </c>
      <c r="L71" s="79">
        <v>1</v>
      </c>
      <c r="M71" s="81">
        <v>1</v>
      </c>
      <c r="N71" s="79">
        <v>1</v>
      </c>
      <c r="O71" s="64">
        <f t="shared" si="49"/>
        <v>4</v>
      </c>
      <c r="P71" s="111"/>
      <c r="Q71" s="117" t="s">
        <v>545</v>
      </c>
      <c r="R71" s="81"/>
      <c r="S71" s="79"/>
      <c r="T71" s="79"/>
      <c r="U71" s="79"/>
      <c r="V71" s="79"/>
      <c r="W71" s="79"/>
      <c r="X71" s="434"/>
      <c r="Y71" s="68">
        <f t="shared" si="54"/>
        <v>0</v>
      </c>
    </row>
    <row r="72" spans="1:25" ht="20.25">
      <c r="A72" s="111"/>
      <c r="B72" s="117" t="s">
        <v>573</v>
      </c>
      <c r="C72" s="81"/>
      <c r="D72" s="79"/>
      <c r="E72" s="81"/>
      <c r="F72" s="79"/>
      <c r="G72" s="434">
        <v>1</v>
      </c>
      <c r="H72" s="64">
        <f t="shared" si="52"/>
        <v>1</v>
      </c>
      <c r="I72" s="111"/>
      <c r="J72" s="441"/>
      <c r="K72" s="81"/>
      <c r="L72" s="79"/>
      <c r="M72" s="81"/>
      <c r="N72" s="79"/>
      <c r="O72" s="64"/>
      <c r="P72" s="111"/>
      <c r="Q72" s="117" t="s">
        <v>573</v>
      </c>
      <c r="R72" s="81"/>
      <c r="S72" s="79"/>
      <c r="T72" s="81"/>
      <c r="U72" s="79"/>
      <c r="V72" s="81"/>
      <c r="W72" s="79"/>
      <c r="X72" s="434">
        <v>1</v>
      </c>
      <c r="Y72" s="68">
        <f t="shared" si="54"/>
        <v>1</v>
      </c>
    </row>
    <row r="73" spans="1:25" ht="20.25">
      <c r="A73" s="111"/>
      <c r="B73" s="117" t="s">
        <v>574</v>
      </c>
      <c r="C73" s="81"/>
      <c r="D73" s="79"/>
      <c r="E73" s="81"/>
      <c r="F73" s="79"/>
      <c r="G73" s="434">
        <v>2</v>
      </c>
      <c r="H73" s="64">
        <f t="shared" si="52"/>
        <v>2</v>
      </c>
      <c r="I73" s="111"/>
      <c r="J73" s="441"/>
      <c r="K73" s="81"/>
      <c r="L73" s="79"/>
      <c r="M73" s="81"/>
      <c r="N73" s="79"/>
      <c r="O73" s="64"/>
      <c r="P73" s="111"/>
      <c r="Q73" s="117" t="s">
        <v>574</v>
      </c>
      <c r="R73" s="81"/>
      <c r="S73" s="79"/>
      <c r="T73" s="81"/>
      <c r="U73" s="79"/>
      <c r="V73" s="81"/>
      <c r="W73" s="79"/>
      <c r="X73" s="434">
        <v>1</v>
      </c>
      <c r="Y73" s="68">
        <f t="shared" si="54"/>
        <v>1</v>
      </c>
    </row>
    <row r="74" spans="1:25" ht="20.25">
      <c r="A74" s="111"/>
      <c r="B74" s="117" t="s">
        <v>546</v>
      </c>
      <c r="C74" s="81">
        <v>1</v>
      </c>
      <c r="D74" s="79">
        <v>1</v>
      </c>
      <c r="E74" s="81">
        <v>1</v>
      </c>
      <c r="F74" s="79">
        <v>1</v>
      </c>
      <c r="G74" s="434">
        <v>1</v>
      </c>
      <c r="H74" s="64">
        <f t="shared" si="52"/>
        <v>5</v>
      </c>
      <c r="I74" s="111"/>
      <c r="J74" s="117"/>
      <c r="K74" s="81">
        <v>1</v>
      </c>
      <c r="L74" s="79">
        <v>1</v>
      </c>
      <c r="M74" s="81">
        <v>1</v>
      </c>
      <c r="N74" s="79">
        <v>1</v>
      </c>
      <c r="O74" s="64">
        <f t="shared" si="49"/>
        <v>4</v>
      </c>
      <c r="P74" s="111"/>
      <c r="Q74" s="117" t="s">
        <v>546</v>
      </c>
      <c r="R74" s="81">
        <v>1</v>
      </c>
      <c r="S74" s="79">
        <v>1</v>
      </c>
      <c r="T74" s="81">
        <v>1</v>
      </c>
      <c r="U74" s="79">
        <v>1</v>
      </c>
      <c r="V74" s="81">
        <v>1</v>
      </c>
      <c r="W74" s="79">
        <v>1</v>
      </c>
      <c r="X74" s="434">
        <v>1</v>
      </c>
      <c r="Y74" s="68">
        <f t="shared" si="54"/>
        <v>7</v>
      </c>
    </row>
    <row r="75" spans="1:25" ht="20.25">
      <c r="A75" s="111"/>
      <c r="B75" s="117" t="s">
        <v>547</v>
      </c>
      <c r="C75" s="81">
        <v>2</v>
      </c>
      <c r="D75" s="79">
        <v>2</v>
      </c>
      <c r="E75" s="81">
        <v>2</v>
      </c>
      <c r="F75" s="79">
        <v>2</v>
      </c>
      <c r="G75" s="434"/>
      <c r="H75" s="64">
        <f t="shared" si="52"/>
        <v>8</v>
      </c>
      <c r="I75" s="111"/>
      <c r="J75" s="117"/>
      <c r="K75" s="81">
        <v>1</v>
      </c>
      <c r="L75" s="79">
        <v>1</v>
      </c>
      <c r="M75" s="81">
        <v>1</v>
      </c>
      <c r="N75" s="79">
        <v>1</v>
      </c>
      <c r="O75" s="64">
        <f t="shared" si="49"/>
        <v>4</v>
      </c>
      <c r="P75" s="111"/>
      <c r="Q75" s="117" t="s">
        <v>547</v>
      </c>
      <c r="R75" s="81">
        <v>2</v>
      </c>
      <c r="S75" s="79">
        <v>2</v>
      </c>
      <c r="T75" s="81">
        <v>2</v>
      </c>
      <c r="U75" s="79">
        <v>2</v>
      </c>
      <c r="V75" s="81">
        <v>2</v>
      </c>
      <c r="W75" s="79">
        <v>2</v>
      </c>
      <c r="X75" s="434"/>
      <c r="Y75" s="68">
        <f t="shared" si="54"/>
        <v>12</v>
      </c>
    </row>
    <row r="76" spans="1:25" ht="20.25">
      <c r="A76" s="111"/>
      <c r="B76" s="117" t="s">
        <v>42</v>
      </c>
      <c r="C76" s="81">
        <f>C58+C69</f>
        <v>5</v>
      </c>
      <c r="D76" s="79">
        <f>D58</f>
        <v>7</v>
      </c>
      <c r="E76" s="79">
        <f t="shared" ref="E76:F76" si="68">E58</f>
        <v>3</v>
      </c>
      <c r="F76" s="79">
        <f t="shared" si="68"/>
        <v>9</v>
      </c>
      <c r="G76" s="434"/>
      <c r="H76" s="64">
        <f t="shared" si="52"/>
        <v>24</v>
      </c>
      <c r="I76" s="111"/>
      <c r="J76" s="117"/>
      <c r="K76" s="81">
        <v>1</v>
      </c>
      <c r="L76" s="79">
        <v>1</v>
      </c>
      <c r="M76" s="80">
        <v>1</v>
      </c>
      <c r="N76" s="79">
        <v>1</v>
      </c>
      <c r="O76" s="64">
        <f t="shared" si="49"/>
        <v>4</v>
      </c>
      <c r="P76" s="111"/>
      <c r="Q76" s="117" t="s">
        <v>42</v>
      </c>
      <c r="R76" s="81">
        <f>R58+R69</f>
        <v>5</v>
      </c>
      <c r="S76" s="79">
        <f>S58</f>
        <v>5</v>
      </c>
      <c r="T76" s="79">
        <f t="shared" ref="T76:U76" si="69">T58</f>
        <v>5</v>
      </c>
      <c r="U76" s="79">
        <f t="shared" si="69"/>
        <v>5</v>
      </c>
      <c r="V76" s="79">
        <f>V58+V69</f>
        <v>0</v>
      </c>
      <c r="W76" s="79">
        <f>W58+W69</f>
        <v>0</v>
      </c>
      <c r="X76" s="434"/>
      <c r="Y76" s="68">
        <f t="shared" si="54"/>
        <v>20</v>
      </c>
    </row>
    <row r="77" spans="1:25" ht="20.25">
      <c r="A77" s="111"/>
      <c r="B77" s="117" t="s">
        <v>252</v>
      </c>
      <c r="C77" s="81">
        <v>3</v>
      </c>
      <c r="D77" s="67"/>
      <c r="E77" s="79">
        <v>5</v>
      </c>
      <c r="F77" s="67"/>
      <c r="G77" s="435"/>
      <c r="H77" s="64">
        <f t="shared" si="52"/>
        <v>8</v>
      </c>
      <c r="I77" s="111"/>
      <c r="J77" s="117"/>
      <c r="K77" s="81">
        <v>1</v>
      </c>
      <c r="L77" s="67"/>
      <c r="M77" s="65">
        <v>1</v>
      </c>
      <c r="N77" s="67"/>
      <c r="O77" s="64">
        <f t="shared" si="49"/>
        <v>2</v>
      </c>
      <c r="P77" s="111"/>
      <c r="Q77" s="117" t="s">
        <v>252</v>
      </c>
      <c r="R77" s="81">
        <v>4</v>
      </c>
      <c r="S77" s="67"/>
      <c r="T77" s="79">
        <v>2</v>
      </c>
      <c r="U77" s="67"/>
      <c r="V77" s="79"/>
      <c r="W77" s="67"/>
      <c r="X77" s="435"/>
      <c r="Y77" s="68">
        <f t="shared" si="54"/>
        <v>6</v>
      </c>
    </row>
    <row r="78" spans="1:25" ht="20.25">
      <c r="A78" s="111"/>
      <c r="B78" s="117" t="s">
        <v>43</v>
      </c>
      <c r="C78" s="81">
        <f>ROUNDUP((0.6*4.1)+(0.6*0.25)+(0.25*4.1)+(0.15*4.1)+(0.15*3.2)+(0.2*4.2),0)</f>
        <v>6</v>
      </c>
      <c r="D78" s="81">
        <f>ROUNDUP((0.6*3.75)+(0.6*0.25)+(0.25*3.75)+(0.15*3.75)+(0.15*3.2)+(0.3*3.2),0)</f>
        <v>6</v>
      </c>
      <c r="E78" s="81">
        <f>ROUNDUP((0.6*3.5)+(0.6*0.25)+(0.25*3.5)+(0.15*3.5)+(0.15*3),0)</f>
        <v>5</v>
      </c>
      <c r="F78" s="81">
        <f>ROUNDUP((0.6*8.7)+(0.6*0.25)+(0.25*8.7)+(0.15*8.7)+(0.15*10),0)</f>
        <v>11</v>
      </c>
      <c r="G78" s="81">
        <f>ROUNDUP((0.6*1.5)+(0.6*0.25)+(0.25*1.5)+(0.15*1.5),0)</f>
        <v>2</v>
      </c>
      <c r="H78" s="64">
        <f t="shared" si="52"/>
        <v>30</v>
      </c>
      <c r="I78" s="111"/>
      <c r="J78" s="117"/>
      <c r="K78" s="81">
        <f>0.6*4.5</f>
        <v>2.6999999999999997</v>
      </c>
      <c r="L78" s="81">
        <f t="shared" ref="L78:N78" si="70">0.6*4.5</f>
        <v>2.6999999999999997</v>
      </c>
      <c r="M78" s="81">
        <f t="shared" si="70"/>
        <v>2.6999999999999997</v>
      </c>
      <c r="N78" s="81">
        <f t="shared" si="70"/>
        <v>2.6999999999999997</v>
      </c>
      <c r="O78" s="64">
        <f t="shared" si="49"/>
        <v>10.799999999999999</v>
      </c>
      <c r="P78" s="111"/>
      <c r="Q78" s="117" t="s">
        <v>43</v>
      </c>
      <c r="R78" s="81">
        <f>ROUNDUP((0.6*3.7)+(0.6*0.25)+(0.25*3.7)+(0.15*3.7),0)</f>
        <v>4</v>
      </c>
      <c r="S78" s="81">
        <f>ROUNDUP((0.6*3)+(0.8*0.25)+(0.25*3)+(0.15*3),0)</f>
        <v>4</v>
      </c>
      <c r="T78" s="81">
        <f>ROUNDUP((0.6*2.8)+(0.6*0.25)+(0.25*2.8)+(0.15*2.8),0)</f>
        <v>3</v>
      </c>
      <c r="U78" s="81">
        <f>ROUNDUP((0.6*5.6)+(0.25*5.6)+(0.15*5.6),0)</f>
        <v>6</v>
      </c>
      <c r="V78" s="81">
        <f>ROUNDUP((0.6*1.3)+(0.6*0.25)+(0.25*1.3)+(0.15*1.3),0)</f>
        <v>2</v>
      </c>
      <c r="W78" s="81">
        <f>ROUNDUP((0.6*1.3)+(0.6*0.25)+(0.25*1.3)+(0.15*1.3),0)</f>
        <v>2</v>
      </c>
      <c r="X78" s="81">
        <f>ROUNDUP((0.6*1)+(0.6*0.25)+(0.25*1)+(0.15*1),0)</f>
        <v>2</v>
      </c>
      <c r="Y78" s="68">
        <f t="shared" si="54"/>
        <v>23</v>
      </c>
    </row>
    <row r="79" spans="1:25" ht="20.25">
      <c r="A79" s="111"/>
      <c r="B79" s="118" t="s">
        <v>39</v>
      </c>
      <c r="C79" s="81">
        <f>ROUNDUP(4.1,0)</f>
        <v>5</v>
      </c>
      <c r="D79" s="81">
        <v>4</v>
      </c>
      <c r="E79" s="81">
        <v>4</v>
      </c>
      <c r="F79" s="81">
        <v>9</v>
      </c>
      <c r="G79" s="436">
        <v>2</v>
      </c>
      <c r="H79" s="66">
        <f t="shared" si="52"/>
        <v>24</v>
      </c>
      <c r="I79" s="111"/>
      <c r="J79" s="118"/>
      <c r="K79" s="81">
        <v>4.5</v>
      </c>
      <c r="L79" s="81">
        <v>4.5</v>
      </c>
      <c r="M79" s="81">
        <v>4.5</v>
      </c>
      <c r="N79" s="81">
        <v>4.5</v>
      </c>
      <c r="O79" s="64">
        <f t="shared" si="49"/>
        <v>18</v>
      </c>
      <c r="P79" s="111"/>
      <c r="Q79" s="118" t="s">
        <v>39</v>
      </c>
      <c r="R79" s="81">
        <v>4</v>
      </c>
      <c r="S79" s="81">
        <v>3</v>
      </c>
      <c r="T79" s="81">
        <v>3</v>
      </c>
      <c r="U79" s="81">
        <v>6</v>
      </c>
      <c r="V79" s="81">
        <v>2</v>
      </c>
      <c r="W79" s="81">
        <v>2</v>
      </c>
      <c r="X79" s="436">
        <v>2</v>
      </c>
      <c r="Y79" s="68">
        <f t="shared" si="54"/>
        <v>22</v>
      </c>
    </row>
    <row r="80" spans="1:25" ht="20.25">
      <c r="A80" s="111"/>
      <c r="B80" s="117"/>
      <c r="C80" s="78"/>
      <c r="D80" s="67"/>
      <c r="E80" s="67"/>
      <c r="F80" s="67"/>
      <c r="G80" s="439"/>
      <c r="H80" s="66"/>
      <c r="I80" s="111"/>
      <c r="J80" s="117"/>
      <c r="K80" s="78"/>
      <c r="L80" s="67"/>
      <c r="M80" s="67"/>
      <c r="N80" s="67"/>
      <c r="O80" s="66"/>
      <c r="P80" s="111"/>
      <c r="Q80" s="117"/>
      <c r="R80" s="78"/>
      <c r="S80" s="67"/>
      <c r="T80" s="67"/>
      <c r="U80" s="67"/>
      <c r="V80" s="67"/>
      <c r="W80" s="67"/>
      <c r="X80" s="439"/>
      <c r="Y80" s="66"/>
    </row>
    <row r="81" spans="1:25" ht="20.25">
      <c r="A81" s="120"/>
      <c r="B81" s="119"/>
      <c r="C81" s="83"/>
      <c r="D81" s="84"/>
      <c r="E81" s="84"/>
      <c r="F81" s="84"/>
      <c r="G81" s="440"/>
      <c r="H81" s="85"/>
      <c r="I81" s="120"/>
      <c r="J81" s="119"/>
      <c r="K81" s="83"/>
      <c r="L81" s="84"/>
      <c r="M81" s="84"/>
      <c r="N81" s="84"/>
      <c r="O81" s="85"/>
      <c r="P81" s="120"/>
      <c r="Q81" s="119"/>
      <c r="R81" s="83"/>
      <c r="S81" s="84"/>
      <c r="T81" s="84"/>
      <c r="U81" s="84"/>
      <c r="V81" s="84"/>
      <c r="W81" s="84"/>
      <c r="X81" s="440"/>
      <c r="Y81" s="85"/>
    </row>
    <row r="82" spans="1:25" ht="20.25">
      <c r="I82" s="1"/>
      <c r="J82" s="1"/>
      <c r="K82" s="63"/>
      <c r="L82" s="63"/>
      <c r="M82" s="63"/>
      <c r="N82" s="63"/>
    </row>
  </sheetData>
  <sheetProtection algorithmName="SHA-512" hashValue="C1O9RWShy01exoRFyptfzhDEEB6KSBLS/u87gDxFWItWPzZCXAY6LRKUBO3sgpQc7Cb2YJczMa9m1yySYybfNQ==" saltValue="BQH2WX+x6hFR6YLg8uu3NA==" spinCount="100000" sheet="1" objects="1" scenarios="1" formatCells="0" formatColumns="0" formatRows="0" insertColumns="0" insertRows="0" insertHyperlinks="0" deleteColumns="0" deleteRows="0" sort="0" autoFilter="0" pivotTables="0"/>
  <mergeCells count="16">
    <mergeCell ref="AG11:AG15"/>
    <mergeCell ref="AI11:AI15"/>
    <mergeCell ref="AD11:AD15"/>
    <mergeCell ref="AB11:AB15"/>
    <mergeCell ref="R1:U1"/>
    <mergeCell ref="Y1:Y4"/>
    <mergeCell ref="A1:B2"/>
    <mergeCell ref="C1:F1"/>
    <mergeCell ref="H1:H4"/>
    <mergeCell ref="B3:B4"/>
    <mergeCell ref="Q3:Q4"/>
    <mergeCell ref="P1:Q2"/>
    <mergeCell ref="I1:J2"/>
    <mergeCell ref="K1:N1"/>
    <mergeCell ref="J3:J4"/>
    <mergeCell ref="O1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ปร.6</vt:lpstr>
      <vt:lpstr>ปร.5(ก)</vt:lpstr>
      <vt:lpstr>ปร.5(ข)</vt:lpstr>
      <vt:lpstr>ปร.4 </vt:lpstr>
      <vt:lpstr>ครุภัณฑ์</vt:lpstr>
      <vt:lpstr>factor f</vt:lpstr>
      <vt:lpstr>Structure</vt:lpstr>
      <vt:lpstr>Architecture </vt:lpstr>
      <vt:lpstr>Sannitary ware</vt:lpstr>
      <vt:lpstr>'factor f'!Print_Area</vt:lpstr>
      <vt:lpstr>ครุภัณฑ์!Print_Area</vt:lpstr>
      <vt:lpstr>'ปร.4 '!Print_Area</vt:lpstr>
      <vt:lpstr>'ปร.5(ก)'!Print_Area</vt:lpstr>
      <vt:lpstr>'ปร.5(ข)'!Print_Area</vt:lpstr>
      <vt:lpstr>ปร.6!Print_Area</vt:lpstr>
      <vt:lpstr>Structure!Print_Titles</vt:lpstr>
      <vt:lpstr>ครุภัณฑ์!Print_Titles</vt:lpstr>
      <vt:lpstr>'ปร.4 '!Print_Titles</vt:lpstr>
      <vt:lpstr>ปร.6!Print_Titles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</dc:creator>
  <cp:lastModifiedBy>president048</cp:lastModifiedBy>
  <cp:lastPrinted>2025-07-16T08:27:59Z</cp:lastPrinted>
  <dcterms:created xsi:type="dcterms:W3CDTF">2019-02-28T07:07:06Z</dcterms:created>
  <dcterms:modified xsi:type="dcterms:W3CDTF">2025-07-17T03:38:29Z</dcterms:modified>
</cp:coreProperties>
</file>