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esident048\OneDrive - Rajamangala University of Technology Isan\Pictures\Desktop\"/>
    </mc:Choice>
  </mc:AlternateContent>
  <bookViews>
    <workbookView xWindow="0" yWindow="0" windowWidth="21570" windowHeight="9480" tabRatio="813" firstSheet="2" activeTab="2"/>
  </bookViews>
  <sheets>
    <sheet name="XXXXXXX" sheetId="16" state="veryHidden" r:id="rId1"/>
    <sheet name="ผ่อง" sheetId="23" state="veryHidden" r:id="rId2"/>
    <sheet name="ปร.6" sheetId="63" r:id="rId3"/>
    <sheet name="ปร.5(ก)" sheetId="62" r:id="rId4"/>
    <sheet name="ปร.5(ข)" sheetId="64" r:id="rId5"/>
    <sheet name="ปร.4(ก)" sheetId="78" r:id="rId6"/>
    <sheet name="ปร.4(ข)" sheetId="79" r:id="rId7"/>
    <sheet name="ชื่อโครงการ" sheetId="71" r:id="rId8"/>
    <sheet name="Factor F" sheetId="72" r:id="rId9"/>
  </sheets>
  <externalReferences>
    <externalReference r:id="rId10"/>
    <externalReference r:id="rId11"/>
    <externalReference r:id="rId12"/>
    <externalReference r:id="rId13"/>
  </externalReferences>
  <definedNames>
    <definedName name="_day1">#REF!</definedName>
    <definedName name="_day10">#REF!</definedName>
    <definedName name="_day11">#REF!</definedName>
    <definedName name="_day12">#REF!</definedName>
    <definedName name="_day13">#REF!</definedName>
    <definedName name="_day19">#REF!</definedName>
    <definedName name="_day2">#REF!</definedName>
    <definedName name="_day3">#REF!</definedName>
    <definedName name="_day4">#REF!</definedName>
    <definedName name="_day5">#REF!</definedName>
    <definedName name="_day6">#REF!</definedName>
    <definedName name="_day7">#REF!</definedName>
    <definedName name="_day8">#REF!</definedName>
    <definedName name="_day9">#REF!</definedName>
    <definedName name="cost1">#REF!</definedName>
    <definedName name="cost10">#REF!</definedName>
    <definedName name="cost11">#REF!</definedName>
    <definedName name="cost12">#REF!</definedName>
    <definedName name="cost13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ost8">#REF!</definedName>
    <definedName name="cost9">#REF!</definedName>
    <definedName name="LLOOO">#REF!</definedName>
    <definedName name="_xlnm.Print_Area" localSheetId="5">'ปร.4(ก)'!$A$1:$J$415</definedName>
    <definedName name="_xlnm.Print_Area" localSheetId="3">'ปร.5(ก)'!$A$1:$F$31</definedName>
    <definedName name="_xlnm.Print_Area" localSheetId="4">'ปร.5(ข)'!$A$1:$F$32</definedName>
    <definedName name="_xlnm.Print_Area" localSheetId="2">ปร.6!$A$1:$E$31</definedName>
    <definedName name="_xlnm.Print_Area">#REF!</definedName>
    <definedName name="PRINT_AREA_MI">#REF!</definedName>
    <definedName name="_xlnm.Print_Titles" localSheetId="5">'ปร.4(ก)'!$1:$9</definedName>
    <definedName name="_xlnm.Print_Titles" localSheetId="6">'ปร.4(ข)'!$1:$9</definedName>
    <definedName name="กกกกก">#REF!</definedName>
    <definedName name="งานทั่วไป">[1]ภูมิทัศน์!#REF!</definedName>
    <definedName name="งานบัวเชิงผนัง">[1]ภูมิทัศน์!#REF!</definedName>
    <definedName name="งานประตูหน้าต่าง">[1]ภูมิทัศน์!#REF!</definedName>
    <definedName name="งานผนัง">[1]ภูมิทัศน์!#REF!</definedName>
    <definedName name="งานฝ้าเพดาน">[1]ภูมิทัศน์!#REF!</definedName>
    <definedName name="งานพื้น">[1]ภูมิทัศน์!#REF!</definedName>
    <definedName name="งานสุขภัณฑ์">[1]ภูมิทัศน์!#REF!</definedName>
    <definedName name="งานหลังคา">[1]ภูมิทัศน์!#REF!</definedName>
    <definedName name="จัดสร้าง">#REF!</definedName>
    <definedName name="ใช่">#REF!</definedName>
    <definedName name="ดด">#REF!</definedName>
    <definedName name="วววววววว">#REF!</definedName>
    <definedName name="ววววววววว">#REF!</definedName>
    <definedName name="ศาลปกครอง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3" i="78" l="1"/>
  <c r="G324" i="78"/>
  <c r="G325" i="78"/>
  <c r="G326" i="78"/>
  <c r="G327" i="78"/>
  <c r="G328" i="78"/>
  <c r="G329" i="78"/>
  <c r="G330" i="78"/>
  <c r="G331" i="78"/>
  <c r="G332" i="78"/>
  <c r="G333" i="78"/>
  <c r="G334" i="78"/>
  <c r="G335" i="78"/>
  <c r="G336" i="78"/>
  <c r="G337" i="78"/>
  <c r="G338" i="78"/>
  <c r="G339" i="78"/>
  <c r="G340" i="78"/>
  <c r="G341" i="78"/>
  <c r="G342" i="78"/>
  <c r="G343" i="78"/>
  <c r="G344" i="78"/>
  <c r="G345" i="78"/>
  <c r="G346" i="78"/>
  <c r="G347" i="78"/>
  <c r="G348" i="78"/>
  <c r="G349" i="78"/>
  <c r="G350" i="78"/>
  <c r="G351" i="78"/>
  <c r="G352" i="78"/>
  <c r="G353" i="78"/>
  <c r="G354" i="78"/>
  <c r="G355" i="78"/>
  <c r="G356" i="78"/>
  <c r="G357" i="78"/>
  <c r="G358" i="78"/>
  <c r="G359" i="78"/>
  <c r="G360" i="78"/>
  <c r="G361" i="78"/>
  <c r="G362" i="78"/>
  <c r="G363" i="78"/>
  <c r="G364" i="78"/>
  <c r="G365" i="78"/>
  <c r="G366" i="78"/>
  <c r="G367" i="78"/>
  <c r="G368" i="78"/>
  <c r="G369" i="78"/>
  <c r="G370" i="78"/>
  <c r="G371" i="78"/>
  <c r="G372" i="78"/>
  <c r="G373" i="78"/>
  <c r="G374" i="78"/>
  <c r="G375" i="78"/>
  <c r="G376" i="78"/>
  <c r="G377" i="78"/>
  <c r="G378" i="78"/>
  <c r="G379" i="78"/>
  <c r="G380" i="78"/>
  <c r="G381" i="78"/>
  <c r="G382" i="78"/>
  <c r="G383" i="78"/>
  <c r="G384" i="78"/>
  <c r="G385" i="78"/>
  <c r="G386" i="78"/>
  <c r="G387" i="78"/>
  <c r="G388" i="78"/>
  <c r="G389" i="78"/>
  <c r="G390" i="78"/>
  <c r="G391" i="78"/>
  <c r="G392" i="78"/>
  <c r="G393" i="78"/>
  <c r="G394" i="78"/>
  <c r="G395" i="78"/>
  <c r="G396" i="78"/>
  <c r="G397" i="78"/>
  <c r="G398" i="78"/>
  <c r="G399" i="78"/>
  <c r="G400" i="78"/>
  <c r="G401" i="78"/>
  <c r="G402" i="78"/>
  <c r="F190" i="78"/>
  <c r="F11" i="78"/>
  <c r="F26" i="78"/>
  <c r="F27" i="78"/>
  <c r="F28" i="78"/>
  <c r="F29" i="78"/>
  <c r="F30" i="78"/>
  <c r="F31" i="78"/>
  <c r="F32" i="78"/>
  <c r="F33" i="78"/>
  <c r="F34" i="78"/>
  <c r="F35" i="78"/>
  <c r="F36" i="78"/>
  <c r="F37" i="78"/>
  <c r="F38" i="78"/>
  <c r="F39" i="78"/>
  <c r="F40" i="78"/>
  <c r="F41" i="78"/>
  <c r="F42" i="78"/>
  <c r="F43" i="78"/>
  <c r="F45" i="78"/>
  <c r="F46" i="78"/>
  <c r="F47" i="78"/>
  <c r="F48" i="78"/>
  <c r="F49" i="78"/>
  <c r="F50" i="78"/>
  <c r="F51" i="78"/>
  <c r="F52" i="78"/>
  <c r="F54" i="78"/>
  <c r="F55" i="78"/>
  <c r="F56" i="78"/>
  <c r="F57" i="78"/>
  <c r="F58" i="78"/>
  <c r="F59" i="78"/>
  <c r="F60" i="78"/>
  <c r="F61" i="78"/>
  <c r="F62" i="78"/>
  <c r="F63" i="78"/>
  <c r="F64" i="78"/>
  <c r="F65" i="78"/>
  <c r="F66" i="78"/>
  <c r="F67" i="78"/>
  <c r="F68" i="78"/>
  <c r="F69" i="78"/>
  <c r="F70" i="78"/>
  <c r="F72" i="78"/>
  <c r="F73" i="78"/>
  <c r="F74" i="78"/>
  <c r="F75" i="78"/>
  <c r="F76" i="78"/>
  <c r="F77" i="78"/>
  <c r="F78" i="78"/>
  <c r="F79" i="78"/>
  <c r="F81" i="78"/>
  <c r="F82" i="78"/>
  <c r="F83" i="78"/>
  <c r="F84" i="78"/>
  <c r="F85" i="78"/>
  <c r="F86" i="78"/>
  <c r="F87" i="78"/>
  <c r="F88" i="78"/>
  <c r="F89" i="78"/>
  <c r="F90" i="78"/>
  <c r="F91" i="78"/>
  <c r="F92" i="78"/>
  <c r="F93" i="78"/>
  <c r="F94" i="78"/>
  <c r="F97" i="78"/>
  <c r="F98" i="78"/>
  <c r="F99" i="78"/>
  <c r="F100" i="78"/>
  <c r="F101" i="78"/>
  <c r="F103" i="78"/>
  <c r="F104" i="78"/>
  <c r="F105" i="78"/>
  <c r="F106" i="78"/>
  <c r="F107" i="78"/>
  <c r="F108" i="78"/>
  <c r="F109" i="78"/>
  <c r="F111" i="78"/>
  <c r="F112" i="78"/>
  <c r="F113" i="78"/>
  <c r="F114" i="78"/>
  <c r="F115" i="78"/>
  <c r="F116" i="78"/>
  <c r="F117" i="78"/>
  <c r="F118" i="78"/>
  <c r="F120" i="78"/>
  <c r="F121" i="78"/>
  <c r="F122" i="78"/>
  <c r="F123" i="78"/>
  <c r="F124" i="78"/>
  <c r="F125" i="78"/>
  <c r="F126" i="78"/>
  <c r="F127" i="78"/>
  <c r="F128" i="78"/>
  <c r="F130" i="78"/>
  <c r="F131" i="78"/>
  <c r="F132" i="78"/>
  <c r="F133" i="78"/>
  <c r="F21" i="78"/>
  <c r="F22" i="78"/>
  <c r="F23" i="78"/>
  <c r="F137" i="78"/>
  <c r="F138" i="78"/>
  <c r="F139" i="78"/>
  <c r="F140" i="78"/>
  <c r="F141" i="78"/>
  <c r="F142" i="78"/>
  <c r="F143" i="78"/>
  <c r="F144" i="78"/>
  <c r="F145" i="78"/>
  <c r="F146" i="78"/>
  <c r="F147" i="78"/>
  <c r="F149" i="78"/>
  <c r="F150" i="78"/>
  <c r="F151" i="78"/>
  <c r="F152" i="78"/>
  <c r="F153" i="78"/>
  <c r="F154" i="78"/>
  <c r="F155" i="78"/>
  <c r="F156" i="78"/>
  <c r="F158" i="78"/>
  <c r="F159" i="78"/>
  <c r="F160" i="78"/>
  <c r="F161" i="78"/>
  <c r="F162" i="78"/>
  <c r="F164" i="78"/>
  <c r="F165" i="78"/>
  <c r="F166" i="78"/>
  <c r="F168" i="78"/>
  <c r="F169" i="78"/>
  <c r="F170" i="78"/>
  <c r="F172" i="78"/>
  <c r="F173" i="78"/>
  <c r="F174" i="78"/>
  <c r="F175" i="78"/>
  <c r="F177" i="78"/>
  <c r="F179" i="78"/>
  <c r="F181" i="78"/>
  <c r="F183" i="78"/>
  <c r="F186" i="78"/>
  <c r="F187" i="78"/>
  <c r="F188" i="78"/>
  <c r="F189" i="78"/>
  <c r="F191" i="78"/>
  <c r="F192" i="78"/>
  <c r="F193" i="78"/>
  <c r="F194" i="78"/>
  <c r="F195" i="78"/>
  <c r="F196" i="78"/>
  <c r="F197" i="78"/>
  <c r="F198" i="78"/>
  <c r="F199" i="78"/>
  <c r="F200" i="78"/>
  <c r="F201" i="78"/>
  <c r="F202" i="78"/>
  <c r="F203" i="78"/>
  <c r="F205" i="78"/>
  <c r="F206" i="78"/>
  <c r="F207" i="78"/>
  <c r="F208" i="78"/>
  <c r="F209" i="78"/>
  <c r="F210" i="78"/>
  <c r="F211" i="78"/>
  <c r="F212" i="78"/>
  <c r="F213" i="78"/>
  <c r="F214" i="78"/>
  <c r="F215" i="78"/>
  <c r="F216" i="78"/>
  <c r="F217" i="78"/>
  <c r="F218" i="78"/>
  <c r="F219" i="78"/>
  <c r="F220" i="78"/>
  <c r="F221" i="78"/>
  <c r="F222" i="78"/>
  <c r="F223" i="78"/>
  <c r="F224" i="78"/>
  <c r="F225" i="78"/>
  <c r="F226" i="78"/>
  <c r="F227" i="78"/>
  <c r="F228" i="78"/>
  <c r="F229" i="78"/>
  <c r="F230" i="78"/>
  <c r="F231" i="78"/>
  <c r="F232" i="78"/>
  <c r="F233" i="78"/>
  <c r="F234" i="78"/>
  <c r="F236" i="78"/>
  <c r="F237" i="78"/>
  <c r="F238" i="78"/>
  <c r="F239" i="78"/>
  <c r="F240" i="78"/>
  <c r="F241" i="78"/>
  <c r="F242" i="78"/>
  <c r="F244" i="78"/>
  <c r="F245" i="78"/>
  <c r="F246" i="78"/>
  <c r="F247" i="78"/>
  <c r="F248" i="78"/>
  <c r="F249" i="78"/>
  <c r="F250" i="78"/>
  <c r="F251" i="78"/>
  <c r="F252" i="78"/>
  <c r="F253" i="78"/>
  <c r="F254" i="78"/>
  <c r="F256" i="78"/>
  <c r="F257" i="78"/>
  <c r="F259" i="78"/>
  <c r="F260" i="78"/>
  <c r="F261" i="78"/>
  <c r="F265" i="78"/>
  <c r="F266" i="78"/>
  <c r="F267" i="78"/>
  <c r="F268" i="78"/>
  <c r="F270" i="78"/>
  <c r="F271" i="78"/>
  <c r="F276" i="78"/>
  <c r="F277" i="78"/>
  <c r="F278" i="78"/>
  <c r="F279" i="78"/>
  <c r="F281" i="78"/>
  <c r="F282" i="78"/>
  <c r="F283" i="78"/>
  <c r="F288" i="78"/>
  <c r="F293" i="78"/>
  <c r="F294" i="78"/>
  <c r="F297" i="78"/>
  <c r="F298" i="78"/>
  <c r="F299" i="78"/>
  <c r="F300" i="78"/>
  <c r="F301" i="78"/>
  <c r="F302" i="78"/>
  <c r="F303" i="78"/>
  <c r="F304" i="78"/>
  <c r="F305" i="78"/>
  <c r="F306" i="78"/>
  <c r="F309" i="78"/>
  <c r="F310" i="78"/>
  <c r="F311" i="78"/>
  <c r="F312" i="78"/>
  <c r="F313" i="78"/>
  <c r="F314" i="78"/>
  <c r="F315" i="78"/>
  <c r="F316" i="78"/>
  <c r="F322" i="78"/>
  <c r="F323" i="78"/>
  <c r="F324" i="78"/>
  <c r="F325" i="78"/>
  <c r="F326" i="78"/>
  <c r="F327" i="78"/>
  <c r="F328" i="78"/>
  <c r="F329" i="78"/>
  <c r="F330" i="78"/>
  <c r="F331" i="78"/>
  <c r="F334" i="78"/>
  <c r="F335" i="78"/>
  <c r="F336" i="78"/>
  <c r="F337" i="78"/>
  <c r="F338" i="78"/>
  <c r="F339" i="78"/>
  <c r="F340" i="78"/>
  <c r="F341" i="78"/>
  <c r="F344" i="78"/>
  <c r="F345" i="78"/>
  <c r="F346" i="78"/>
  <c r="F347" i="78"/>
  <c r="F348" i="78"/>
  <c r="F351" i="78"/>
  <c r="F352" i="78"/>
  <c r="F353" i="78"/>
  <c r="F354" i="78"/>
  <c r="F355" i="78"/>
  <c r="F356" i="78"/>
  <c r="F357" i="78"/>
  <c r="F358" i="78"/>
  <c r="F359" i="78"/>
  <c r="F360" i="78"/>
  <c r="F361" i="78"/>
  <c r="F362" i="78"/>
  <c r="F363" i="78"/>
  <c r="F364" i="78"/>
  <c r="F366" i="78"/>
  <c r="F367" i="78"/>
  <c r="F368" i="78"/>
  <c r="F369" i="78"/>
  <c r="F370" i="78"/>
  <c r="F371" i="78"/>
  <c r="F372" i="78"/>
  <c r="F373" i="78"/>
  <c r="F374" i="78"/>
  <c r="F377" i="78"/>
  <c r="F378" i="78"/>
  <c r="F379" i="78"/>
  <c r="F380" i="78"/>
  <c r="F381" i="78"/>
  <c r="F382" i="78"/>
  <c r="F383" i="78"/>
  <c r="F386" i="78"/>
  <c r="F387" i="78"/>
  <c r="F388" i="78"/>
  <c r="F389" i="78"/>
  <c r="F390" i="78"/>
  <c r="F391" i="78"/>
  <c r="F392" i="78"/>
  <c r="F393" i="78"/>
  <c r="F394" i="78"/>
  <c r="F397" i="78"/>
  <c r="F398" i="78"/>
  <c r="F399" i="78"/>
  <c r="F400" i="78"/>
  <c r="F401" i="78"/>
  <c r="C61" i="78"/>
  <c r="C84" i="78"/>
  <c r="C86" i="78"/>
  <c r="C56" i="78"/>
  <c r="C98" i="78"/>
  <c r="C125" i="78"/>
  <c r="F262" i="78" l="1"/>
  <c r="F13" i="78" s="1"/>
  <c r="F134" i="78"/>
  <c r="F12" i="78" s="1"/>
  <c r="C114" i="78"/>
  <c r="C121" i="78"/>
  <c r="H28" i="79"/>
  <c r="F28" i="79"/>
  <c r="H27" i="79"/>
  <c r="F27" i="79"/>
  <c r="H26" i="79"/>
  <c r="F26" i="79"/>
  <c r="H25" i="79"/>
  <c r="F25" i="79"/>
  <c r="H24" i="79"/>
  <c r="F24" i="79"/>
  <c r="H23" i="79"/>
  <c r="F23" i="79"/>
  <c r="H22" i="79"/>
  <c r="F22" i="79"/>
  <c r="H21" i="79"/>
  <c r="F21" i="79"/>
  <c r="H20" i="79"/>
  <c r="F20" i="79"/>
  <c r="A6" i="79"/>
  <c r="A6" i="78"/>
  <c r="A2" i="79"/>
  <c r="A3" i="79"/>
  <c r="A4" i="79"/>
  <c r="A5" i="79"/>
  <c r="F11" i="79"/>
  <c r="I11" i="79" s="1"/>
  <c r="F12" i="79"/>
  <c r="I12" i="79" s="1"/>
  <c r="F13" i="79"/>
  <c r="I13" i="79"/>
  <c r="F14" i="79"/>
  <c r="I14" i="79" s="1"/>
  <c r="F15" i="79"/>
  <c r="I15" i="79"/>
  <c r="F16" i="79"/>
  <c r="I16" i="79"/>
  <c r="F17" i="79"/>
  <c r="I17" i="79" s="1"/>
  <c r="H29" i="79"/>
  <c r="I20" i="79" l="1"/>
  <c r="I24" i="79"/>
  <c r="I26" i="79"/>
  <c r="I28" i="79"/>
  <c r="I27" i="79"/>
  <c r="I23" i="79"/>
  <c r="I22" i="79"/>
  <c r="I25" i="79"/>
  <c r="F29" i="79"/>
  <c r="I21" i="79"/>
  <c r="I29" i="79" l="1"/>
  <c r="C13" i="64" s="1"/>
  <c r="A2" i="78"/>
  <c r="A3" i="78"/>
  <c r="A4" i="78"/>
  <c r="A5" i="78"/>
  <c r="B17" i="78"/>
  <c r="B20" i="78"/>
  <c r="B23" i="78" s="1"/>
  <c r="H21" i="78"/>
  <c r="H22" i="78"/>
  <c r="I22" i="78" s="1"/>
  <c r="B24" i="78"/>
  <c r="H26" i="78"/>
  <c r="C27" i="78"/>
  <c r="H28" i="78"/>
  <c r="H29" i="78"/>
  <c r="I29" i="78" s="1"/>
  <c r="H30" i="78"/>
  <c r="I30" i="78"/>
  <c r="C31" i="78"/>
  <c r="H32" i="78"/>
  <c r="H33" i="78"/>
  <c r="H34" i="78"/>
  <c r="H35" i="78"/>
  <c r="C36" i="78"/>
  <c r="C37" i="78"/>
  <c r="C38" i="78"/>
  <c r="H38" i="78" s="1"/>
  <c r="C39" i="78"/>
  <c r="C42" i="78"/>
  <c r="C41" i="78" s="1"/>
  <c r="H45" i="78"/>
  <c r="H46" i="78"/>
  <c r="C47" i="78"/>
  <c r="C48" i="78"/>
  <c r="H48" i="78" s="1"/>
  <c r="C50" i="78"/>
  <c r="H51" i="78"/>
  <c r="C52" i="78"/>
  <c r="H52" i="78" s="1"/>
  <c r="C54" i="78"/>
  <c r="H54" i="78" s="1"/>
  <c r="C55" i="78"/>
  <c r="H55" i="78" s="1"/>
  <c r="H57" i="78"/>
  <c r="C58" i="78"/>
  <c r="C59" i="78"/>
  <c r="C60" i="78"/>
  <c r="H61" i="78"/>
  <c r="C64" i="78"/>
  <c r="C63" i="78" s="1"/>
  <c r="H66" i="78"/>
  <c r="H67" i="78"/>
  <c r="C68" i="78"/>
  <c r="C69" i="78"/>
  <c r="H69" i="78" s="1"/>
  <c r="H70" i="78"/>
  <c r="C72" i="78"/>
  <c r="H73" i="78"/>
  <c r="C74" i="78"/>
  <c r="C75" i="78"/>
  <c r="C78" i="78"/>
  <c r="C77" i="78" s="1"/>
  <c r="C81" i="78"/>
  <c r="H82" i="78"/>
  <c r="C83" i="78"/>
  <c r="H84" i="78"/>
  <c r="C85" i="78"/>
  <c r="H86" i="78"/>
  <c r="C89" i="78"/>
  <c r="C88" i="78" s="1"/>
  <c r="H91" i="78"/>
  <c r="C92" i="78"/>
  <c r="H93" i="78"/>
  <c r="H94" i="78"/>
  <c r="C97" i="78"/>
  <c r="C99" i="78"/>
  <c r="H99" i="78" s="1"/>
  <c r="H100" i="78"/>
  <c r="H101" i="78"/>
  <c r="H103" i="78"/>
  <c r="H104" i="78"/>
  <c r="C105" i="78"/>
  <c r="C108" i="78"/>
  <c r="C107" i="78" s="1"/>
  <c r="H111" i="78"/>
  <c r="C112" i="78"/>
  <c r="C113" i="78"/>
  <c r="H114" i="78"/>
  <c r="H116" i="78"/>
  <c r="H117" i="78"/>
  <c r="H118" i="78"/>
  <c r="H120" i="78"/>
  <c r="C122" i="78"/>
  <c r="C123" i="78"/>
  <c r="H123" i="78" s="1"/>
  <c r="C124" i="78"/>
  <c r="H124" i="78" s="1"/>
  <c r="C126" i="78"/>
  <c r="C127" i="78"/>
  <c r="C128" i="78"/>
  <c r="H128" i="78" s="1"/>
  <c r="C130" i="78"/>
  <c r="H131" i="78"/>
  <c r="C132" i="78"/>
  <c r="H132" i="78" s="1"/>
  <c r="C133" i="78"/>
  <c r="B134" i="78"/>
  <c r="C137" i="78"/>
  <c r="H137" i="78" s="1"/>
  <c r="C138" i="78"/>
  <c r="H138" i="78" s="1"/>
  <c r="H139" i="78"/>
  <c r="H140" i="78"/>
  <c r="H141" i="78"/>
  <c r="H142" i="78"/>
  <c r="H143" i="78"/>
  <c r="H144" i="78"/>
  <c r="H145" i="78"/>
  <c r="H146" i="78"/>
  <c r="C147" i="78"/>
  <c r="H147" i="78" s="1"/>
  <c r="C149" i="78"/>
  <c r="H150" i="78"/>
  <c r="C151" i="78"/>
  <c r="H151" i="78" s="1"/>
  <c r="H152" i="78"/>
  <c r="H153" i="78"/>
  <c r="H154" i="78"/>
  <c r="H155" i="78"/>
  <c r="H156" i="78"/>
  <c r="C158" i="78"/>
  <c r="H159" i="78"/>
  <c r="H160" i="78"/>
  <c r="H161" i="78"/>
  <c r="I161" i="78" s="1"/>
  <c r="H162" i="78"/>
  <c r="C164" i="78"/>
  <c r="C166" i="78"/>
  <c r="H166" i="78" s="1"/>
  <c r="C168" i="78"/>
  <c r="C169" i="78"/>
  <c r="H170" i="78"/>
  <c r="C172" i="78"/>
  <c r="C173" i="78"/>
  <c r="H174" i="78"/>
  <c r="H175" i="78"/>
  <c r="C177" i="78"/>
  <c r="C179" i="78"/>
  <c r="C165" i="78" s="1"/>
  <c r="C183" i="78"/>
  <c r="H186" i="78"/>
  <c r="H187" i="78"/>
  <c r="H188" i="78"/>
  <c r="H189" i="78"/>
  <c r="H190" i="78"/>
  <c r="I190" i="78" s="1"/>
  <c r="H191" i="78"/>
  <c r="H192" i="78"/>
  <c r="H193" i="78"/>
  <c r="H194" i="78"/>
  <c r="H195" i="78"/>
  <c r="H196" i="78"/>
  <c r="H197" i="78"/>
  <c r="H198" i="78"/>
  <c r="H199" i="78"/>
  <c r="H200" i="78"/>
  <c r="H201" i="78"/>
  <c r="H202" i="78"/>
  <c r="H203" i="78"/>
  <c r="H205" i="78"/>
  <c r="H206" i="78"/>
  <c r="H207" i="78"/>
  <c r="H208" i="78"/>
  <c r="H209" i="78"/>
  <c r="H210" i="78"/>
  <c r="H211" i="78"/>
  <c r="H212" i="78"/>
  <c r="H213" i="78"/>
  <c r="H214" i="78"/>
  <c r="H215" i="78"/>
  <c r="H216" i="78"/>
  <c r="H217" i="78"/>
  <c r="H218" i="78"/>
  <c r="H219" i="78"/>
  <c r="H220" i="78"/>
  <c r="H221" i="78"/>
  <c r="H222" i="78"/>
  <c r="H223" i="78"/>
  <c r="H224" i="78"/>
  <c r="H225" i="78"/>
  <c r="H226" i="78"/>
  <c r="H227" i="78"/>
  <c r="H228" i="78"/>
  <c r="H229" i="78"/>
  <c r="H230" i="78"/>
  <c r="H231" i="78"/>
  <c r="H232" i="78"/>
  <c r="H233" i="78"/>
  <c r="H234" i="78"/>
  <c r="C236" i="78"/>
  <c r="C237" i="78"/>
  <c r="H238" i="78"/>
  <c r="C240" i="78"/>
  <c r="H241" i="78"/>
  <c r="H242" i="78"/>
  <c r="C244" i="78"/>
  <c r="H244" i="78" s="1"/>
  <c r="C245" i="78"/>
  <c r="C246" i="78"/>
  <c r="C247" i="78"/>
  <c r="C249" i="78"/>
  <c r="H250" i="78"/>
  <c r="C251" i="78"/>
  <c r="H251" i="78" s="1"/>
  <c r="H252" i="78"/>
  <c r="H253" i="78"/>
  <c r="H254" i="78"/>
  <c r="H256" i="78"/>
  <c r="H257" i="78"/>
  <c r="H259" i="78"/>
  <c r="H260" i="78"/>
  <c r="H261" i="78"/>
  <c r="B262" i="78"/>
  <c r="B263" i="78"/>
  <c r="H265" i="78"/>
  <c r="H266" i="78"/>
  <c r="H267" i="78"/>
  <c r="H268" i="78"/>
  <c r="H270" i="78"/>
  <c r="H271" i="78"/>
  <c r="H276" i="78"/>
  <c r="H277" i="78"/>
  <c r="H278" i="78"/>
  <c r="H279" i="78"/>
  <c r="H281" i="78"/>
  <c r="H282" i="78"/>
  <c r="H283" i="78"/>
  <c r="F289" i="78"/>
  <c r="H288" i="78"/>
  <c r="H289" i="78"/>
  <c r="B290" i="78"/>
  <c r="B291" i="78"/>
  <c r="B319" i="78" s="1"/>
  <c r="H293" i="78"/>
  <c r="I293" i="78" s="1"/>
  <c r="H294" i="78"/>
  <c r="H295" i="78"/>
  <c r="C297" i="78"/>
  <c r="H297" i="78" s="1"/>
  <c r="C298" i="78"/>
  <c r="C299" i="78"/>
  <c r="H299" i="78" s="1"/>
  <c r="C300" i="78"/>
  <c r="H300" i="78" s="1"/>
  <c r="C301" i="78"/>
  <c r="H301" i="78" s="1"/>
  <c r="C302" i="78"/>
  <c r="C303" i="78"/>
  <c r="C304" i="78"/>
  <c r="C305" i="78"/>
  <c r="C306" i="78"/>
  <c r="H307" i="78"/>
  <c r="H309" i="78"/>
  <c r="H310" i="78"/>
  <c r="H311" i="78"/>
  <c r="C312" i="78"/>
  <c r="C313" i="78"/>
  <c r="H313" i="78" s="1"/>
  <c r="H314" i="78"/>
  <c r="H315" i="78"/>
  <c r="H316" i="78"/>
  <c r="H317" i="78"/>
  <c r="G322" i="78"/>
  <c r="H322" i="78" s="1"/>
  <c r="I322" i="78" s="1"/>
  <c r="H323" i="78"/>
  <c r="H324" i="78"/>
  <c r="H325" i="78"/>
  <c r="H326" i="78"/>
  <c r="H327" i="78"/>
  <c r="H328" i="78"/>
  <c r="H329" i="78"/>
  <c r="H330" i="78"/>
  <c r="H331" i="78"/>
  <c r="H332" i="78"/>
  <c r="H334" i="78"/>
  <c r="H335" i="78"/>
  <c r="H336" i="78"/>
  <c r="H337" i="78"/>
  <c r="H338" i="78"/>
  <c r="H339" i="78"/>
  <c r="H340" i="78"/>
  <c r="H341" i="78"/>
  <c r="H342" i="78"/>
  <c r="H344" i="78"/>
  <c r="H345" i="78"/>
  <c r="H346" i="78"/>
  <c r="H347" i="78"/>
  <c r="H348" i="78"/>
  <c r="H349" i="78"/>
  <c r="H351" i="78"/>
  <c r="H352" i="78"/>
  <c r="H353" i="78"/>
  <c r="H354" i="78"/>
  <c r="H355" i="78"/>
  <c r="H356" i="78"/>
  <c r="H357" i="78"/>
  <c r="H358" i="78"/>
  <c r="H359" i="78"/>
  <c r="I359" i="78" s="1"/>
  <c r="H360" i="78"/>
  <c r="I360" i="78" s="1"/>
  <c r="H361" i="78"/>
  <c r="H362" i="78"/>
  <c r="H363" i="78"/>
  <c r="H364" i="78"/>
  <c r="C366" i="78"/>
  <c r="H367" i="78"/>
  <c r="H368" i="78"/>
  <c r="H369" i="78"/>
  <c r="I369" i="78" s="1"/>
  <c r="H370" i="78"/>
  <c r="H371" i="78"/>
  <c r="H372" i="78"/>
  <c r="H373" i="78"/>
  <c r="H374" i="78"/>
  <c r="I374" i="78" s="1"/>
  <c r="H375" i="78"/>
  <c r="H377" i="78"/>
  <c r="H378" i="78"/>
  <c r="H379" i="78"/>
  <c r="H380" i="78"/>
  <c r="H381" i="78"/>
  <c r="H382" i="78"/>
  <c r="H383" i="78"/>
  <c r="H384" i="78"/>
  <c r="H386" i="78"/>
  <c r="H387" i="78"/>
  <c r="H388" i="78"/>
  <c r="H389" i="78"/>
  <c r="H390" i="78"/>
  <c r="H391" i="78"/>
  <c r="C392" i="78"/>
  <c r="C393" i="78"/>
  <c r="H393" i="78" s="1"/>
  <c r="C394" i="78"/>
  <c r="H395" i="78"/>
  <c r="H397" i="78"/>
  <c r="H398" i="78"/>
  <c r="H399" i="78"/>
  <c r="H400" i="78"/>
  <c r="H401" i="78"/>
  <c r="H402" i="78"/>
  <c r="B403" i="78"/>
  <c r="I372" i="78" l="1"/>
  <c r="I294" i="78"/>
  <c r="H81" i="78"/>
  <c r="I81" i="78" s="1"/>
  <c r="H27" i="78"/>
  <c r="I186" i="78"/>
  <c r="F295" i="78"/>
  <c r="I33" i="78"/>
  <c r="I32" i="78"/>
  <c r="H112" i="78"/>
  <c r="I112" i="78" s="1"/>
  <c r="I355" i="78"/>
  <c r="I338" i="78"/>
  <c r="I353" i="78"/>
  <c r="I132" i="78"/>
  <c r="I367" i="78"/>
  <c r="I45" i="78"/>
  <c r="I230" i="78"/>
  <c r="I94" i="78"/>
  <c r="I383" i="78"/>
  <c r="I368" i="78"/>
  <c r="I241" i="78"/>
  <c r="I137" i="78"/>
  <c r="I364" i="78"/>
  <c r="I256" i="78"/>
  <c r="I34" i="78"/>
  <c r="I351" i="78"/>
  <c r="H172" i="78"/>
  <c r="I172" i="78" s="1"/>
  <c r="I362" i="78"/>
  <c r="H127" i="78"/>
  <c r="I127" i="78" s="1"/>
  <c r="I100" i="78"/>
  <c r="I373" i="78"/>
  <c r="I344" i="78"/>
  <c r="I170" i="78"/>
  <c r="H42" i="78"/>
  <c r="I196" i="78"/>
  <c r="I270" i="78"/>
  <c r="I191" i="78"/>
  <c r="I209" i="78"/>
  <c r="I223" i="78"/>
  <c r="I387" i="78"/>
  <c r="I145" i="78"/>
  <c r="I55" i="78"/>
  <c r="I123" i="78"/>
  <c r="H158" i="78"/>
  <c r="I379" i="78"/>
  <c r="I313" i="78"/>
  <c r="H177" i="78"/>
  <c r="I177" i="78" s="1"/>
  <c r="I391" i="78"/>
  <c r="H169" i="78"/>
  <c r="I169" i="78" s="1"/>
  <c r="I114" i="78"/>
  <c r="I69" i="78"/>
  <c r="I91" i="78"/>
  <c r="I244" i="78"/>
  <c r="I397" i="78"/>
  <c r="I363" i="78"/>
  <c r="I281" i="78"/>
  <c r="I82" i="78"/>
  <c r="I361" i="78"/>
  <c r="H121" i="78"/>
  <c r="I121" i="78" s="1"/>
  <c r="I345" i="78"/>
  <c r="I254" i="78"/>
  <c r="I99" i="78"/>
  <c r="I214" i="78"/>
  <c r="I271" i="78"/>
  <c r="I73" i="78"/>
  <c r="I386" i="78"/>
  <c r="I357" i="78"/>
  <c r="H72" i="78"/>
  <c r="I72" i="78" s="1"/>
  <c r="I301" i="78"/>
  <c r="I93" i="78"/>
  <c r="H305" i="78"/>
  <c r="I305" i="78" s="1"/>
  <c r="H303" i="78"/>
  <c r="I303" i="78" s="1"/>
  <c r="H168" i="78"/>
  <c r="I168" i="78" s="1"/>
  <c r="I117" i="78"/>
  <c r="I233" i="78"/>
  <c r="I226" i="78"/>
  <c r="I381" i="78"/>
  <c r="I337" i="78"/>
  <c r="H366" i="78"/>
  <c r="I366" i="78" s="1"/>
  <c r="I300" i="78"/>
  <c r="I187" i="78"/>
  <c r="I162" i="78"/>
  <c r="I66" i="78"/>
  <c r="F272" i="78"/>
  <c r="I200" i="78"/>
  <c r="I299" i="78"/>
  <c r="I147" i="78"/>
  <c r="I265" i="78"/>
  <c r="I101" i="78"/>
  <c r="I128" i="78"/>
  <c r="H298" i="78"/>
  <c r="I298" i="78" s="1"/>
  <c r="H392" i="78"/>
  <c r="I392" i="78" s="1"/>
  <c r="I234" i="78"/>
  <c r="I86" i="78"/>
  <c r="I138" i="78"/>
  <c r="H183" i="78"/>
  <c r="I183" i="78" s="1"/>
  <c r="I259" i="78"/>
  <c r="I175" i="78"/>
  <c r="I401" i="78"/>
  <c r="I227" i="78"/>
  <c r="I216" i="78"/>
  <c r="I143" i="78"/>
  <c r="H126" i="78"/>
  <c r="I126" i="78" s="1"/>
  <c r="I358" i="78"/>
  <c r="I238" i="78"/>
  <c r="I54" i="78"/>
  <c r="I370" i="78"/>
  <c r="I124" i="78"/>
  <c r="I52" i="78"/>
  <c r="I116" i="78"/>
  <c r="I277" i="78"/>
  <c r="I356" i="78"/>
  <c r="I267" i="78"/>
  <c r="H50" i="78"/>
  <c r="I50" i="78" s="1"/>
  <c r="I131" i="78"/>
  <c r="I325" i="78"/>
  <c r="H249" i="78"/>
  <c r="I249" i="78" s="1"/>
  <c r="I84" i="78"/>
  <c r="I48" i="78"/>
  <c r="I206" i="78"/>
  <c r="C181" i="78"/>
  <c r="H181" i="78" s="1"/>
  <c r="I347" i="78"/>
  <c r="I314" i="78"/>
  <c r="I140" i="78"/>
  <c r="I26" i="78"/>
  <c r="I197" i="78"/>
  <c r="I159" i="78"/>
  <c r="I219" i="78"/>
  <c r="I118" i="78"/>
  <c r="I310" i="78"/>
  <c r="I252" i="78"/>
  <c r="H47" i="78"/>
  <c r="I393" i="78"/>
  <c r="I251" i="78"/>
  <c r="I61" i="78"/>
  <c r="I195" i="78"/>
  <c r="I104" i="78"/>
  <c r="I334" i="78"/>
  <c r="I331" i="78"/>
  <c r="H302" i="78"/>
  <c r="I302" i="78" s="1"/>
  <c r="H133" i="78"/>
  <c r="I133" i="78" s="1"/>
  <c r="I38" i="78"/>
  <c r="I371" i="78"/>
  <c r="I398" i="78"/>
  <c r="I231" i="78"/>
  <c r="I339" i="78"/>
  <c r="C79" i="78"/>
  <c r="I260" i="78"/>
  <c r="I189" i="78"/>
  <c r="I327" i="78"/>
  <c r="I378" i="78"/>
  <c r="I253" i="78"/>
  <c r="H240" i="78"/>
  <c r="I240" i="78" s="1"/>
  <c r="I153" i="78"/>
  <c r="H78" i="78"/>
  <c r="I242" i="78"/>
  <c r="I142" i="78"/>
  <c r="I166" i="78"/>
  <c r="I266" i="78"/>
  <c r="I210" i="78"/>
  <c r="I282" i="78"/>
  <c r="I220" i="78"/>
  <c r="I228" i="78"/>
  <c r="I154" i="78"/>
  <c r="H37" i="78"/>
  <c r="I354" i="78"/>
  <c r="H164" i="78"/>
  <c r="I164" i="78" s="1"/>
  <c r="I311" i="78"/>
  <c r="I382" i="78"/>
  <c r="I199" i="78"/>
  <c r="I377" i="78"/>
  <c r="I276" i="78"/>
  <c r="I224" i="78"/>
  <c r="I335" i="78"/>
  <c r="H59" i="78"/>
  <c r="I120" i="78"/>
  <c r="I389" i="78"/>
  <c r="I194" i="78"/>
  <c r="I388" i="78"/>
  <c r="I150" i="78"/>
  <c r="I400" i="78"/>
  <c r="I288" i="78"/>
  <c r="I205" i="78"/>
  <c r="C115" i="78"/>
  <c r="H115" i="78" s="1"/>
  <c r="I346" i="78"/>
  <c r="I316" i="78"/>
  <c r="H304" i="78"/>
  <c r="I304" i="78" s="1"/>
  <c r="I208" i="78"/>
  <c r="I111" i="78"/>
  <c r="I28" i="78"/>
  <c r="I289" i="78"/>
  <c r="I51" i="78"/>
  <c r="I315" i="78"/>
  <c r="I217" i="78"/>
  <c r="H179" i="78"/>
  <c r="H36" i="78"/>
  <c r="I225" i="78"/>
  <c r="I146" i="78"/>
  <c r="I341" i="78"/>
  <c r="I329" i="78"/>
  <c r="I232" i="78"/>
  <c r="I155" i="78"/>
  <c r="C90" i="78"/>
  <c r="H89" i="78"/>
  <c r="I103" i="78"/>
  <c r="I250" i="78"/>
  <c r="I203" i="78"/>
  <c r="I35" i="78"/>
  <c r="H23" i="78"/>
  <c r="H11" i="78" s="1"/>
  <c r="I11" i="78" s="1"/>
  <c r="I21" i="78"/>
  <c r="I326" i="78"/>
  <c r="I202" i="78"/>
  <c r="I278" i="78"/>
  <c r="I212" i="78"/>
  <c r="I141" i="78"/>
  <c r="I221" i="78"/>
  <c r="I57" i="78"/>
  <c r="I348" i="78"/>
  <c r="I336" i="78"/>
  <c r="I309" i="78"/>
  <c r="H246" i="78"/>
  <c r="H173" i="78"/>
  <c r="I173" i="78" s="1"/>
  <c r="H56" i="78"/>
  <c r="I56" i="78" s="1"/>
  <c r="I352" i="78"/>
  <c r="I279" i="78"/>
  <c r="I213" i="78"/>
  <c r="C49" i="78"/>
  <c r="I70" i="78"/>
  <c r="H41" i="78"/>
  <c r="F274" i="78"/>
  <c r="I207" i="78"/>
  <c r="I215" i="78"/>
  <c r="I222" i="78"/>
  <c r="I156" i="78"/>
  <c r="H75" i="78"/>
  <c r="I399" i="78"/>
  <c r="F285" i="78"/>
  <c r="I229" i="78"/>
  <c r="H98" i="78"/>
  <c r="I98" i="78" s="1"/>
  <c r="C40" i="78"/>
  <c r="I330" i="78"/>
  <c r="I257" i="78"/>
  <c r="I198" i="78"/>
  <c r="I390" i="78"/>
  <c r="I139" i="78"/>
  <c r="I27" i="78"/>
  <c r="I268" i="78"/>
  <c r="C239" i="78"/>
  <c r="I67" i="78"/>
  <c r="H85" i="78"/>
  <c r="H236" i="78"/>
  <c r="I236" i="78" s="1"/>
  <c r="H97" i="78"/>
  <c r="I97" i="78" s="1"/>
  <c r="H74" i="78"/>
  <c r="C43" i="78"/>
  <c r="I340" i="78"/>
  <c r="I192" i="78"/>
  <c r="I160" i="78"/>
  <c r="I144" i="78"/>
  <c r="I328" i="78"/>
  <c r="I211" i="78"/>
  <c r="I201" i="78"/>
  <c r="I261" i="78"/>
  <c r="I174" i="78"/>
  <c r="H247" i="78"/>
  <c r="I152" i="78"/>
  <c r="C87" i="78"/>
  <c r="H39" i="78"/>
  <c r="H312" i="78"/>
  <c r="I312" i="78" s="1"/>
  <c r="H92" i="78"/>
  <c r="I188" i="78"/>
  <c r="I151" i="78"/>
  <c r="I323" i="78"/>
  <c r="H107" i="78"/>
  <c r="I107" i="78"/>
  <c r="H245" i="78"/>
  <c r="I295" i="78"/>
  <c r="H63" i="78"/>
  <c r="I324" i="78"/>
  <c r="I193" i="78"/>
  <c r="H165" i="78"/>
  <c r="H60" i="78"/>
  <c r="H83" i="78"/>
  <c r="H108" i="78"/>
  <c r="C109" i="78"/>
  <c r="I46" i="78"/>
  <c r="C76" i="78"/>
  <c r="H77" i="78"/>
  <c r="H31" i="78"/>
  <c r="I380" i="78"/>
  <c r="I218" i="78"/>
  <c r="C62" i="78"/>
  <c r="I283" i="78"/>
  <c r="H88" i="78"/>
  <c r="I88" i="78" s="1"/>
  <c r="H68" i="78"/>
  <c r="H306" i="78"/>
  <c r="I306" i="78" s="1"/>
  <c r="C106" i="78"/>
  <c r="C65" i="78"/>
  <c r="H149" i="78"/>
  <c r="H105" i="78"/>
  <c r="H58" i="78"/>
  <c r="H394" i="78"/>
  <c r="I394" i="78" s="1"/>
  <c r="H237" i="78"/>
  <c r="H130" i="78"/>
  <c r="I130" i="78" s="1"/>
  <c r="H122" i="78"/>
  <c r="I122" i="78" s="1"/>
  <c r="H113" i="78"/>
  <c r="I113" i="78" s="1"/>
  <c r="H64" i="78"/>
  <c r="C248" i="78"/>
  <c r="I64" i="78"/>
  <c r="F286" i="78"/>
  <c r="F284" i="78"/>
  <c r="F375" i="78" l="1"/>
  <c r="I375" i="78" s="1"/>
  <c r="F402" i="78"/>
  <c r="I402" i="78" s="1"/>
  <c r="F342" i="78"/>
  <c r="I342" i="78" s="1"/>
  <c r="F349" i="78"/>
  <c r="I349" i="78" s="1"/>
  <c r="F384" i="78"/>
  <c r="I384" i="78" s="1"/>
  <c r="H273" i="78"/>
  <c r="F273" i="78"/>
  <c r="F290" i="78" s="1"/>
  <c r="F14" i="78" s="1"/>
  <c r="I42" i="78"/>
  <c r="I47" i="78"/>
  <c r="H49" i="78"/>
  <c r="I74" i="78"/>
  <c r="I158" i="78"/>
  <c r="I37" i="78"/>
  <c r="I59" i="78"/>
  <c r="I105" i="78"/>
  <c r="I85" i="78"/>
  <c r="I181" i="78"/>
  <c r="H272" i="78"/>
  <c r="I272" i="78" s="1"/>
  <c r="I115" i="78"/>
  <c r="I36" i="78"/>
  <c r="H125" i="78"/>
  <c r="I89" i="78"/>
  <c r="I108" i="78"/>
  <c r="I92" i="78"/>
  <c r="H79" i="78"/>
  <c r="I78" i="78"/>
  <c r="I149" i="78"/>
  <c r="H274" i="78"/>
  <c r="I274" i="78" s="1"/>
  <c r="H90" i="78"/>
  <c r="I90" i="78" s="1"/>
  <c r="I246" i="78"/>
  <c r="I60" i="78"/>
  <c r="I75" i="78"/>
  <c r="H40" i="78"/>
  <c r="I40" i="78" s="1"/>
  <c r="I297" i="78"/>
  <c r="I58" i="78"/>
  <c r="I23" i="78"/>
  <c r="H87" i="78"/>
  <c r="I87" i="78" s="1"/>
  <c r="I179" i="78"/>
  <c r="I39" i="78"/>
  <c r="I247" i="78"/>
  <c r="H319" i="78"/>
  <c r="H15" i="78" s="1"/>
  <c r="I237" i="78"/>
  <c r="H403" i="78"/>
  <c r="H16" i="78" s="1"/>
  <c r="H285" i="78"/>
  <c r="I285" i="78" s="1"/>
  <c r="I49" i="78"/>
  <c r="I41" i="78"/>
  <c r="H43" i="78"/>
  <c r="H239" i="78"/>
  <c r="I63" i="78"/>
  <c r="I83" i="78"/>
  <c r="H62" i="78"/>
  <c r="H65" i="78"/>
  <c r="H106" i="78"/>
  <c r="I68" i="78"/>
  <c r="I245" i="78"/>
  <c r="I165" i="78"/>
  <c r="H76" i="78"/>
  <c r="H286" i="78"/>
  <c r="H248" i="78"/>
  <c r="I31" i="78"/>
  <c r="I77" i="78"/>
  <c r="H284" i="78"/>
  <c r="H109" i="78"/>
  <c r="F307" i="78" l="1"/>
  <c r="I273" i="78"/>
  <c r="F395" i="78"/>
  <c r="I395" i="78" s="1"/>
  <c r="F317" i="78"/>
  <c r="I317" i="78" s="1"/>
  <c r="F332" i="78"/>
  <c r="F403" i="78" s="1"/>
  <c r="F16" i="78" s="1"/>
  <c r="I125" i="78"/>
  <c r="H134" i="78"/>
  <c r="H12" i="78" s="1"/>
  <c r="I109" i="78"/>
  <c r="I79" i="78"/>
  <c r="I76" i="78"/>
  <c r="H262" i="78"/>
  <c r="H13" i="78" s="1"/>
  <c r="H290" i="78"/>
  <c r="H14" i="78" s="1"/>
  <c r="I239" i="78"/>
  <c r="I43" i="78"/>
  <c r="I286" i="78"/>
  <c r="I106" i="78"/>
  <c r="I248" i="78"/>
  <c r="I65" i="78"/>
  <c r="I62" i="78"/>
  <c r="I284" i="78"/>
  <c r="I403" i="78" l="1"/>
  <c r="I332" i="78"/>
  <c r="F319" i="78"/>
  <c r="I307" i="78"/>
  <c r="L307" i="78" s="1"/>
  <c r="I134" i="78"/>
  <c r="I16" i="78"/>
  <c r="I262" i="78"/>
  <c r="I13" i="78"/>
  <c r="H17" i="78"/>
  <c r="I290" i="78"/>
  <c r="I14" i="78"/>
  <c r="I12" i="78"/>
  <c r="F15" i="78" l="1"/>
  <c r="I319" i="78"/>
  <c r="I15" i="78" l="1"/>
  <c r="F17" i="78"/>
  <c r="I17" i="78" s="1"/>
  <c r="C13" i="62" s="1"/>
  <c r="E9" i="72" l="1"/>
  <c r="A7" i="64"/>
  <c r="I43" i="63" l="1"/>
  <c r="I43" i="62"/>
  <c r="E8" i="72" l="1"/>
  <c r="E12" i="72" s="1"/>
  <c r="E10" i="72" l="1"/>
  <c r="E13" i="72" s="1"/>
  <c r="E14" i="72" s="1"/>
  <c r="E15" i="72" l="1"/>
  <c r="A9" i="64"/>
  <c r="B13" i="63"/>
  <c r="B14" i="63"/>
  <c r="A5" i="64" l="1"/>
  <c r="A5" i="62"/>
  <c r="A4" i="62"/>
  <c r="A5" i="63"/>
  <c r="A4" i="63"/>
  <c r="A7" i="62" l="1"/>
  <c r="A7" i="63"/>
  <c r="A9" i="62" l="1"/>
  <c r="A3" i="62"/>
  <c r="A4" i="64"/>
  <c r="A3" i="64"/>
  <c r="A9" i="63"/>
  <c r="A6" i="62"/>
  <c r="A8" i="64" l="1"/>
  <c r="E13" i="62" l="1"/>
  <c r="E19" i="62" s="1"/>
  <c r="D13" i="63" s="1"/>
  <c r="E13" i="64" l="1"/>
  <c r="E21" i="64" s="1"/>
  <c r="D14" i="63" s="1"/>
  <c r="D17" i="63" s="1"/>
  <c r="D18" i="63" l="1"/>
  <c r="C19" i="63"/>
</calcChain>
</file>

<file path=xl/sharedStrings.xml><?xml version="1.0" encoding="utf-8"?>
<sst xmlns="http://schemas.openxmlformats.org/spreadsheetml/2006/main" count="1296" uniqueCount="499">
  <si>
    <t>สรุป</t>
  </si>
  <si>
    <t>ค่าแรงงาน</t>
  </si>
  <si>
    <t xml:space="preserve">แบบเลขที่  </t>
  </si>
  <si>
    <t>ค่าก่อสร้าง</t>
  </si>
  <si>
    <t>Factor F</t>
  </si>
  <si>
    <t>จำนวน</t>
  </si>
  <si>
    <t>หน่วย</t>
  </si>
  <si>
    <t>จำนวนเงิน</t>
  </si>
  <si>
    <t>หมายเหตุ</t>
  </si>
  <si>
    <t>ลบ.ม.</t>
  </si>
  <si>
    <t>ตร.ม.</t>
  </si>
  <si>
    <t>เมตร</t>
  </si>
  <si>
    <t>ค่าวัสดุและแรงงาน</t>
  </si>
  <si>
    <t>ราคาต่อหน่วย</t>
  </si>
  <si>
    <t xml:space="preserve">                                                                                                                                  </t>
  </si>
  <si>
    <t>ลำดับที่</t>
  </si>
  <si>
    <t>รายการ</t>
  </si>
  <si>
    <t>ต้น</t>
  </si>
  <si>
    <t xml:space="preserve">                  </t>
  </si>
  <si>
    <t xml:space="preserve"> </t>
  </si>
  <si>
    <t>แบบเลขที่</t>
  </si>
  <si>
    <t>หน่วย : บาท</t>
  </si>
  <si>
    <t xml:space="preserve">แบบเลขที่                                                                         </t>
  </si>
  <si>
    <t>รวมค่าก่อสร้าง</t>
  </si>
  <si>
    <t xml:space="preserve"> แบบ ปร. 5 (ข)</t>
  </si>
  <si>
    <t>ภาษี</t>
  </si>
  <si>
    <t>มูลค่าเพิ่ม</t>
  </si>
  <si>
    <t>ค่างาน</t>
  </si>
  <si>
    <t>ค่างานต้นทุน</t>
  </si>
  <si>
    <t>แบบสรุปราคากลางงานก่อสร้างอาคาร</t>
  </si>
  <si>
    <t>ค่าวัสดุ</t>
  </si>
  <si>
    <t>รวม</t>
  </si>
  <si>
    <t>ค่าภาษีมูลค่าเพิ่ม</t>
  </si>
  <si>
    <t>แบบแสดงรายการ ปริมาณงาน และราคา</t>
  </si>
  <si>
    <t>แบบสรุปค่าก่อสร้าง</t>
  </si>
  <si>
    <t>แบบสรุปค่าครุภัณฑ์จัดซื้อ</t>
  </si>
  <si>
    <t>รวมค่าก่อสร้างทั้งโครงการ/งานก่อสร้าง</t>
  </si>
  <si>
    <t>แบบ ปร. 4 และ ปร. 5  ที่แนบ          มีจำนวน     1     ชุด</t>
  </si>
  <si>
    <t xml:space="preserve"> 1.ราคาวัสดก่อสร้างอ้างอิงจาก:</t>
  </si>
  <si>
    <t xml:space="preserve">   ** ราคามาตรฐานที่สำนักงบประมาณหรือหน่วยงานกลางอื่นกำหนด</t>
  </si>
  <si>
    <t xml:space="preserve"> 3.การประมาณราคาทั้งปริมาณและราคาต่อหน่วยเป็นการประมาณซึ่งอาจมีความคลาดเคลื่อน โดยผู้เสนอราคาต้องประมาณการเองอย่างละเอียดและไม่สามารถเรียกร้องได้</t>
  </si>
  <si>
    <t xml:space="preserve"> 2.ราคาค่าแรงอ้างอิงจากบัญชีค่าแรง/ดำเนินการ สำหรับการถอดแบบคำนวณราคากลางงานก่อสร้าง กรมบัญชีกลาง ตาม ว135 ลว 3 มีนาคม 2566</t>
  </si>
  <si>
    <t xml:space="preserve">  *** ราคาที่ได้มาจากการสืบราคาจากท้องตลาด</t>
  </si>
  <si>
    <t xml:space="preserve">    * ราคาที่ได้มาจากการคำนวณตามหลักเกณฑ์ที่คณะกรรมการราคากลางกำหนด</t>
  </si>
  <si>
    <t xml:space="preserve">  **** ราคาที่เคยซื้อหรือจ้างครั้งหลังสุดภายในระยะเวลาสองปีงบประมาณ</t>
  </si>
  <si>
    <t xml:space="preserve">  ***** ราคาอื่นใดตามหลักเกณฑ์ วิธีการ หรือแนวทางปฎิบัติของหน่วยงานของรัฐนั้นๆ</t>
  </si>
  <si>
    <t>คณะกรรมการกำหนดราคากลาง</t>
  </si>
  <si>
    <t>กลุ่มงาน : งานก่อสร้าง</t>
  </si>
  <si>
    <t>กลุ่มงาน : งานปรับปรุงอาคาร</t>
  </si>
  <si>
    <t>สถานที่ก่อสร้าง : 744 ถนนสุรนารายณ์ ตำบลในเมือง อำเภอเมืองนครราชสีมา จังหวัดนครราชสีมา</t>
  </si>
  <si>
    <t>กลุ่มงานที่ 2 /งาน..ครุภัณฑ์จัดซื้อจัดจ้าง</t>
  </si>
  <si>
    <t>แบบ  ปร. 4     ที่แนบ      มีจำนวน  1  หน้า</t>
  </si>
  <si>
    <t>ราคากลาง</t>
  </si>
  <si>
    <t>(ตัวอักษร)</t>
  </si>
  <si>
    <t>ตาราง Factor F  งานอาคาร</t>
  </si>
  <si>
    <t>เงินล่วงหน้าจ่าย</t>
  </si>
  <si>
    <t>เงินประกันผลงานหัก</t>
  </si>
  <si>
    <t>ดอกเบี้ยเงินกู้</t>
  </si>
  <si>
    <t>Factor F =</t>
  </si>
  <si>
    <t>B</t>
  </si>
  <si>
    <t>B : ค่างานต้นทุนต่ำ</t>
  </si>
  <si>
    <t>(บาท)</t>
  </si>
  <si>
    <t>A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</si>
  <si>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</si>
  <si>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</si>
  <si>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</si>
  <si>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</si>
  <si>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</si>
  <si>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</si>
  <si>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A * Factor F</t>
  </si>
  <si>
    <t>สรุปราคา</t>
  </si>
  <si>
    <t>ชุด</t>
  </si>
  <si>
    <t>**</t>
  </si>
  <si>
    <t>การคำนวณหาค่า Factor-F เฉลี่ย</t>
  </si>
  <si>
    <t xml:space="preserve">หลักเกณฑ์การคำนวนราคากลางงานก่อสร้างตามหนังสือกรมบัญชีกลาง </t>
  </si>
  <si>
    <t>หนังสือกรมบัญชีกลางที่ กค 0433.2/ว.499   ลว. 28 สิงหาคม  2566</t>
  </si>
  <si>
    <t>ราคาค่าวัสดุและค่าแรงที่ประมาณราคาได้</t>
  </si>
  <si>
    <r>
      <t>D - ((D-E)*(A-</t>
    </r>
    <r>
      <rPr>
        <b/>
        <sz val="14"/>
        <color indexed="12"/>
        <rFont val="TH SarabunPSK"/>
        <family val="2"/>
      </rPr>
      <t>B</t>
    </r>
    <r>
      <rPr>
        <b/>
        <sz val="14"/>
        <rFont val="TH SarabunPSK"/>
        <family val="2"/>
      </rPr>
      <t>)/(</t>
    </r>
    <r>
      <rPr>
        <b/>
        <sz val="14"/>
        <color indexed="10"/>
        <rFont val="TH SarabunPSK"/>
        <family val="2"/>
      </rPr>
      <t>C</t>
    </r>
    <r>
      <rPr>
        <b/>
        <sz val="14"/>
        <rFont val="TH SarabunPSK"/>
        <family val="2"/>
      </rPr>
      <t>-</t>
    </r>
    <r>
      <rPr>
        <b/>
        <sz val="14"/>
        <color indexed="12"/>
        <rFont val="TH SarabunPSK"/>
        <family val="2"/>
      </rPr>
      <t>B</t>
    </r>
    <r>
      <rPr>
        <b/>
        <sz val="14"/>
        <rFont val="TH SarabunPSK"/>
        <family val="2"/>
      </rPr>
      <t>))</t>
    </r>
  </si>
  <si>
    <t>A : ค่างานต้นทุนที่ประมาณราคาได้(วัสดุ+แรงงาน)</t>
  </si>
  <si>
    <t>นำค่านี้ไปใช้ในการคำนวณ</t>
  </si>
  <si>
    <t>ราคาต้นทุน * Factor F</t>
  </si>
  <si>
    <t xml:space="preserve">               แบบ ปร.6</t>
  </si>
  <si>
    <t xml:space="preserve">            แบบ ปร. 5 (ก)</t>
  </si>
  <si>
    <t>ชื่อโครงการ : โครงการปรับปรุงศูนย์เทคโนโลยีเพื่อการเรียนรู้และพัฒนาทักษะด้านยานยนต์พลังงานใหม่ครบวงจร</t>
  </si>
  <si>
    <t>หมวดงานสถาปัตย์</t>
  </si>
  <si>
    <t>งานพื้น</t>
  </si>
  <si>
    <t>งานผนัง</t>
  </si>
  <si>
    <t>งานหลังคา</t>
  </si>
  <si>
    <t>หลังคาเมทัลชีท ความหนารวมชั้นเคลือบสี 0.51 มม. ฉนวน PU หนา 1 นิ้ว</t>
  </si>
  <si>
    <t>งานทาสี</t>
  </si>
  <si>
    <t xml:space="preserve">1. ผนังก่อคอนกรีตมวลเบา หนา 7.50 ซม. </t>
  </si>
  <si>
    <t>4. ผนังก่ออิฐมอญ ครึ่งแผ่น</t>
  </si>
  <si>
    <t>5. ผนังกรุกระเบื้องผนัง เซรามิค ขนาด 12"x24"</t>
  </si>
  <si>
    <t xml:space="preserve">7. ผนังก่อบล๊อกแก้วสีใส ขนาด 19x9x8 ซม. </t>
  </si>
  <si>
    <t xml:space="preserve">เสาเอ็นและคานทับหลัง คสล. </t>
  </si>
  <si>
    <t>ม.</t>
  </si>
  <si>
    <t>งานทาสีภายใน สีน้ำอะครีลิค 100% มอก.2321-2564 (ประเภทกึ่งเงา)</t>
  </si>
  <si>
    <t>สีรองพื้นปูนใหม่กันด่าง 1 เที่ยว มอก.1123-2555 / ทาสีทับหน้า 2 เที่ยว</t>
  </si>
  <si>
    <t>งานทาสีภายนอก สีน้ำอะครีลิค 100% มอก.2321-2564 (ประเภทกึ่งเงา)</t>
  </si>
  <si>
    <t>งานทาสีฝ้าเพดาน สีน้ำอะครีลิค 100% มอก.2321-2564</t>
  </si>
  <si>
    <t>สีรองพื้น 1 เที่ยว / ทาสีทับหน้า 2 เที่ยว</t>
  </si>
  <si>
    <t>งานทาสีวัสดุไฟเบอร์ซีเมนต์หรือไม้เทียม</t>
  </si>
  <si>
    <t>งานฝ้าเพดาน</t>
  </si>
  <si>
    <t>C1 ฝ้ายิปซัมบอร์ดหนา 9 มม. ฉาบเรียบ ทาสี คร่าวโลหะชุบสังกะสี</t>
  </si>
  <si>
    <t>C2 ฝ้ายิปซัมบอร์ดชนิดกันชื้น หนา 9 มม. ฉาบเรียบ ทาสี คร่าวโลหะชุบสังกะสี</t>
  </si>
  <si>
    <t>C3 ฝ้าเพดานไฟเบอร์ซีเมนต์หรือไม้เทียมเซาะร่อง ทาสี คร่าวโลหะชุบสังกะสี</t>
  </si>
  <si>
    <t>งานฉาบปูนเรียบ (ภายใน)</t>
  </si>
  <si>
    <t>งานฉาบปูนเรียบ (ภายนอก)</t>
  </si>
  <si>
    <t>***</t>
  </si>
  <si>
    <t>งานห้องน้ำและสุขภัณฑ์</t>
  </si>
  <si>
    <t>โถสุขภัณฑ์แบบนั่งราบ รุ่น ขนาด 3/4.5 ลิตร พร้อมอุปกรณ์ครบชุด</t>
  </si>
  <si>
    <t>อ่างล้างหน้า แบบแขวนผนัง (ห้องผู้พิการ)</t>
  </si>
  <si>
    <t>สายฉีดชำระ พร้อมขอแขวน</t>
  </si>
  <si>
    <t>ก๊อกน้ำล้างพื้น</t>
  </si>
  <si>
    <t>อัน</t>
  </si>
  <si>
    <t>ตะแกรงกันกลิ่น สแตนเลส ขนาด 4 นิ้ว</t>
  </si>
  <si>
    <t>อุปกรณ์อื่นๆในการติดตั้ง</t>
  </si>
  <si>
    <t>งาน</t>
  </si>
  <si>
    <t>แผงกั้นที่ปัสสาวะ</t>
  </si>
  <si>
    <t>ผนังกั้นห้องน้ำสำเร็จรูป PU FOAM หนาไม่น้อยกว่า 25 มม. สีลายไม้</t>
  </si>
  <si>
    <t>งานประตู-หน้าต่าง</t>
  </si>
  <si>
    <t>หน่วยงานเจ้าของโครงการ : กองนโยบายและแผน มหาวิทยาลัยเทคโนโลยีราชมงคลอีสาน</t>
  </si>
  <si>
    <t>งานอื่นๆ</t>
  </si>
  <si>
    <t>งานราวกันตก</t>
  </si>
  <si>
    <t>เหล็กแบน Flat Bar ขนาด 50 มม. หนา 4.5 มม.</t>
  </si>
  <si>
    <t>กก.</t>
  </si>
  <si>
    <t>เหล็กเพลาขาว 4 หุน (1/2 นิ้ว)</t>
  </si>
  <si>
    <t>งานเชื่อมเหล็กรูปพรรณ</t>
  </si>
  <si>
    <t>งานทาสีน้ำมัน</t>
  </si>
  <si>
    <t>ราวจับไม้ WPC ขนาด 60x55 มม.</t>
  </si>
  <si>
    <t>รางน้ำสแตนเลส กว้าง 6 นิ้ว แผ่นหนาไม่น้อยกว่า 1 มม.</t>
  </si>
  <si>
    <t>งานบันได</t>
  </si>
  <si>
    <t>เหล็กกล่อง ขนาด 25x25x1.5 มม.</t>
  </si>
  <si>
    <t>เหล็กแผ่นดำ ขนาด 1524x3048x5.0 มม. (182.50 กก./แผ่น)</t>
  </si>
  <si>
    <t>เหล็กฉาก ขนาด 65x65x5.0 มม. (30.00 กก./เส้น)</t>
  </si>
  <si>
    <t>เหล็กแผ่นดำ ขนาด 1524x3048x2.0 มม. (73.00 กก./แผ่น)</t>
  </si>
  <si>
    <t>แผ่นซีเมนบอร์ด หนา 20 มม.</t>
  </si>
  <si>
    <t>จมูกบันได อลูมิเนียม ชนิดมีแถบยางกันลื่น</t>
  </si>
  <si>
    <t>กระเบื้องหินขัดสำเร็จรูป ขนาด 30x30x2.7 ซม. (สีระบุภายหลัง)</t>
  </si>
  <si>
    <t xml:space="preserve"> หน่วย : บาท</t>
  </si>
  <si>
    <t xml:space="preserve">D11 ชุดประตูเหล็กพร้อมวงกบ ขนาด 90x200 ซม. </t>
  </si>
  <si>
    <t>F1 พื้น Epoxy Self leveling 2 มม.</t>
  </si>
  <si>
    <t>F2 พื้นปูกระเบื้อง Granito Homogeneous ขนาด 24"x24" (ผิวเรียบ)</t>
  </si>
  <si>
    <t>F3 พื้นปูกระเบื้อง Granito Homogeneous ขนาด 24"x24" ม. (ผิวหยาบ) R10</t>
  </si>
  <si>
    <t>F4 พื้นปูกระเบื้อง Granito Homogeneous ขนาด 24"x24" ม. (ผิวหยาบ) R11</t>
  </si>
  <si>
    <t>F5 พื้น คสล. ผิวขัดหยาบ</t>
  </si>
  <si>
    <t>F6 พื้นปูบล็อคทางเท้า หนา 6 ซม</t>
  </si>
  <si>
    <t>F7 พื้นปูบล็อคปลูกหญ้า ขนาด 24x30x8 ซม.</t>
  </si>
  <si>
    <t>F8 พื้นผิวทรายล้าง</t>
  </si>
  <si>
    <t>F9 ปลูกหญ้านวลน้อย พร้อมดินปลูก</t>
  </si>
  <si>
    <t>10. แผงกันแดด อลูมิเนียมฉลุลาย หนาไม่น้อยกว่า 4 มม. โครงคร่าวเหล็ก</t>
  </si>
  <si>
    <t xml:space="preserve">   ผนังภายในกรุแผ่นยิปซั่มบอร์ด หนา 9 มม. ฉาบเรียบ ทาสี โครงคร่าวเหล็ก</t>
  </si>
  <si>
    <t>6. ผนังเมทัลชีท หนา 0.35 มม. (บุสองด้าน) โครงคร่าวเหล็ก</t>
  </si>
  <si>
    <t>8. ผนังภายนอกกรุแผ่นไม้สังเคราะห์ชนิดเซาะร่อง ทาสี (ระบุ สี,รุ่น ภายหลัง)</t>
  </si>
  <si>
    <t>D1 ประตู วงกบ อลูมิเนียม หนา 1.5 มม. กระจกเขียวใส หนา 6 มม.</t>
  </si>
  <si>
    <t>D2 ประตู วงกบ อลูมิเนียม หนา 1.5 มม. กระจกเขียวใส หนา 6 มม.</t>
  </si>
  <si>
    <t>D3 ประตู วงกบ อลูมิเนียม หนา 1.5 มม. กระจกเขียวใส หนา 6 มม.</t>
  </si>
  <si>
    <t>D10 ประตู วงกบ อลูมิเนียม หนา 1.5 มม. กระจกเขียวใส หนา 6 มม.</t>
  </si>
  <si>
    <t>D13 ประตู วงกบ อลูมิเนียม หนา 1.5 มม. กระจกเขียวใส หนา 6 มม.</t>
  </si>
  <si>
    <t>W1 หน้าต่าง วงกบ อลูมิเนียม หนา 1.5 มม. กระจกเขียวใส หนา 6 มม.</t>
  </si>
  <si>
    <t>W7 หน้าต่าง วงกบ อลูมิเนียม หนา 1.5 มม. กระจกเขียวใส หนา 6 มม.</t>
  </si>
  <si>
    <t>W8 หน้าต่าง วงกบ อลูมิเนียม หนา 1.5 มม. กระจกเขียวใส หนา 6 มม.</t>
  </si>
  <si>
    <t>W9 หน้าต่าง วงกบ อลูมิเนียม หนา 1.5 มม. กระจกเขียวใส หนา 6 มม.</t>
  </si>
  <si>
    <t>W10 หน้าต่าง วงกบ อลูมิเนียม หนา 1.5 มม. กระจกเขียวใส หนา 6 มม.</t>
  </si>
  <si>
    <t>W11 หน้าต่าง วงกบ อลูมิเนียม หนา 1.5 มม. กระจกเขียวใส หนา 6 มม.</t>
  </si>
  <si>
    <t>W12 หน้าต่าง วงกบ อลูมิเนียม หนา 1.5 มม. กระจกเขียวใส หนา 6 มม.</t>
  </si>
  <si>
    <t>W13 หน้าต่าง วงกบ อลูมิเนียม หนา 1.5 มม. กระจกเขียวใส หนา 6 มม.</t>
  </si>
  <si>
    <t>W14 หน้าต่าง วงกบ อลูมิเนียม หนา 1.5 มม. กระจกเขียวใส หนา 6 มม.</t>
  </si>
  <si>
    <t>D4 ประตู วงกบ อลูมิเนียม หนา 1.5 มม. กระจกเขียวใส หนา 6 มม.</t>
  </si>
  <si>
    <t xml:space="preserve">D5 ประตู วงประตู WPC ขนาด 90 x 200 ซม. </t>
  </si>
  <si>
    <t xml:space="preserve">D6 ประตู วงประตู uPVC ขนาด 90 x 200 ซม. </t>
  </si>
  <si>
    <t xml:space="preserve">D8 ชุดประตูเหล็กพร้อมวงกบ ขนาด 90x200 ซม. </t>
  </si>
  <si>
    <t>D9 ประตูบานม้วน</t>
  </si>
  <si>
    <t>D11 ประตู วงกบ อลูมิเนียม หนา 1.5 มม. กระจกเขียวใส หนา 6 มม.</t>
  </si>
  <si>
    <t>D12 ประตู วงกบ อลูมิเนียม หนา 1.5 มม. กระจกเขียวใส หนา 6 มม.</t>
  </si>
  <si>
    <t>D7 ประตู วงกบ อลูมิเนียม หนา 1.5 มม. กระจกฝ้า หนา 6 มม.</t>
  </si>
  <si>
    <t>W2 หน้าต่าง วงกบ อลูมิเนียม หนา 1.5 มม. กระจกฝ้า หนา 6 มม.</t>
  </si>
  <si>
    <t>W3 หน้าต่าง วงกบ อลูมิเนียม หนา 1.5 มม. กระจกฝ้า หนา 6 มม.</t>
  </si>
  <si>
    <t>W4 หน้าต่าง วงกบ อลูมิเนียม หนา 1.5 มม. กระจกฝ้า หนา 6 มม.</t>
  </si>
  <si>
    <t>W5 หน้าต่าง วงกบ อลูมิเนียม หนา 1.5 มม. กระจกฝ้า หนา 6 มม.</t>
  </si>
  <si>
    <t>W6 หน้าต่าง วงกบ อลูมิเนียม หนา 1.5 มม. กระจกฝ้า หนา 6 มม.</t>
  </si>
  <si>
    <t>12. ผนังเมทัลชีท หนา 0.35 มม. (บุด้านเดียว) โครงคร่าวเหล็ก</t>
  </si>
  <si>
    <t>ถัง</t>
  </si>
  <si>
    <t>ถังเก็บน้ำบนดิน GRANITO 3,000 ลิตร พร้อมอุปกรณ์</t>
  </si>
  <si>
    <t>อุปกรณ์ข้อต่อ ข้องอ</t>
  </si>
  <si>
    <t>*</t>
  </si>
  <si>
    <t>ระบบท่อระบายน้ำฝน</t>
  </si>
  <si>
    <t>ฐานรองรับถังบำบัดน้ำเสีย ตามมาตรฐานผู้ผลิต</t>
  </si>
  <si>
    <t>เครื่อง</t>
  </si>
  <si>
    <t>บ่อพัก คสล. สำเร็จรูปพร้อมฝาบ่อ สำหรับ ท่อ 0.30 ม</t>
  </si>
  <si>
    <t>ท่อใยหินระบายน้ำ 8 นิ้ว</t>
  </si>
  <si>
    <t>3. ผนังกรุแผ่นซับเสียง Acoustic Performance หนา 12 mm.</t>
  </si>
  <si>
    <t>ป้ายโลโก้ ตัวอักษรโลหะ ติดด้านหน้าอาคาร</t>
  </si>
  <si>
    <t>ไม้ตกแต่ง ซีแชนเนล 30.0x300x1.2 ซม.</t>
  </si>
  <si>
    <t>9. งานหุ้มตกแต่งเสา อลูมิเนียมคอมโพสิท ขนาด ø 0.50 ม. โครงคร่าวเหล็ก</t>
  </si>
  <si>
    <t>ขอบคันหินคอนกรีต ขนาด 0.15x0.30x1.00 ม.</t>
  </si>
  <si>
    <t>ท่อน</t>
  </si>
  <si>
    <t>ต้นซิลเวอร์โอ๊ค ขนาด ไม่น้อยกว่า 3 นิ้ว สูง 4-5 เมตร</t>
  </si>
  <si>
    <t>หมวดงานไฟฟ้ากำลังและไฟฟ้าสื่อสาร</t>
  </si>
  <si>
    <t xml:space="preserve">ตู้จ่ายไฟฟ้า ตู้โหลด Center </t>
  </si>
  <si>
    <t>ตู้</t>
  </si>
  <si>
    <t>ตู้โหลดเซ็นเตอร์ 3 เฟส 4 สาย 100 A 12 ช่อง</t>
  </si>
  <si>
    <t>ตู้โหลดเซ็นเตอร์ 3 เฟส 4 สาย 100 A 18 ช่อง</t>
  </si>
  <si>
    <t>Circuit Breaker 1 Pole 10AT/32AF, IC&gt;=10kA</t>
  </si>
  <si>
    <t>ตัว</t>
  </si>
  <si>
    <t>Circuit Breaker 1 Pole 16AT/32AF , IC&gt;=10kA 30mA( กันไฟดูด )</t>
  </si>
  <si>
    <t>Circuit Breaker 3 Pole16AT/32AF, IC&gt;=10kA</t>
  </si>
  <si>
    <t xml:space="preserve">อุปกรณ์ประกอบการติดตั้งอื่นๆ คิดค่าวัสดุ 5% </t>
  </si>
  <si>
    <t>เหมา</t>
  </si>
  <si>
    <t xml:space="preserve">งานเดินสายไฟฟ้า </t>
  </si>
  <si>
    <t>ท่อร้อยเดินสายไฟ</t>
  </si>
  <si>
    <t>ท่อร้อยสายไฟฟ้า EMT ขนาด 15mm. (1/2 " )</t>
  </si>
  <si>
    <t>ท่อร้อยสายไฟฟ้า EMT ขนาด 20mm. (3/4 " )</t>
  </si>
  <si>
    <t>ท่อร้อยสายไฟฟ้า EMT ขนาด 32mm. (1-1/4 " )</t>
  </si>
  <si>
    <t>ท่อร้อยสายไฟฟ้า EMT ขนาด 40mm. (1 1/2 " )</t>
  </si>
  <si>
    <t xml:space="preserve">อุปกรณ์ประกอบการติดตั้งอื่นๆ คิดค่าวัสดุ 20% </t>
  </si>
  <si>
    <t>ระบบไฟฟ้า แสงสว่าง สวิทช์ไฟฟ้าและงานเต้ารับไฟฟ้า</t>
  </si>
  <si>
    <t>โคมไฟ Panel light LED  30x120 CM ค่าความสว่างไม่น้อยกว่า 3,600 ลูเมน</t>
  </si>
  <si>
    <t>โคม</t>
  </si>
  <si>
    <t>โคมดาวน์ไลท์ฝังฝ้า (5") Panel LED 15W ค่าความสว่างไม่น้อยกว่า 1,300 ลูเมน</t>
  </si>
  <si>
    <t>โคมไฟดาวน์ไลท์ พร้อมหลอดไม่เกิน 30 W ค่าความสว่างไม่น้อยกว่า 2,500 ลูเมน</t>
  </si>
  <si>
    <t>โคมไฟดาวน์ไลท์2หลอดคู่ พร้อมหลอด e27 ขนาดไม่เกิน 25 W ค่าความสว่างไม่น้อยกว่า 1,800 ลูเมน/หลอด หรือ 3,500 ลูเมน/โคม</t>
  </si>
  <si>
    <t>โคมไฟไฮเบย์ พร้อมหลอดไม่เกิน 60 W ค่าความสว่างไม่น้อยกว่า 5,000 ลูเมน</t>
  </si>
  <si>
    <t>โคมไฟไฮเบย์ พร้อมหลอดไม่เกิน 120 W ค่าความสว่างไม่น้อยกว่า 12,000 ลูเมน</t>
  </si>
  <si>
    <t>เต้ารับปลั๊กฝังผนัง 16A 220V มีกราวด์(เต้ารับไฟฟ้าแบบคู่)</t>
  </si>
  <si>
    <t>เต้ารับปลั๊กฝังพื้น POP-UP FLOOR OUTLET (2 ปลั๊ก)16A 250V มีกราวด์</t>
  </si>
  <si>
    <t>สวิทช์ไฟฟ้าทางเดียว 16A 250V 1 ช่อง</t>
  </si>
  <si>
    <t>สวิทช์ไฟฟ้าทางเดียว 16A 250V 2 ช่อง</t>
  </si>
  <si>
    <t>สวิทช์ไฟฟ้าทางเดียว 16A 250V 3 ช่อง</t>
  </si>
  <si>
    <t>งานระบบสายสื่อสารอินเตอร์เน็ต</t>
  </si>
  <si>
    <t>สาย UTP ชนิด CAT6</t>
  </si>
  <si>
    <t>เต้ารับสาย LAN (Wall mount LAN CAT6 up to 10Gbps speed)</t>
  </si>
  <si>
    <t>ตู้แร็ค 19" 6U พร้อมรางไฟฟ้าและพัดลมระบายอากาศ</t>
  </si>
  <si>
    <t xml:space="preserve">อุปกรณ์ประกอบการติดตั้งอื่นๆ คิดค่าวัสดุ 10% </t>
  </si>
  <si>
    <t>หมวดงานก่อสร้าง</t>
  </si>
  <si>
    <t xml:space="preserve">13. ผนังเมทัลชีท หนา 0.35 มม. (บุสองด้าน) โครงคร่าวเหล็ก </t>
  </si>
  <si>
    <t>กระจกเงาแบบติดผนัง ขนาด 2.00x1.10 ม.</t>
  </si>
  <si>
    <t>กระจกเงาแบบติดผนัง ขนาด 2.40x1.10 ม.</t>
  </si>
  <si>
    <t>เคาเตอร์หล่อ คสล. ขนาด 2.00x0.60 ม. ท้อปหินแกรนิต</t>
  </si>
  <si>
    <t>เคาเตอร์หล่อ คสล. ขนาด 2.40x0.60 ม. ท้อปหินแกรนิต</t>
  </si>
  <si>
    <t xml:space="preserve">    บุฉนวนซับเสียงความหนาแน่นสูง(100kg/m3) หนา 75 มม.</t>
  </si>
  <si>
    <t>W15 หน้าต่าง วงกบ อลูมิเนียม หนา 1.5 มม. กระจกลามิเนต หนา 12 มม.</t>
  </si>
  <si>
    <t xml:space="preserve">พร้อมซิงค์ล้างจาน 1 หลุมแบบมีที่พัก และบานซิงค์ใต้เตาบานเปิดคู่ </t>
  </si>
  <si>
    <t>ราวพยุงตัวสแตนเลส รูปตัว L</t>
  </si>
  <si>
    <t>ราวทรงตัวสแตนเลส ข้างอ่างล้างหน้า</t>
  </si>
  <si>
    <t>ราวพยุงตัวสแตนเลส แบบโยกขั้น-ลง</t>
  </si>
  <si>
    <t>โถปัสสาวะ แบบฟลัชวาล์วอัตโนมัติพร้อมอุปกรณ์ครบชุด</t>
  </si>
  <si>
    <t>อ่างล้างหน้า แบบฝังบนเคาเตอร์</t>
  </si>
  <si>
    <t>ก๊อกอ่างล้างหน้า ระบบอัตโนมัติพร้อมอุปกรณ์ครบชุด</t>
  </si>
  <si>
    <t xml:space="preserve">D14 ชุดประตูเหล็กกันเสียง (STC40) บานเปิดคู่พร้อมวงกบ ขนาด 240x300 ซม. </t>
  </si>
  <si>
    <t>F10 พื้นปูกระเบื้องยางลายไม้ SPC Click lock หนา 5 มม.</t>
  </si>
  <si>
    <t xml:space="preserve">D15 ชุดประตูเหล็กกันเสียง (STC40) บานเปิดคู่พร้อมวงกบ ขนาด 90x200 ซม. </t>
  </si>
  <si>
    <t>11. แผ่นโพลีคาร์บอเนต หนา 6 มม. (บุสองด้าน) โครงคร่าวเหล็ก</t>
  </si>
  <si>
    <t>เคาน์เตอร์ต้อนรับ ขนาด 3.00x0.60x1.10 ม. (พื้นที่สำนักงาน)</t>
  </si>
  <si>
    <t>เคาน์เตอร์หล่อ คสล.ขนาด 2.50x0.60 ม. ท้อปหินแกรนิต (ห้องเตรียมอาหาร)</t>
  </si>
  <si>
    <t xml:space="preserve">ตู้ DB1  6 วงจร  300 A เฟส 6 ช่อง + Energy meter </t>
  </si>
  <si>
    <t>MCCB 3 Pole32AT/100AF, IC&gt;=18kA</t>
  </si>
  <si>
    <t>MCCB 3 Pole50AT/100AF, IC&gt;=18kA</t>
  </si>
  <si>
    <t>MCCB 3 Pole125AT/100AF, IC&gt;=18kA</t>
  </si>
  <si>
    <t>MCCB 3 Pole175AT/250AF, IC&gt;=18kA</t>
  </si>
  <si>
    <t xml:space="preserve">สายไฟฟ้า THW (IEC 01) ขนาด 1.5 ตร.มม. </t>
  </si>
  <si>
    <t xml:space="preserve">สายไฟฟ้า THW (IEC 01) ขนาด 2.5 ตร.มม. </t>
  </si>
  <si>
    <t xml:space="preserve">สายไฟฟ้า THW (IEC 01) ขนาด 4 ตร.มม. </t>
  </si>
  <si>
    <t xml:space="preserve">สายไฟฟ้า THW (IEC 01) ขนาด 6 ตร.มม. </t>
  </si>
  <si>
    <t xml:space="preserve">สายไฟฟ้า THW (IEC 01) ขนาด 10 ตร.มม. </t>
  </si>
  <si>
    <t xml:space="preserve">สายไฟฟ้า THW (IEC 01) ขนาด 16 ตร.มม. </t>
  </si>
  <si>
    <t xml:space="preserve">สายไฟฟ้า THW (IEC 01) ขนาด 25 ตร.มม. </t>
  </si>
  <si>
    <t>สายไฟฟ้า CV 0.6/1KV  ขนาด 1Cx70 ตร.มม.</t>
  </si>
  <si>
    <t>ท่อร้อยสายไฟฟ้า IMC ขนาด 50mm. (2 " )</t>
  </si>
  <si>
    <t>LED Office Pendant Light  พร้อมหลอดไม่เกิน 25 W ค่าความสว่างไม่น้อยกว่า 2,000 ลูเมน</t>
  </si>
  <si>
    <t>เต้ารับปลั๊กฝังผนัง 3 เฟส 380V 16A (3P+E / 3P+N+E)</t>
  </si>
  <si>
    <t xml:space="preserve">สวิทช์ไฟฟ้า2 ทาง 16A 250V </t>
  </si>
  <si>
    <t>สายสัญญาณใยแก้วนำแสง 12 แกน จำนวน 1 เส้นทาง</t>
  </si>
  <si>
    <t>6SC Adapter Plate  SM</t>
  </si>
  <si>
    <t>Blank Adapter Plate</t>
  </si>
  <si>
    <t xml:space="preserve">SC Pigtail 1.5m </t>
  </si>
  <si>
    <t>เส้น</t>
  </si>
  <si>
    <t xml:space="preserve">Rack mount Fiber Optic 24 port SC </t>
  </si>
  <si>
    <t xml:space="preserve">F/O Patch cord SC-LC </t>
  </si>
  <si>
    <t>แผงวงจรเชื่อมต่อแบบ SFP+ 10G SM</t>
  </si>
  <si>
    <t>Sleeve &amp; Splice Tray</t>
  </si>
  <si>
    <t>คอร์</t>
  </si>
  <si>
    <t xml:space="preserve"> 6-24 PORT F.O.RACK MOUNT DRAWER</t>
  </si>
  <si>
    <t>CAT6 PATCH PANEL 24 PORT (1U) w/MANAGEMENT ADVANCE</t>
  </si>
  <si>
    <t xml:space="preserve"> LINK CABLE MANAGEMENT PANEL 1U WITH COVER</t>
  </si>
  <si>
    <t>งานระบบแจ้งเหตุเพลิงไหม้</t>
  </si>
  <si>
    <t>FIRE ALARM CONTROL PANEL (FCP) 3 ZONE WITH BATTERY</t>
  </si>
  <si>
    <t>GRAPHIC ANNUNCIATOR</t>
  </si>
  <si>
    <t>Fire Extinguisher 15lb</t>
  </si>
  <si>
    <t>อุปกรณ์ตรวจจับควันไฟ</t>
  </si>
  <si>
    <t>อุปกรณ์แจ้งเหตุเพลิงไหม้ด้วยมือ</t>
  </si>
  <si>
    <t>อุปกรณ์กระดิ่งเตือนเพลิงไหม้ ขนาด 6" พร้อมอุปกรณ์</t>
  </si>
  <si>
    <t>สายไฟ FRC ขนาด 1.5 ตร.มม.</t>
  </si>
  <si>
    <t>งานระบบกราวน์ตู้ DB</t>
  </si>
  <si>
    <t xml:space="preserve">Copper Clad Ground Rod 5/8" x 10 Ft. </t>
  </si>
  <si>
    <t>แท่ง</t>
  </si>
  <si>
    <t>50 Sq.mm. Bare Copper Conductors (สายทองแดงเปลือย)</t>
  </si>
  <si>
    <t>Ground Test Box (บ่อพักทดสอบ)</t>
  </si>
  <si>
    <t>Exothermic Weld (งานเชื่อมหลอมระบบ Delta 4 จุด)</t>
  </si>
  <si>
    <t>จุด</t>
  </si>
  <si>
    <t>ครุภัณฑ์อุปกรณ์และระบบคอมพิวเตอร์</t>
  </si>
  <si>
    <t xml:space="preserve">อุปกรณ์กระจายสัญญาณ (L2 Switch) ขนาด 24 ช่อง แบบที่ 2 </t>
  </si>
  <si>
    <t>อุปกรณ์ควบคุมการใช้งานเครือข่ายพร้อมแหล่งจ่ายกระแสไฟฟ้าแบบ 24G</t>
  </si>
  <si>
    <t>อุปกรณกระจายสัญญาณไรสาย (Access Point) แบบที่ 2 พร้อมสิทธิ์การใช้งาน</t>
  </si>
  <si>
    <t xml:space="preserve">อุปกรณ์สำรองกระแสไฟฟ้าขนาดไม่น้อยกว่า 1.5KVA </t>
  </si>
  <si>
    <t xml:space="preserve">ตู้สื่อสารสำหรับการจัดเก็บอุปกรณ์ขนาด 9U แบบติดผนัง </t>
  </si>
  <si>
    <t>กลุ่มงานอาคาร / งานก่อสร้างอาคาร</t>
  </si>
  <si>
    <t xml:space="preserve">หมวดงานรื้อถอน </t>
  </si>
  <si>
    <t xml:space="preserve">หมวดงานโครงสร้าง </t>
  </si>
  <si>
    <t xml:space="preserve">หมวดงานสถาปัตยกรรม </t>
  </si>
  <si>
    <t>หมวดงานปะปา-สุขาภิบาล</t>
  </si>
  <si>
    <t>หมวดงานระบบปรับอากาศและระบายอากาศ</t>
  </si>
  <si>
    <t>ปริมาณ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</si>
  <si>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</si>
  <si>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</si>
  <si>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</si>
  <si>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</si>
  <si>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</si>
  <si>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</si>
  <si>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</si>
  <si>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</si>
  <si>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</si>
  <si>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</si>
  <si>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</si>
  <si>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</si>
  <si>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</si>
  <si>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</si>
  <si>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</si>
  <si>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</si>
  <si>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</si>
  <si>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</si>
  <si>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</si>
  <si>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</si>
  <si>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6.3.1</t>
  </si>
  <si>
    <t>6.3.2</t>
  </si>
  <si>
    <t>6.3.3</t>
  </si>
  <si>
    <t>6.3.4</t>
  </si>
  <si>
    <t>6.3.5</t>
  </si>
  <si>
    <t>6.3.6</t>
  </si>
  <si>
    <t>6.4.1</t>
  </si>
  <si>
    <t>6.4.2</t>
  </si>
  <si>
    <t>6.4.3</t>
  </si>
  <si>
    <t>6.4.4</t>
  </si>
  <si>
    <t>6.4.5</t>
  </si>
  <si>
    <t>6.4.6</t>
  </si>
  <si>
    <t>6.4.7</t>
  </si>
  <si>
    <t>6.4.8</t>
  </si>
  <si>
    <t>6.4.9</t>
  </si>
  <si>
    <t>6.4.10</t>
  </si>
  <si>
    <t>6.4.11</t>
  </si>
  <si>
    <t>6.4.12</t>
  </si>
  <si>
    <t>6.4.13</t>
  </si>
  <si>
    <t>6.4.14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</si>
  <si>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</si>
  <si>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</si>
  <si>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</si>
  <si>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</si>
  <si>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</si>
  <si>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</si>
  <si>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</si>
  <si>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</si>
  <si>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</si>
  <si>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</si>
  <si>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6.6.1</t>
  </si>
  <si>
    <t>6.6.2</t>
  </si>
  <si>
    <t>6.6.3</t>
  </si>
  <si>
    <t>6.6.4</t>
  </si>
  <si>
    <t>6.6.5</t>
  </si>
  <si>
    <t>6.6.6</t>
  </si>
  <si>
    <t>6.6.7</t>
  </si>
  <si>
    <t>6.6.8</t>
  </si>
  <si>
    <t>6.7.1</t>
  </si>
  <si>
    <t>6.7.2</t>
  </si>
  <si>
    <t>6.7.3</t>
  </si>
  <si>
    <t>6.7.4</t>
  </si>
  <si>
    <t>6.7.5</t>
  </si>
  <si>
    <t>6.7.6</t>
  </si>
  <si>
    <t>6.7.7</t>
  </si>
  <si>
    <t>6.7.8</t>
  </si>
  <si>
    <t>6.7.9</t>
  </si>
  <si>
    <t>6.7.10</t>
  </si>
  <si>
    <t>6.8.1</t>
  </si>
  <si>
    <t>6.8.2</t>
  </si>
  <si>
    <t>6.8.3</t>
  </si>
  <si>
    <t>6.8.4</t>
  </si>
  <si>
    <t>6.8.5</t>
  </si>
  <si>
    <t>6.8.6</t>
  </si>
  <si>
    <t>ขนาดจอ 6.00x2.00 ม.</t>
  </si>
  <si>
    <r>
      <t xml:space="preserve">จอ LED P2.5 Indoor </t>
    </r>
    <r>
      <rPr>
        <sz val="16"/>
        <rFont val="TH Sarabun New"/>
        <family val="2"/>
      </rPr>
      <t>Brightness:1000 Nits / Refresh Rate:7680 Hz</t>
    </r>
  </si>
  <si>
    <t>2. ผนังกรุแผ่นไม้สังเคราะห์ WPC (ระบุ สี,รุ่น ภายหลัง)</t>
  </si>
  <si>
    <t xml:space="preserve">	อุปกรณ์เชื่อมต่อ Reiri Adaptor</t>
  </si>
  <si>
    <t>ระบบควบคุม Reiri Office (แบบสัมผัส)</t>
  </si>
  <si>
    <t xml:space="preserve">	เครื่องคอยล์ร้อน VRV ขนาดไม่น้อยกว่า (68,200 BTU)</t>
  </si>
  <si>
    <t xml:space="preserve">		เครื่องคอยล์ร้อน VRV ขนาดไม่น้อยกว่า (76,400 BTU)</t>
  </si>
  <si>
    <t xml:space="preserve">	เครื่องคอยล์ร้อน VRV ขนาดไม่น้อยกว่า (81,900 BTU)</t>
  </si>
  <si>
    <t xml:space="preserve">	เครื่องคอยล์เย็นแบบฝังฝ้า ขนาดไม่น้อยกว่า (12,300 BTU)</t>
  </si>
  <si>
    <t>เครื่องคอยล์เย็นแบบฝังฝ้า ขนาดไม่น้อยกว่า (24,200 BTU)</t>
  </si>
  <si>
    <t xml:space="preserve">	เครื่องคอยล์เย็นแบบฝังฝ้า ขนาดไม่น้อยกว่า (38,200 BTU)</t>
  </si>
  <si>
    <t>เครื่องคอยล์เย็นแบบฝังฝ้า ขนาดไม่น้อยกว่า (30,700 BTU)</t>
  </si>
  <si>
    <t>เครื่องคอยล์เย็นแบบฝังฝ้า ขนาดไม่น้อยกว่า (47,800 BTU)</t>
  </si>
  <si>
    <t xml:space="preserve">	เครื่องคอยล์เย็นแบบต่อท่อลม ขนาดไม่น้อยกว่า (39,600 BTU)</t>
  </si>
  <si>
    <t>ระบบปรับอากาศ ระบบ VRV</t>
  </si>
  <si>
    <t>ท่อขนาด 1/4" (Liquid)</t>
  </si>
  <si>
    <t>ท่อขนาด 3/8" (Liquid)</t>
  </si>
  <si>
    <t>ท่อขนาด 5/8" (Gas)</t>
  </si>
  <si>
    <t xml:space="preserve">	ท่อขนาด 3/4" (Gas)</t>
  </si>
  <si>
    <t>ท่อขนาด 7/8" (Gas)</t>
  </si>
  <si>
    <t>งานท่อน้ำยาแอร์ (ทองแดง Type L) และ งานท่อน้ำทิ้งและฉนวน</t>
  </si>
  <si>
    <t xml:space="preserve">	ฉนวนยางดำหุ้มท่อ (หนา 3/4")</t>
  </si>
  <si>
    <t xml:space="preserve">	ฉนวนยางดำหุ้มท่อ (หนา 1/2")</t>
  </si>
  <si>
    <t xml:space="preserve">	ท่อ PVC ø 1" (ชั้น 8.5)</t>
  </si>
  <si>
    <t xml:space="preserve">	ท่อ PVC ø 3/4"(ชั้น 8.5)</t>
  </si>
  <si>
    <t>สายสัญญาณ 2-Core Shielded (Control)</t>
  </si>
  <si>
    <t>งานไฟฟ้าสำหรับเครื่องปรับอากาศ</t>
  </si>
  <si>
    <t>ตู้โหลดเซ็นเตอร์ 3 เฟส 4 สาย 250 A 24 ช่อง</t>
  </si>
  <si>
    <t>น้ำยาแอร์ R-410A</t>
  </si>
  <si>
    <t xml:space="preserve"> งานสำรวจ ปักผัง</t>
  </si>
  <si>
    <t xml:space="preserve"> งานรื้อถอนโครงสร้าง ค.ส.ล.</t>
  </si>
  <si>
    <t>รื้อขนทิ้ง</t>
  </si>
  <si>
    <t>งานฐานราก</t>
  </si>
  <si>
    <t xml:space="preserve"> งานเสาเข็มเจาะแบบแห้ง ø 0.40ม.x10.00ม. Safe load 50t/pile</t>
  </si>
  <si>
    <t xml:space="preserve"> งานตัดเข็ม</t>
  </si>
  <si>
    <t xml:space="preserve"> งานทดสอบ Boring Test</t>
  </si>
  <si>
    <t xml:space="preserve"> งานทดสอบ Dynamic Load Test</t>
  </si>
  <si>
    <t xml:space="preserve"> งานทดสอบ Seismic Integrity Test</t>
  </si>
  <si>
    <t xml:space="preserve"> งานดินขุดและถมกลับ</t>
  </si>
  <si>
    <t xml:space="preserve"> ทรายหยาบ</t>
  </si>
  <si>
    <t xml:space="preserve"> คอนกรีตหยาบ</t>
  </si>
  <si>
    <t xml:space="preserve"> งานคอนกรีตโครงสร้าง 280 Cylinder</t>
  </si>
  <si>
    <t xml:space="preserve"> งานเหล็กเสริมคอนกรีตรวมลวดผูกเหล็ก</t>
  </si>
  <si>
    <t xml:space="preserve">   RB-9 SR24</t>
  </si>
  <si>
    <t xml:space="preserve">   DB-12 SD40</t>
  </si>
  <si>
    <t xml:space="preserve">   DB-16 SD40</t>
  </si>
  <si>
    <t xml:space="preserve">   DB-20 SD40</t>
  </si>
  <si>
    <t xml:space="preserve">  ลวดผูกเหล็ก</t>
  </si>
  <si>
    <t xml:space="preserve">  ไม้แบบหล่อคอนกรีต</t>
  </si>
  <si>
    <t>ลบ.ฟ.</t>
  </si>
  <si>
    <t xml:space="preserve">  ค่าแรงไม้แบบทั่วไป</t>
  </si>
  <si>
    <t xml:space="preserve">  ตะปู</t>
  </si>
  <si>
    <t>งานเสาตอม่อและเสาชั้น1</t>
  </si>
  <si>
    <t>งานคานและพื้นชั้น 1</t>
  </si>
  <si>
    <t xml:space="preserve"> แผ่นพลาสติกปูพื้น</t>
  </si>
  <si>
    <t xml:space="preserve"> แผ่นพื้นสำเร็จรูปชนิดกลวง หนา 10 ซ.ม. LL 800 กก./ตร.ม.</t>
  </si>
  <si>
    <t xml:space="preserve"> เหล็กตะแกรง 4mm.@0.20 m.</t>
  </si>
  <si>
    <t xml:space="preserve"> คอนกรีตโครงสร้าง 280 Cylinde ( Topping )</t>
  </si>
  <si>
    <t>งานเสาชั้น2</t>
  </si>
  <si>
    <t>งานคานและพื้นชั้น 2</t>
  </si>
  <si>
    <t xml:space="preserve"> แผ่นพื้นสำเร็จรูปชนิดท้องเรียบ LL 400 กก./ตร.ม.</t>
  </si>
  <si>
    <t>งานพื้น GS และงานบันได</t>
  </si>
  <si>
    <t xml:space="preserve">  งานพื้น GS</t>
  </si>
  <si>
    <t xml:space="preserve"> ลูกรังถมบดอัดแน่นไม่น้อยกว่า 85% Standard Proctor หนา 0.30ม.</t>
  </si>
  <si>
    <t xml:space="preserve">  งานบันได ST1</t>
  </si>
  <si>
    <t xml:space="preserve">  งานบันได เหล็ก</t>
  </si>
  <si>
    <t xml:space="preserve"> งานเหล็กรูปพรรณ</t>
  </si>
  <si>
    <t xml:space="preserve"> - เหล็กกล่อง 100x50x3.2 mm. (น้ำหนัก 6.48kg./เมตร)</t>
  </si>
  <si>
    <t xml:space="preserve"> - เหล็ก HB 150x75x5x7 mm. (น้ำหนัก 14.00kg./เมตร)</t>
  </si>
  <si>
    <t xml:space="preserve"> - เหล็ก HB 250x125x6x9 mm. (น้ำหนัก 29.00kg./เมตร)</t>
  </si>
  <si>
    <t xml:space="preserve"> - งานเชื่อมเหล็กรูปพรรณ</t>
  </si>
  <si>
    <t xml:space="preserve"> J-Bolt M16x0.50m.</t>
  </si>
  <si>
    <t xml:space="preserve"> Steel Plate250x350x15 mm.</t>
  </si>
  <si>
    <t>แผ่น</t>
  </si>
  <si>
    <t xml:space="preserve"> Non shrink mortar </t>
  </si>
  <si>
    <t>ถุง</t>
  </si>
  <si>
    <t>งานโครงหลังคา</t>
  </si>
  <si>
    <t xml:space="preserve"> - C125x50x20x4.0mm (น้ำหนัก 7.495kg./เมตร)</t>
  </si>
  <si>
    <t xml:space="preserve"> - ท่อเหล็กกลม ดำ 3/4"x2.3 mm. (น้ำหนัก 1.333kg./เมตร)</t>
  </si>
  <si>
    <t xml:space="preserve"> - ท่อเหล็กกลม ดำ 1 1/2"x3.2 mm. (น้ำหนัก 3.580kg./เมตร)</t>
  </si>
  <si>
    <t xml:space="preserve"> - ท่อเหล็กกลม ดำ 2 1/2"x4.0 mm. (น้ำหนัก 7.130kg./เมตร)</t>
  </si>
  <si>
    <t xml:space="preserve"> - งานเชื่อมโครงหลังคา TRUSS (รวมลวดเชื่อม)</t>
  </si>
  <si>
    <t xml:space="preserve"> Steel Plate 300x300x12 mm.</t>
  </si>
  <si>
    <t>งานพื้น ถนน คสล.</t>
  </si>
  <si>
    <t xml:space="preserve"> งานดินขุด</t>
  </si>
  <si>
    <t>ท่อ PVC ขนาด Dia. 4 นิ้ว (8.5)</t>
  </si>
  <si>
    <t xml:space="preserve"> - งานทดสอบและทำความสะอาด</t>
  </si>
  <si>
    <t xml:space="preserve"> - งานอุปกรณ์เหล็กยึดท่อ</t>
  </si>
  <si>
    <t xml:space="preserve"> - งานอุปกรณ์ท่อ ข้อต่อ</t>
  </si>
  <si>
    <t xml:space="preserve"> - ท่อ PVC ขนาด Dia. 4 นิ้ว (8.5)</t>
  </si>
  <si>
    <t xml:space="preserve"> - ท่อ PVC ขนาด Dia. 2 นิ้ว (8.5)</t>
  </si>
  <si>
    <t xml:space="preserve"> - ท่อ PVC ขนาด Dia. 1 1/2 นิ้ว (8.5)</t>
  </si>
  <si>
    <t>งานเดินท่อระบบระบายน้ำเสีย</t>
  </si>
  <si>
    <t>ถังบำบัดน้ำเสียสำเร็จรูป 6000 ลิตร พร้อมติดตั้ง (แบบไม่เติมอากาศ)</t>
  </si>
  <si>
    <t>ระบบสุขาภิบาล</t>
  </si>
  <si>
    <t xml:space="preserve"> - ท่อ PVC ขนาด Dia. 3/4 นิ้ว (13.5)</t>
  </si>
  <si>
    <t xml:space="preserve"> - ท่อ PVC ขนาด Dia. 1/2 นิ้ว (13.5)</t>
  </si>
  <si>
    <t>งานเดินท่อระบบประปา</t>
  </si>
  <si>
    <t>ปั๊มน้ำอัตโนมัติแรงดันคงที่ 400W</t>
  </si>
  <si>
    <t>ฐานรองรับถังเก็บน้ำ ตามมาตรฐานผู้ผลิต</t>
  </si>
  <si>
    <t>มิเตอร์ประปา 3/4"</t>
  </si>
  <si>
    <t>งานระบบประปา</t>
  </si>
  <si>
    <t>2</t>
  </si>
  <si>
    <t>2.6.1</t>
  </si>
  <si>
    <t>2.6.2</t>
  </si>
  <si>
    <t>2.6.3</t>
  </si>
  <si>
    <r>
      <t>เงินล่วงหน้าจ่าย..........</t>
    </r>
    <r>
      <rPr>
        <b/>
        <sz val="16"/>
        <rFont val="TH Sarabun New"/>
        <family val="2"/>
      </rPr>
      <t>15</t>
    </r>
    <r>
      <rPr>
        <sz val="16"/>
        <rFont val="TH Sarabun New"/>
        <family val="2"/>
      </rPr>
      <t>.....……%</t>
    </r>
  </si>
  <si>
    <r>
      <t>ดอกเบี้ยเงินกู้..........</t>
    </r>
    <r>
      <rPr>
        <b/>
        <sz val="16"/>
        <rFont val="TH Sarabun New"/>
        <family val="2"/>
      </rPr>
      <t>7</t>
    </r>
    <r>
      <rPr>
        <sz val="16"/>
        <rFont val="TH Sarabun New"/>
        <family val="2"/>
      </rPr>
      <t>.....……%</t>
    </r>
  </si>
  <si>
    <r>
      <t>ภาษีมูลค่าเพิ่ม..........</t>
    </r>
    <r>
      <rPr>
        <b/>
        <sz val="16"/>
        <rFont val="TH Sarabun New"/>
        <family val="2"/>
      </rPr>
      <t>7</t>
    </r>
    <r>
      <rPr>
        <sz val="16"/>
        <rFont val="TH Sarabun New"/>
        <family val="2"/>
      </rPr>
      <t>....……%</t>
    </r>
  </si>
  <si>
    <t>คำนวณราคากลาง : โดยคณะกรรมการกำหนดราคากลาง  เมื่อวันที่  16  เดือน  เมษายน  พ.ศ. 2569</t>
  </si>
  <si>
    <t xml:space="preserve">35 Sq.mm. IEC01 Conductors </t>
  </si>
  <si>
    <t>F.O Cable Armered SM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</si>
</sst>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2" formatCode="_-&quot;฿&quot;* #,##0_-;\-&quot;฿&quot;* #,##0_-;_-&quot;฿&quot;* &quot;-&quot;_-;_-@_-"/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0000_);_(* \(#,##0.00000\);_(* &quot;-&quot;??_);_(@_)"/>
    <numFmt numFmtId="190" formatCode="\t0.00E+00"/>
    <numFmt numFmtId="191" formatCode="&quot;฿&quot;\t#,##0_);\(&quot;฿&quot;\t#,##0\)"/>
    <numFmt numFmtId="192" formatCode="m/d/yy\ hh:mm"/>
    <numFmt numFmtId="193" formatCode="_(&quot;$&quot;* #,##0.000_);_(&quot;$&quot;* \(#,##0.000\);_(&quot;$&quot;* &quot;-&quot;??_);_(@_)"/>
    <numFmt numFmtId="194" formatCode="_(&quot;$&quot;* #,##0.0000_);_(&quot;$&quot;* \(#,##0.0000\);_(&quot;$&quot;* &quot;-&quot;??_);_(@_)"/>
    <numFmt numFmtId="195" formatCode="#,##0.0_);\(#,##0.0\)"/>
    <numFmt numFmtId="196" formatCode="0.0&quot;  &quot;"/>
    <numFmt numFmtId="197" formatCode="_-* #,##0.00000_-;\-* #,##0.00000_-;_-* &quot;-&quot;?????_-;_-@_-"/>
    <numFmt numFmtId="198" formatCode="#,##0.000000&quot; &quot;"/>
    <numFmt numFmtId="199" formatCode="#,###&quot;   &quot;"/>
    <numFmt numFmtId="200" formatCode="General_)"/>
    <numFmt numFmtId="201" formatCode="dd\-mm\-yy"/>
    <numFmt numFmtId="202" formatCode="_(* #,##0.0000_);_(* \(#,##0.0000\);_(* &quot;-&quot;??_);_(@_)"/>
    <numFmt numFmtId="203" formatCode="_-* #,##0_-;\-* #,##0_-;_-* &quot;-&quot;??_-;_-@_-"/>
    <numFmt numFmtId="204" formatCode="0.0000"/>
    <numFmt numFmtId="205" formatCode="_-* #,##0.0000_-;\-* #,##0.0000_-;_-* &quot;-&quot;??_-;_-@_-"/>
    <numFmt numFmtId="206" formatCode="_-* #,##0.00000_-;\-* #,##0.00000_-;_-* &quot;-&quot;??_-;_-@_-"/>
    <numFmt numFmtId="207" formatCode="_-* #,##0.0_-;\-* #,##0.0_-;_-* &quot;-&quot;??_-;_-@_-"/>
    <numFmt numFmtId="208" formatCode="_(* #,##0_);_(* \(#,##0\);_(* &quot;-&quot;_);_(@_)"/>
    <numFmt numFmtId="209" formatCode="0.0"/>
  </numFmts>
  <fonts count="86">
    <font>
      <sz val="14"/>
      <name val="AngsanaUPC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EucrosiaUPC"/>
      <family val="2"/>
      <charset val="222"/>
    </font>
    <font>
      <sz val="14"/>
      <name val="AngsanaUPC"/>
      <family val="1"/>
    </font>
    <font>
      <sz val="14"/>
      <name val="AngsanaUPC"/>
      <family val="1"/>
    </font>
    <font>
      <sz val="14"/>
      <name val="SV Rojchana"/>
    </font>
    <font>
      <sz val="10"/>
      <name val="Arial"/>
      <family val="2"/>
    </font>
    <font>
      <sz val="16"/>
      <name val="DilleniaUPC"/>
      <family val="1"/>
    </font>
    <font>
      <sz val="11"/>
      <name val="?? ?????"/>
      <family val="3"/>
      <charset val="255"/>
    </font>
    <font>
      <sz val="12"/>
      <name val="????"/>
      <charset val="136"/>
    </font>
    <font>
      <sz val="10"/>
      <name val="Helv"/>
      <family val="2"/>
    </font>
    <font>
      <sz val="11"/>
      <name val="??"/>
      <family val="1"/>
    </font>
    <font>
      <sz val="14"/>
      <name val="Cordia New"/>
      <family val="3"/>
    </font>
    <font>
      <sz val="12"/>
      <name val="Times New Roman"/>
      <family val="1"/>
    </font>
    <font>
      <sz val="12"/>
      <name val="Helv"/>
      <family val="2"/>
    </font>
    <font>
      <b/>
      <i/>
      <sz val="24"/>
      <color indexed="49"/>
      <name val="Arial Narrow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ngsanaUPC"/>
      <family val="1"/>
    </font>
    <font>
      <b/>
      <sz val="12"/>
      <name val="Arial"/>
      <family val="2"/>
    </font>
    <font>
      <b/>
      <i/>
      <sz val="18"/>
      <color indexed="28"/>
      <name val="AngsanaUPC"/>
      <family val="1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 New"/>
      <family val="1"/>
      <charset val="222"/>
    </font>
    <font>
      <sz val="7"/>
      <name val="Small Fonts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indexed="8"/>
      <name val="Tahoma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6"/>
      <color rgb="FFC00000"/>
      <name val="TH Sarabun New"/>
      <family val="2"/>
    </font>
    <font>
      <b/>
      <sz val="16"/>
      <color rgb="FF0000CC"/>
      <name val="TH Sarabun New"/>
      <family val="2"/>
    </font>
    <font>
      <b/>
      <sz val="16"/>
      <color rgb="FF333399"/>
      <name val="TH Sarabun New"/>
      <family val="2"/>
    </font>
    <font>
      <b/>
      <sz val="16"/>
      <color rgb="FFFF0000"/>
      <name val="TH Sarabun New"/>
      <family val="2"/>
    </font>
    <font>
      <b/>
      <sz val="20"/>
      <name val="TH Sarabun New"/>
      <family val="2"/>
    </font>
    <font>
      <sz val="20"/>
      <name val="BrowalliaUPC"/>
      <family val="2"/>
    </font>
    <font>
      <b/>
      <sz val="20"/>
      <color rgb="FFFF0000"/>
      <name val="BrowalliaUPC"/>
      <family val="2"/>
    </font>
    <font>
      <b/>
      <sz val="20"/>
      <name val="BrowalliaUPC"/>
      <family val="2"/>
    </font>
    <font>
      <sz val="20"/>
      <color rgb="FFFF0000"/>
      <name val="BrowalliaUPC"/>
      <family val="2"/>
    </font>
    <font>
      <sz val="18"/>
      <color rgb="FFFF0000"/>
      <name val="BrowalliaUPC"/>
      <family val="2"/>
    </font>
    <font>
      <b/>
      <sz val="14"/>
      <color indexed="10"/>
      <name val="TH SarabunPSK"/>
      <family val="2"/>
    </font>
    <font>
      <sz val="14"/>
      <color indexed="12"/>
      <name val="TH SarabunPSK"/>
      <family val="2"/>
    </font>
    <font>
      <b/>
      <sz val="14"/>
      <color indexed="8"/>
      <name val="TH SarabunPSK"/>
      <family val="2"/>
    </font>
    <font>
      <b/>
      <sz val="16"/>
      <color indexed="10"/>
      <name val="TH SarabunPSK"/>
      <family val="2"/>
    </font>
    <font>
      <sz val="16"/>
      <color theme="1"/>
      <name val="TH Sarabun New"/>
      <family val="2"/>
      <charset val="222"/>
    </font>
    <font>
      <sz val="12"/>
      <name val="EucrosiaUPC"/>
      <family val="1"/>
    </font>
    <font>
      <b/>
      <sz val="16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4"/>
      <color indexed="12"/>
      <name val="TH SarabunPSK"/>
      <family val="2"/>
    </font>
    <font>
      <sz val="14"/>
      <name val="TH SarabunPSK"/>
      <family val="2"/>
    </font>
    <font>
      <i/>
      <sz val="14"/>
      <name val="TH SarabunPSK"/>
      <family val="2"/>
    </font>
    <font>
      <b/>
      <sz val="14"/>
      <color indexed="21"/>
      <name val="TH SarabunPSK"/>
      <family val="2"/>
    </font>
    <font>
      <b/>
      <i/>
      <sz val="14"/>
      <color indexed="12"/>
      <name val="TH SarabunPSK"/>
      <family val="2"/>
    </font>
    <font>
      <b/>
      <i/>
      <sz val="14"/>
      <color indexed="8"/>
      <name val="TH SarabunPSK"/>
      <family val="2"/>
    </font>
    <font>
      <b/>
      <sz val="14"/>
      <color indexed="61"/>
      <name val="TH SarabunPSK"/>
      <family val="2"/>
    </font>
    <font>
      <sz val="16"/>
      <color theme="6"/>
      <name val="TH Sarabun New"/>
      <family val="2"/>
    </font>
    <font>
      <b/>
      <sz val="16"/>
      <color theme="6"/>
      <name val="TH Sarabun New"/>
      <family val="2"/>
    </font>
    <font>
      <b/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sz val="16"/>
      <name val="TH SarabunPSK"/>
      <family val="2"/>
      <charset val="222"/>
    </font>
    <font>
      <sz val="16"/>
      <color rgb="FFFF0000"/>
      <name val="TH Sarabun New"/>
      <family val="2"/>
    </font>
    <font>
      <sz val="16"/>
      <color theme="3" tint="0.39997558519241921"/>
      <name val="TH Sarabun New"/>
      <family val="2"/>
    </font>
    <font>
      <sz val="14"/>
      <color theme="1"/>
      <name val="TH SarabunPSK"/>
      <family val="2"/>
      <charset val="222"/>
    </font>
    <font>
      <sz val="14"/>
      <name val="BrowalliaUPC"/>
      <family val="2"/>
    </font>
    <font>
      <sz val="12"/>
      <name val="CordiaUPC"/>
      <family val="2"/>
      <charset val="222"/>
    </font>
    <font>
      <sz val="14"/>
      <name val="Cordia New"/>
      <family val="2"/>
      <charset val="222"/>
    </font>
    <font>
      <sz val="16"/>
      <color rgb="FF0000FF"/>
      <name val="TH Sarabun New"/>
      <family val="2"/>
    </font>
    <font>
      <i/>
      <sz val="16"/>
      <name val="TH Sarabun New"/>
      <family val="2"/>
    </font>
    <font>
      <b/>
      <sz val="16"/>
      <name val="TH Sarabun New"/>
      <family val="2"/>
      <charset val="222"/>
    </font>
    <font>
      <sz val="14"/>
      <color rgb="FF0000FF"/>
      <name val="Cordia New"/>
      <family val="2"/>
      <charset val="222"/>
    </font>
    <font>
      <b/>
      <u val="singleAccounting"/>
      <sz val="16"/>
      <name val="TH Sarabun New"/>
      <family val="2"/>
    </font>
    <font>
      <b/>
      <sz val="14"/>
      <color rgb="FF0000FF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color rgb="FFFF0000"/>
      <name val="TH SarabunPSK"/>
      <family val="2"/>
      <charset val="222"/>
    </font>
    <font>
      <b/>
      <sz val="14"/>
      <color indexed="10"/>
      <name val="TH SarabunPSK"/>
      <family val="2"/>
      <charset val="222"/>
    </font>
    <font>
      <sz val="14"/>
      <name val="TH SarabunPSK"/>
      <family val="2"/>
      <charset val="22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EA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41">
    <xf numFmtId="0" fontId="0" fillId="0" borderId="0"/>
    <xf numFmtId="0" fontId="9" fillId="0" borderId="0">
      <alignment vertical="center"/>
    </xf>
    <xf numFmtId="200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4" fontId="14" fillId="0" borderId="0" applyFont="0" applyFill="0" applyBorder="0" applyAlignment="0" applyProtection="0"/>
    <xf numFmtId="191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9" fontId="8" fillId="0" borderId="0" applyFon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5" fillId="0" borderId="0"/>
    <xf numFmtId="0" fontId="18" fillId="0" borderId="0"/>
    <xf numFmtId="9" fontId="10" fillId="2" borderId="0"/>
    <xf numFmtId="0" fontId="19" fillId="3" borderId="1">
      <alignment horizontal="centerContinuous" vertical="top"/>
    </xf>
    <xf numFmtId="0" fontId="10" fillId="0" borderId="0" applyFill="0" applyBorder="0" applyAlignment="0"/>
    <xf numFmtId="195" fontId="14" fillId="0" borderId="0" applyFill="0" applyBorder="0" applyAlignment="0"/>
    <xf numFmtId="0" fontId="17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93" fontId="8" fillId="0" borderId="0" applyFill="0" applyBorder="0" applyAlignment="0"/>
    <xf numFmtId="196" fontId="11" fillId="0" borderId="0" applyFill="0" applyBorder="0" applyAlignment="0"/>
    <xf numFmtId="195" fontId="14" fillId="0" borderId="0" applyFill="0" applyBorder="0" applyAlignment="0"/>
    <xf numFmtId="193" fontId="8" fillId="0" borderId="0" applyFont="0" applyFill="0" applyBorder="0" applyAlignment="0" applyProtection="0"/>
    <xf numFmtId="0" fontId="19" fillId="3" borderId="1">
      <alignment horizontal="centerContinuous" vertical="top"/>
    </xf>
    <xf numFmtId="195" fontId="14" fillId="0" borderId="0" applyFont="0" applyFill="0" applyBorder="0" applyAlignment="0" applyProtection="0"/>
    <xf numFmtId="14" fontId="22" fillId="0" borderId="0" applyFill="0" applyBorder="0" applyAlignment="0"/>
    <xf numFmtId="15" fontId="23" fillId="4" borderId="0">
      <alignment horizontal="centerContinuous"/>
    </xf>
    <xf numFmtId="193" fontId="8" fillId="0" borderId="0" applyFill="0" applyBorder="0" applyAlignment="0"/>
    <xf numFmtId="195" fontId="14" fillId="0" borderId="0" applyFill="0" applyBorder="0" applyAlignment="0"/>
    <xf numFmtId="193" fontId="8" fillId="0" borderId="0" applyFill="0" applyBorder="0" applyAlignment="0"/>
    <xf numFmtId="196" fontId="11" fillId="0" borderId="0" applyFill="0" applyBorder="0" applyAlignment="0"/>
    <xf numFmtId="195" fontId="14" fillId="0" borderId="0" applyFill="0" applyBorder="0" applyAlignment="0"/>
    <xf numFmtId="38" fontId="20" fillId="3" borderId="0" applyNumberFormat="0" applyBorder="0" applyAlignment="0" applyProtection="0"/>
    <xf numFmtId="0" fontId="24" fillId="0" borderId="2" applyNumberFormat="0" applyAlignment="0" applyProtection="0">
      <alignment horizontal="left" vertical="center"/>
    </xf>
    <xf numFmtId="0" fontId="24" fillId="0" borderId="3">
      <alignment horizontal="left" vertical="center"/>
    </xf>
    <xf numFmtId="10" fontId="20" fillId="5" borderId="4" applyNumberFormat="0" applyBorder="0" applyAlignment="0" applyProtection="0"/>
    <xf numFmtId="193" fontId="8" fillId="0" borderId="0" applyFill="0" applyBorder="0" applyAlignment="0"/>
    <xf numFmtId="195" fontId="14" fillId="0" borderId="0" applyFill="0" applyBorder="0" applyAlignment="0"/>
    <xf numFmtId="193" fontId="8" fillId="0" borderId="0" applyFill="0" applyBorder="0" applyAlignment="0"/>
    <xf numFmtId="196" fontId="11" fillId="0" borderId="0" applyFill="0" applyBorder="0" applyAlignment="0"/>
    <xf numFmtId="195" fontId="14" fillId="0" borderId="0" applyFill="0" applyBorder="0" applyAlignment="0"/>
    <xf numFmtId="197" fontId="7" fillId="0" borderId="0"/>
    <xf numFmtId="0" fontId="16" fillId="0" borderId="0" applyFont="0" applyFill="0" applyBorder="0" applyAlignment="0" applyProtection="0"/>
    <xf numFmtId="193" fontId="8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0" fontId="21" fillId="0" borderId="0" applyFont="0" applyFill="0" applyBorder="0" applyAlignment="0" applyProtection="0"/>
    <xf numFmtId="193" fontId="8" fillId="0" borderId="0" applyFill="0" applyBorder="0" applyAlignment="0"/>
    <xf numFmtId="195" fontId="14" fillId="0" borderId="0" applyFill="0" applyBorder="0" applyAlignment="0"/>
    <xf numFmtId="193" fontId="8" fillId="0" borderId="0" applyFill="0" applyBorder="0" applyAlignment="0"/>
    <xf numFmtId="196" fontId="11" fillId="0" borderId="0" applyFill="0" applyBorder="0" applyAlignment="0"/>
    <xf numFmtId="195" fontId="14" fillId="0" borderId="0" applyFill="0" applyBorder="0" applyAlignment="0"/>
    <xf numFmtId="0" fontId="25" fillId="2" borderId="0"/>
    <xf numFmtId="49" fontId="22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92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8" fillId="0" borderId="8" applyNumberFormat="0" applyFont="0" applyBorder="0" applyAlignment="0" applyProtection="0"/>
    <xf numFmtId="43" fontId="26" fillId="0" borderId="0" applyFont="0" applyFill="0" applyBorder="0" applyAlignment="0" applyProtection="0"/>
    <xf numFmtId="37" fontId="29" fillId="0" borderId="0"/>
    <xf numFmtId="43" fontId="30" fillId="0" borderId="0" applyFont="0" applyFill="0" applyBorder="0" applyAlignment="0" applyProtection="0"/>
    <xf numFmtId="187" fontId="30" fillId="0" borderId="0" applyFont="0" applyFill="0" applyBorder="0" applyAlignment="0" applyProtection="0"/>
    <xf numFmtId="0" fontId="30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0" fillId="0" borderId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43" fontId="4" fillId="0" borderId="0" applyFont="0" applyFill="0" applyBorder="0" applyAlignment="0" applyProtection="0"/>
    <xf numFmtId="0" fontId="10" fillId="0" borderId="0"/>
    <xf numFmtId="0" fontId="3" fillId="0" borderId="0"/>
    <xf numFmtId="0" fontId="10" fillId="0" borderId="0"/>
    <xf numFmtId="43" fontId="3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6" fillId="0" borderId="0"/>
    <xf numFmtId="187" fontId="10" fillId="0" borderId="0" applyFont="0" applyFill="0" applyBorder="0" applyAlignment="0" applyProtection="0"/>
    <xf numFmtId="0" fontId="26" fillId="0" borderId="0"/>
    <xf numFmtId="0" fontId="26" fillId="0" borderId="0"/>
    <xf numFmtId="0" fontId="7" fillId="0" borderId="0"/>
    <xf numFmtId="187" fontId="27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35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3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0" fontId="5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0" borderId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2" fillId="0" borderId="0"/>
    <xf numFmtId="0" fontId="10" fillId="0" borderId="0"/>
    <xf numFmtId="43" fontId="2" fillId="0" borderId="0" applyFont="0" applyFill="0" applyBorder="0" applyAlignment="0" applyProtection="0"/>
    <xf numFmtId="0" fontId="26" fillId="0" borderId="0"/>
    <xf numFmtId="0" fontId="10" fillId="0" borderId="0"/>
    <xf numFmtId="43" fontId="10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3" fillId="0" borderId="0"/>
    <xf numFmtId="41" fontId="74" fillId="0" borderId="0"/>
    <xf numFmtId="0" fontId="1" fillId="0" borderId="0"/>
    <xf numFmtId="0" fontId="7" fillId="0" borderId="0"/>
  </cellStyleXfs>
  <cellXfs count="456">
    <xf numFmtId="0" fontId="0" fillId="0" borderId="0" xfId="0"/>
    <xf numFmtId="43" fontId="31" fillId="0" borderId="0" xfId="7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188" fontId="34" fillId="0" borderId="0" xfId="60" applyNumberFormat="1" applyFont="1" applyAlignment="1">
      <alignment vertical="center"/>
    </xf>
    <xf numFmtId="188" fontId="34" fillId="0" borderId="0" xfId="60" quotePrefix="1" applyNumberFormat="1" applyFont="1" applyAlignment="1">
      <alignment horizontal="left" vertical="center"/>
    </xf>
    <xf numFmtId="0" fontId="34" fillId="0" borderId="0" xfId="0" applyFont="1" applyAlignment="1">
      <alignment vertical="center"/>
    </xf>
    <xf numFmtId="188" fontId="33" fillId="0" borderId="0" xfId="60" applyNumberFormat="1" applyFont="1" applyAlignment="1">
      <alignment horizontal="center" vertical="center"/>
    </xf>
    <xf numFmtId="188" fontId="34" fillId="7" borderId="8" xfId="60" quotePrefix="1" applyNumberFormat="1" applyFont="1" applyFill="1" applyBorder="1" applyAlignment="1">
      <alignment horizontal="left" vertical="center"/>
    </xf>
    <xf numFmtId="188" fontId="34" fillId="7" borderId="8" xfId="60" applyNumberFormat="1" applyFont="1" applyFill="1" applyBorder="1" applyAlignment="1">
      <alignment vertical="center"/>
    </xf>
    <xf numFmtId="188" fontId="34" fillId="7" borderId="11" xfId="60" applyNumberFormat="1" applyFont="1" applyFill="1" applyBorder="1" applyAlignment="1">
      <alignment vertical="center"/>
    </xf>
    <xf numFmtId="188" fontId="34" fillId="6" borderId="11" xfId="60" applyNumberFormat="1" applyFont="1" applyFill="1" applyBorder="1" applyAlignment="1">
      <alignment horizontal="left" vertical="center"/>
    </xf>
    <xf numFmtId="188" fontId="34" fillId="6" borderId="11" xfId="60" applyNumberFormat="1" applyFont="1" applyFill="1" applyBorder="1" applyAlignment="1">
      <alignment vertical="center"/>
    </xf>
    <xf numFmtId="188" fontId="34" fillId="7" borderId="0" xfId="60" applyNumberFormat="1" applyFont="1" applyFill="1" applyAlignment="1">
      <alignment vertical="center"/>
    </xf>
    <xf numFmtId="188" fontId="33" fillId="7" borderId="0" xfId="60" applyNumberFormat="1" applyFont="1" applyFill="1" applyAlignment="1">
      <alignment horizontal="right" vertical="center"/>
    </xf>
    <xf numFmtId="188" fontId="34" fillId="0" borderId="5" xfId="60" applyNumberFormat="1" applyFont="1" applyBorder="1" applyAlignment="1">
      <alignment vertical="center"/>
    </xf>
    <xf numFmtId="43" fontId="34" fillId="6" borderId="5" xfId="70" applyFont="1" applyFill="1" applyBorder="1" applyAlignment="1">
      <alignment vertical="center"/>
    </xf>
    <xf numFmtId="188" fontId="34" fillId="6" borderId="14" xfId="60" applyNumberFormat="1" applyFont="1" applyFill="1" applyBorder="1"/>
    <xf numFmtId="43" fontId="33" fillId="8" borderId="31" xfId="60" applyNumberFormat="1" applyFont="1" applyFill="1" applyBorder="1" applyAlignment="1">
      <alignment vertical="center"/>
    </xf>
    <xf numFmtId="188" fontId="33" fillId="6" borderId="31" xfId="60" applyNumberFormat="1" applyFont="1" applyFill="1" applyBorder="1" applyAlignment="1">
      <alignment vertical="center"/>
    </xf>
    <xf numFmtId="43" fontId="33" fillId="14" borderId="17" xfId="70" applyFont="1" applyFill="1" applyBorder="1" applyAlignment="1">
      <alignment vertical="center"/>
    </xf>
    <xf numFmtId="188" fontId="33" fillId="6" borderId="21" xfId="60" quotePrefix="1" applyNumberFormat="1" applyFont="1" applyFill="1" applyBorder="1" applyAlignment="1">
      <alignment vertical="center"/>
    </xf>
    <xf numFmtId="188" fontId="34" fillId="6" borderId="0" xfId="60" applyNumberFormat="1" applyFont="1" applyFill="1" applyBorder="1" applyAlignment="1">
      <alignment vertical="center"/>
    </xf>
    <xf numFmtId="188" fontId="34" fillId="0" borderId="0" xfId="60" quotePrefix="1" applyNumberFormat="1" applyFont="1" applyBorder="1" applyAlignment="1">
      <alignment horizontal="left" vertical="center"/>
    </xf>
    <xf numFmtId="188" fontId="34" fillId="0" borderId="0" xfId="60" applyNumberFormat="1" applyFont="1" applyBorder="1" applyAlignment="1">
      <alignment vertical="center"/>
    </xf>
    <xf numFmtId="188" fontId="33" fillId="6" borderId="0" xfId="60" applyNumberFormat="1" applyFont="1" applyFill="1" applyBorder="1" applyAlignment="1">
      <alignment vertical="center"/>
    </xf>
    <xf numFmtId="188" fontId="36" fillId="6" borderId="0" xfId="60" quotePrefix="1" applyNumberFormat="1" applyFont="1" applyFill="1" applyBorder="1" applyAlignment="1">
      <alignment horizontal="center" vertical="center"/>
    </xf>
    <xf numFmtId="188" fontId="36" fillId="6" borderId="0" xfId="60" quotePrefix="1" applyNumberFormat="1" applyFont="1" applyFill="1" applyBorder="1" applyAlignment="1">
      <alignment vertical="center"/>
    </xf>
    <xf numFmtId="188" fontId="34" fillId="6" borderId="0" xfId="60" applyNumberFormat="1" applyFont="1" applyFill="1" applyBorder="1" applyAlignment="1">
      <alignment horizontal="center" vertical="center"/>
    </xf>
    <xf numFmtId="188" fontId="34" fillId="0" borderId="0" xfId="60" applyNumberFormat="1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3" fillId="0" borderId="0" xfId="0" applyFont="1"/>
    <xf numFmtId="0" fontId="40" fillId="0" borderId="0" xfId="0" applyFont="1" applyAlignment="1">
      <alignment horizontal="center"/>
    </xf>
    <xf numFmtId="0" fontId="34" fillId="0" borderId="0" xfId="0" applyFont="1"/>
    <xf numFmtId="188" fontId="34" fillId="6" borderId="8" xfId="60" applyNumberFormat="1" applyFont="1" applyFill="1" applyBorder="1"/>
    <xf numFmtId="188" fontId="34" fillId="6" borderId="11" xfId="60" applyNumberFormat="1" applyFont="1" applyFill="1" applyBorder="1" applyAlignment="1">
      <alignment horizontal="left"/>
    </xf>
    <xf numFmtId="188" fontId="34" fillId="6" borderId="11" xfId="60" applyNumberFormat="1" applyFont="1" applyFill="1" applyBorder="1"/>
    <xf numFmtId="188" fontId="34" fillId="6" borderId="0" xfId="60" applyNumberFormat="1" applyFont="1" applyFill="1" applyBorder="1" applyAlignment="1">
      <alignment horizontal="center"/>
    </xf>
    <xf numFmtId="188" fontId="34" fillId="6" borderId="12" xfId="60" applyNumberFormat="1" applyFont="1" applyFill="1" applyBorder="1" applyAlignment="1">
      <alignment horizontal="center"/>
    </xf>
    <xf numFmtId="188" fontId="33" fillId="8" borderId="9" xfId="60" applyNumberFormat="1" applyFont="1" applyFill="1" applyBorder="1" applyAlignment="1">
      <alignment horizontal="center" vertical="center"/>
    </xf>
    <xf numFmtId="0" fontId="33" fillId="8" borderId="10" xfId="0" applyFont="1" applyFill="1" applyBorder="1" applyAlignment="1">
      <alignment horizontal="center" vertical="center"/>
    </xf>
    <xf numFmtId="188" fontId="34" fillId="6" borderId="5" xfId="60" applyNumberFormat="1" applyFont="1" applyFill="1" applyBorder="1" applyAlignment="1">
      <alignment horizontal="center"/>
    </xf>
    <xf numFmtId="187" fontId="34" fillId="6" borderId="5" xfId="60" applyNumberFormat="1" applyFont="1" applyFill="1" applyBorder="1"/>
    <xf numFmtId="189" fontId="34" fillId="6" borderId="5" xfId="60" applyNumberFormat="1" applyFont="1" applyFill="1" applyBorder="1"/>
    <xf numFmtId="188" fontId="34" fillId="6" borderId="5" xfId="60" applyNumberFormat="1" applyFont="1" applyFill="1" applyBorder="1"/>
    <xf numFmtId="188" fontId="34" fillId="6" borderId="5" xfId="60" applyNumberFormat="1" applyFont="1" applyFill="1" applyBorder="1" applyAlignment="1">
      <alignment horizontal="left"/>
    </xf>
    <xf numFmtId="188" fontId="34" fillId="0" borderId="5" xfId="60" applyNumberFormat="1" applyFont="1" applyFill="1" applyBorder="1"/>
    <xf numFmtId="188" fontId="34" fillId="0" borderId="5" xfId="60" applyNumberFormat="1" applyFont="1" applyFill="1" applyBorder="1" applyAlignment="1">
      <alignment horizontal="left"/>
    </xf>
    <xf numFmtId="188" fontId="34" fillId="6" borderId="23" xfId="60" applyNumberFormat="1" applyFont="1" applyFill="1" applyBorder="1"/>
    <xf numFmtId="188" fontId="34" fillId="0" borderId="6" xfId="60" applyNumberFormat="1" applyFont="1" applyFill="1" applyBorder="1" applyAlignment="1">
      <alignment horizontal="left"/>
    </xf>
    <xf numFmtId="188" fontId="34" fillId="6" borderId="0" xfId="60" applyNumberFormat="1" applyFont="1" applyFill="1" applyBorder="1"/>
    <xf numFmtId="188" fontId="34" fillId="6" borderId="25" xfId="60" applyNumberFormat="1" applyFont="1" applyFill="1" applyBorder="1"/>
    <xf numFmtId="0" fontId="34" fillId="0" borderId="25" xfId="0" applyFont="1" applyBorder="1"/>
    <xf numFmtId="187" fontId="34" fillId="6" borderId="25" xfId="60" applyNumberFormat="1" applyFont="1" applyFill="1" applyBorder="1"/>
    <xf numFmtId="188" fontId="34" fillId="0" borderId="0" xfId="60" applyNumberFormat="1" applyFont="1"/>
    <xf numFmtId="187" fontId="34" fillId="11" borderId="10" xfId="60" applyNumberFormat="1" applyFont="1" applyFill="1" applyBorder="1"/>
    <xf numFmtId="188" fontId="39" fillId="0" borderId="0" xfId="60" applyNumberFormat="1" applyFont="1" applyAlignment="1">
      <alignment vertical="center"/>
    </xf>
    <xf numFmtId="188" fontId="39" fillId="0" borderId="0" xfId="60" applyNumberFormat="1" applyFont="1" applyBorder="1" applyAlignment="1">
      <alignment vertical="center"/>
    </xf>
    <xf numFmtId="0" fontId="39" fillId="0" borderId="0" xfId="0" applyFont="1" applyAlignment="1">
      <alignment vertical="center"/>
    </xf>
    <xf numFmtId="202" fontId="34" fillId="6" borderId="5" xfId="60" applyNumberFormat="1" applyFont="1" applyFill="1" applyBorder="1"/>
    <xf numFmtId="43" fontId="34" fillId="6" borderId="5" xfId="70" applyFont="1" applyFill="1" applyBorder="1"/>
    <xf numFmtId="188" fontId="39" fillId="6" borderId="14" xfId="60" applyNumberFormat="1" applyFont="1" applyFill="1" applyBorder="1"/>
    <xf numFmtId="43" fontId="34" fillId="6" borderId="5" xfId="60" applyNumberFormat="1" applyFont="1" applyFill="1" applyBorder="1"/>
    <xf numFmtId="0" fontId="34" fillId="0" borderId="0" xfId="0" applyFont="1" applyAlignment="1">
      <alignment horizontal="left"/>
    </xf>
    <xf numFmtId="188" fontId="34" fillId="8" borderId="5" xfId="60" applyNumberFormat="1" applyFont="1" applyFill="1" applyBorder="1" applyAlignment="1">
      <alignment horizontal="left"/>
    </xf>
    <xf numFmtId="188" fontId="34" fillId="8" borderId="25" xfId="60" applyNumberFormat="1" applyFont="1" applyFill="1" applyBorder="1" applyAlignment="1">
      <alignment horizontal="left"/>
    </xf>
    <xf numFmtId="188" fontId="34" fillId="6" borderId="24" xfId="60" applyNumberFormat="1" applyFont="1" applyFill="1" applyBorder="1"/>
    <xf numFmtId="43" fontId="34" fillId="6" borderId="25" xfId="60" applyNumberFormat="1" applyFont="1" applyFill="1" applyBorder="1"/>
    <xf numFmtId="188" fontId="43" fillId="6" borderId="10" xfId="60" applyNumberFormat="1" applyFont="1" applyFill="1" applyBorder="1" applyAlignment="1">
      <alignment horizontal="center" vertical="center"/>
    </xf>
    <xf numFmtId="43" fontId="34" fillId="0" borderId="0" xfId="0" applyNumberFormat="1" applyFont="1" applyAlignment="1">
      <alignment vertical="center"/>
    </xf>
    <xf numFmtId="43" fontId="34" fillId="0" borderId="0" xfId="70" applyFont="1" applyAlignment="1">
      <alignment horizontal="left" vertical="center"/>
    </xf>
    <xf numFmtId="43" fontId="33" fillId="0" borderId="8" xfId="70" applyFont="1" applyFill="1" applyBorder="1" applyAlignment="1">
      <alignment horizontal="left" vertical="center"/>
    </xf>
    <xf numFmtId="43" fontId="33" fillId="0" borderId="8" xfId="70" applyFont="1" applyBorder="1" applyAlignment="1">
      <alignment horizontal="left" vertical="center"/>
    </xf>
    <xf numFmtId="43" fontId="33" fillId="0" borderId="8" xfId="70" applyFont="1" applyFill="1" applyBorder="1" applyAlignment="1">
      <alignment horizontal="center" vertical="center"/>
    </xf>
    <xf numFmtId="43" fontId="33" fillId="0" borderId="11" xfId="70" applyFont="1" applyFill="1" applyBorder="1" applyAlignment="1">
      <alignment horizontal="left" vertical="center"/>
    </xf>
    <xf numFmtId="43" fontId="33" fillId="0" borderId="11" xfId="70" applyFont="1" applyBorder="1" applyAlignment="1">
      <alignment horizontal="left" vertical="center"/>
    </xf>
    <xf numFmtId="43" fontId="33" fillId="0" borderId="11" xfId="70" applyFont="1" applyFill="1" applyBorder="1" applyAlignment="1">
      <alignment horizontal="center" vertical="center"/>
    </xf>
    <xf numFmtId="43" fontId="33" fillId="0" borderId="11" xfId="70" applyFont="1" applyFill="1" applyBorder="1" applyAlignment="1">
      <alignment vertical="center"/>
    </xf>
    <xf numFmtId="43" fontId="39" fillId="0" borderId="0" xfId="70" applyFont="1" applyAlignment="1">
      <alignment vertical="center"/>
    </xf>
    <xf numFmtId="43" fontId="39" fillId="0" borderId="0" xfId="70" applyFont="1" applyFill="1" applyAlignment="1">
      <alignment horizontal="left" vertical="center"/>
    </xf>
    <xf numFmtId="43" fontId="39" fillId="0" borderId="0" xfId="70" applyFont="1" applyFill="1" applyAlignment="1">
      <alignment vertical="center"/>
    </xf>
    <xf numFmtId="43" fontId="34" fillId="0" borderId="0" xfId="70" applyFont="1" applyFill="1" applyAlignment="1">
      <alignment horizontal="left" vertical="center"/>
    </xf>
    <xf numFmtId="43" fontId="34" fillId="0" borderId="0" xfId="70" applyFont="1" applyFill="1" applyAlignment="1">
      <alignment vertical="center"/>
    </xf>
    <xf numFmtId="43" fontId="34" fillId="0" borderId="0" xfId="70" applyFont="1" applyFill="1" applyAlignment="1">
      <alignment horizontal="left" vertical="center" wrapText="1"/>
    </xf>
    <xf numFmtId="43" fontId="34" fillId="0" borderId="0" xfId="70" applyFont="1" applyAlignment="1">
      <alignment vertical="center"/>
    </xf>
    <xf numFmtId="0" fontId="33" fillId="16" borderId="34" xfId="70" applyNumberFormat="1" applyFont="1" applyFill="1" applyBorder="1" applyAlignment="1" applyProtection="1">
      <alignment horizontal="center" vertical="center"/>
    </xf>
    <xf numFmtId="43" fontId="33" fillId="16" borderId="34" xfId="70" applyFont="1" applyFill="1" applyBorder="1" applyAlignment="1">
      <alignment horizontal="center" vertical="center"/>
    </xf>
    <xf numFmtId="43" fontId="39" fillId="0" borderId="0" xfId="70" applyFont="1" applyAlignment="1">
      <alignment horizontal="center" vertical="center"/>
    </xf>
    <xf numFmtId="203" fontId="39" fillId="0" borderId="0" xfId="70" applyNumberFormat="1" applyFont="1" applyFill="1" applyAlignment="1">
      <alignment horizontal="center" vertical="center"/>
    </xf>
    <xf numFmtId="203" fontId="39" fillId="0" borderId="0" xfId="70" applyNumberFormat="1" applyFont="1" applyFill="1" applyAlignment="1">
      <alignment vertical="center"/>
    </xf>
    <xf numFmtId="43" fontId="39" fillId="0" borderId="0" xfId="70" applyFont="1" applyFill="1" applyAlignment="1">
      <alignment horizontal="center" vertical="center"/>
    </xf>
    <xf numFmtId="43" fontId="33" fillId="9" borderId="7" xfId="70" applyFont="1" applyFill="1" applyBorder="1" applyAlignment="1">
      <alignment horizontal="center" vertical="center"/>
    </xf>
    <xf numFmtId="43" fontId="39" fillId="0" borderId="24" xfId="70" applyFont="1" applyFill="1" applyBorder="1" applyAlignment="1">
      <alignment vertical="center"/>
    </xf>
    <xf numFmtId="43" fontId="33" fillId="9" borderId="35" xfId="70" applyFont="1" applyFill="1" applyBorder="1" applyAlignment="1">
      <alignment horizontal="center" vertical="center"/>
    </xf>
    <xf numFmtId="43" fontId="33" fillId="0" borderId="33" xfId="70" applyFont="1" applyBorder="1" applyAlignment="1">
      <alignment horizontal="left" vertical="center"/>
    </xf>
    <xf numFmtId="43" fontId="39" fillId="0" borderId="32" xfId="70" applyFont="1" applyFill="1" applyBorder="1" applyAlignment="1">
      <alignment vertical="center"/>
    </xf>
    <xf numFmtId="43" fontId="39" fillId="0" borderId="32" xfId="70" applyFont="1" applyFill="1" applyBorder="1" applyAlignment="1">
      <alignment horizontal="center" vertical="center"/>
    </xf>
    <xf numFmtId="188" fontId="33" fillId="0" borderId="0" xfId="60" applyNumberFormat="1" applyFont="1" applyAlignment="1">
      <alignment horizontal="left" vertical="center"/>
    </xf>
    <xf numFmtId="43" fontId="33" fillId="16" borderId="34" xfId="70" applyFont="1" applyFill="1" applyBorder="1" applyAlignment="1" applyProtection="1">
      <alignment horizontal="left" vertical="center" shrinkToFit="1"/>
    </xf>
    <xf numFmtId="188" fontId="34" fillId="7" borderId="11" xfId="60" quotePrefix="1" applyNumberFormat="1" applyFont="1" applyFill="1" applyBorder="1" applyAlignment="1">
      <alignment horizontal="left" vertical="center"/>
    </xf>
    <xf numFmtId="43" fontId="33" fillId="10" borderId="10" xfId="70" applyFont="1" applyFill="1" applyBorder="1" applyAlignment="1">
      <alignment vertical="center"/>
    </xf>
    <xf numFmtId="188" fontId="34" fillId="6" borderId="14" xfId="60" applyNumberFormat="1" applyFont="1" applyFill="1" applyBorder="1" applyAlignment="1">
      <alignment vertical="center"/>
    </xf>
    <xf numFmtId="187" fontId="34" fillId="6" borderId="5" xfId="60" applyNumberFormat="1" applyFont="1" applyFill="1" applyBorder="1" applyAlignment="1">
      <alignment vertical="center"/>
    </xf>
    <xf numFmtId="202" fontId="34" fillId="6" borderId="5" xfId="60" applyNumberFormat="1" applyFont="1" applyFill="1" applyBorder="1" applyAlignment="1">
      <alignment vertical="center"/>
    </xf>
    <xf numFmtId="188" fontId="34" fillId="6" borderId="5" xfId="60" applyNumberFormat="1" applyFont="1" applyFill="1" applyBorder="1" applyAlignment="1">
      <alignment horizontal="left" vertical="center"/>
    </xf>
    <xf numFmtId="0" fontId="45" fillId="0" borderId="0" xfId="0" applyFont="1"/>
    <xf numFmtId="0" fontId="47" fillId="0" borderId="0" xfId="0" applyFont="1"/>
    <xf numFmtId="187" fontId="48" fillId="0" borderId="28" xfId="0" applyNumberFormat="1" applyFont="1" applyBorder="1" applyAlignment="1">
      <alignment horizontal="left"/>
    </xf>
    <xf numFmtId="0" fontId="48" fillId="0" borderId="13" xfId="0" applyFont="1" applyBorder="1"/>
    <xf numFmtId="0" fontId="48" fillId="0" borderId="22" xfId="0" applyFont="1" applyBorder="1"/>
    <xf numFmtId="0" fontId="48" fillId="0" borderId="0" xfId="0" applyFont="1"/>
    <xf numFmtId="0" fontId="48" fillId="0" borderId="26" xfId="0" applyFont="1" applyBorder="1"/>
    <xf numFmtId="0" fontId="46" fillId="0" borderId="39" xfId="0" applyFont="1" applyBorder="1" applyAlignment="1">
      <alignment horizontal="center"/>
    </xf>
    <xf numFmtId="0" fontId="49" fillId="0" borderId="38" xfId="0" applyFont="1" applyBorder="1"/>
    <xf numFmtId="188" fontId="33" fillId="0" borderId="0" xfId="60" applyNumberFormat="1" applyFont="1" applyBorder="1" applyAlignment="1">
      <alignment horizontal="center" vertical="center"/>
    </xf>
    <xf numFmtId="43" fontId="36" fillId="0" borderId="6" xfId="70" applyFont="1" applyFill="1" applyBorder="1" applyAlignment="1">
      <alignment horizontal="center" vertical="center"/>
    </xf>
    <xf numFmtId="207" fontId="36" fillId="0" borderId="6" xfId="70" applyNumberFormat="1" applyFont="1" applyBorder="1" applyAlignment="1">
      <alignment horizontal="center" vertical="center"/>
    </xf>
    <xf numFmtId="43" fontId="36" fillId="0" borderId="6" xfId="70" applyFont="1" applyFill="1" applyBorder="1" applyAlignment="1">
      <alignment vertical="center"/>
    </xf>
    <xf numFmtId="43" fontId="54" fillId="0" borderId="6" xfId="70" applyFont="1" applyFill="1" applyBorder="1" applyAlignment="1">
      <alignment horizontal="center" vertical="center"/>
    </xf>
    <xf numFmtId="43" fontId="54" fillId="0" borderId="6" xfId="70" applyFont="1" applyFill="1" applyBorder="1" applyAlignment="1">
      <alignment vertical="center"/>
    </xf>
    <xf numFmtId="43" fontId="54" fillId="17" borderId="6" xfId="70" applyFont="1" applyFill="1" applyBorder="1" applyAlignment="1">
      <alignment horizontal="center" vertical="center"/>
    </xf>
    <xf numFmtId="43" fontId="31" fillId="0" borderId="0" xfId="62" applyFont="1"/>
    <xf numFmtId="0" fontId="38" fillId="19" borderId="38" xfId="61" applyFont="1" applyFill="1" applyBorder="1"/>
    <xf numFmtId="9" fontId="31" fillId="19" borderId="26" xfId="61" applyNumberFormat="1" applyFont="1" applyFill="1" applyBorder="1" applyAlignment="1">
      <alignment horizontal="center"/>
    </xf>
    <xf numFmtId="43" fontId="32" fillId="9" borderId="45" xfId="62" applyFont="1" applyFill="1" applyBorder="1" applyAlignment="1">
      <alignment vertical="top"/>
    </xf>
    <xf numFmtId="43" fontId="31" fillId="9" borderId="0" xfId="62" applyFont="1" applyFill="1"/>
    <xf numFmtId="43" fontId="31" fillId="9" borderId="47" xfId="62" applyFont="1" applyFill="1" applyBorder="1"/>
    <xf numFmtId="43" fontId="31" fillId="9" borderId="0" xfId="62" applyFont="1" applyFill="1" applyBorder="1"/>
    <xf numFmtId="43" fontId="31" fillId="9" borderId="26" xfId="62" applyFont="1" applyFill="1" applyBorder="1"/>
    <xf numFmtId="40" fontId="56" fillId="9" borderId="38" xfId="99" applyFont="1" applyFill="1" applyBorder="1" applyAlignment="1"/>
    <xf numFmtId="40" fontId="57" fillId="9" borderId="0" xfId="99" applyFont="1" applyFill="1" applyBorder="1" applyAlignment="1"/>
    <xf numFmtId="43" fontId="31" fillId="9" borderId="0" xfId="70" applyFont="1" applyFill="1" applyBorder="1"/>
    <xf numFmtId="40" fontId="31" fillId="9" borderId="26" xfId="99" applyFont="1" applyFill="1" applyBorder="1"/>
    <xf numFmtId="43" fontId="31" fillId="9" borderId="0" xfId="62" applyFont="1" applyFill="1" applyAlignment="1">
      <alignment horizontal="center" vertical="center"/>
    </xf>
    <xf numFmtId="43" fontId="31" fillId="21" borderId="0" xfId="99" applyNumberFormat="1" applyFont="1" applyFill="1" applyBorder="1" applyAlignment="1"/>
    <xf numFmtId="43" fontId="51" fillId="19" borderId="20" xfId="62" applyFont="1" applyFill="1" applyBorder="1"/>
    <xf numFmtId="0" fontId="59" fillId="19" borderId="21" xfId="61" applyFont="1" applyFill="1" applyBorder="1"/>
    <xf numFmtId="0" fontId="31" fillId="20" borderId="9" xfId="61" applyFont="1" applyFill="1" applyBorder="1" applyAlignment="1">
      <alignment horizontal="center"/>
    </xf>
    <xf numFmtId="0" fontId="31" fillId="20" borderId="19" xfId="61" applyFont="1" applyFill="1" applyBorder="1" applyAlignment="1">
      <alignment horizontal="center"/>
    </xf>
    <xf numFmtId="43" fontId="58" fillId="9" borderId="0" xfId="62" applyFont="1" applyFill="1" applyAlignment="1">
      <alignment horizontal="right"/>
    </xf>
    <xf numFmtId="203" fontId="60" fillId="22" borderId="27" xfId="62" applyNumberFormat="1" applyFont="1" applyFill="1" applyBorder="1"/>
    <xf numFmtId="43" fontId="58" fillId="9" borderId="0" xfId="62" applyFont="1" applyFill="1"/>
    <xf numFmtId="43" fontId="31" fillId="21" borderId="0" xfId="99" applyNumberFormat="1" applyFont="1" applyFill="1" applyBorder="1"/>
    <xf numFmtId="0" fontId="31" fillId="20" borderId="10" xfId="61" applyFont="1" applyFill="1" applyBorder="1" applyAlignment="1">
      <alignment horizontal="center"/>
    </xf>
    <xf numFmtId="0" fontId="59" fillId="20" borderId="21" xfId="61" applyFont="1" applyFill="1" applyBorder="1"/>
    <xf numFmtId="43" fontId="31" fillId="9" borderId="0" xfId="62" applyFont="1" applyFill="1" applyAlignment="1">
      <alignment horizontal="right"/>
    </xf>
    <xf numFmtId="43" fontId="31" fillId="18" borderId="43" xfId="70" applyFont="1" applyFill="1" applyBorder="1"/>
    <xf numFmtId="203" fontId="59" fillId="19" borderId="4" xfId="62" applyNumberFormat="1" applyFont="1" applyFill="1" applyBorder="1"/>
    <xf numFmtId="43" fontId="61" fillId="9" borderId="0" xfId="62" applyFont="1" applyFill="1" applyAlignment="1">
      <alignment horizontal="right"/>
    </xf>
    <xf numFmtId="203" fontId="60" fillId="22" borderId="7" xfId="62" applyNumberFormat="1" applyFont="1" applyFill="1" applyBorder="1"/>
    <xf numFmtId="43" fontId="61" fillId="9" borderId="0" xfId="62" applyFont="1" applyFill="1"/>
    <xf numFmtId="43" fontId="52" fillId="9" borderId="0" xfId="62" applyFont="1" applyFill="1" applyAlignment="1">
      <alignment horizontal="right"/>
    </xf>
    <xf numFmtId="205" fontId="62" fillId="12" borderId="4" xfId="62" applyNumberFormat="1" applyFont="1" applyFill="1" applyBorder="1"/>
    <xf numFmtId="205" fontId="63" fillId="23" borderId="43" xfId="62" applyNumberFormat="1" applyFont="1" applyFill="1" applyBorder="1"/>
    <xf numFmtId="206" fontId="50" fillId="9" borderId="0" xfId="62" applyNumberFormat="1" applyFont="1" applyFill="1"/>
    <xf numFmtId="43" fontId="52" fillId="24" borderId="7" xfId="62" applyFont="1" applyFill="1" applyBorder="1"/>
    <xf numFmtId="43" fontId="31" fillId="9" borderId="44" xfId="62" applyFont="1" applyFill="1" applyBorder="1"/>
    <xf numFmtId="43" fontId="31" fillId="9" borderId="48" xfId="62" applyFont="1" applyFill="1" applyBorder="1"/>
    <xf numFmtId="43" fontId="58" fillId="0" borderId="0" xfId="62" applyFont="1"/>
    <xf numFmtId="43" fontId="64" fillId="0" borderId="0" xfId="62" applyFont="1" applyAlignment="1">
      <alignment horizontal="right"/>
    </xf>
    <xf numFmtId="203" fontId="58" fillId="0" borderId="0" xfId="62" applyNumberFormat="1" applyFont="1" applyBorder="1"/>
    <xf numFmtId="206" fontId="50" fillId="0" borderId="0" xfId="62" applyNumberFormat="1" applyFont="1"/>
    <xf numFmtId="203" fontId="59" fillId="19" borderId="4" xfId="62" applyNumberFormat="1" applyFont="1" applyFill="1" applyBorder="1" applyAlignment="1">
      <alignment horizontal="right"/>
    </xf>
    <xf numFmtId="0" fontId="40" fillId="0" borderId="0" xfId="0" applyFont="1" applyAlignment="1">
      <alignment horizontal="right"/>
    </xf>
    <xf numFmtId="0" fontId="33" fillId="26" borderId="6" xfId="70" applyNumberFormat="1" applyFont="1" applyFill="1" applyBorder="1" applyAlignment="1">
      <alignment horizontal="center" vertical="center"/>
    </xf>
    <xf numFmtId="43" fontId="33" fillId="26" borderId="6" xfId="70" applyFont="1" applyFill="1" applyBorder="1" applyAlignment="1">
      <alignment vertical="center"/>
    </xf>
    <xf numFmtId="43" fontId="33" fillId="26" borderId="46" xfId="70" applyFont="1" applyFill="1" applyBorder="1" applyAlignment="1">
      <alignment horizontal="center" vertical="center"/>
    </xf>
    <xf numFmtId="43" fontId="33" fillId="26" borderId="6" xfId="70" applyFont="1" applyFill="1" applyBorder="1" applyAlignment="1">
      <alignment horizontal="center" vertical="center"/>
    </xf>
    <xf numFmtId="43" fontId="33" fillId="26" borderId="15" xfId="70" applyFont="1" applyFill="1" applyBorder="1" applyAlignment="1">
      <alignment horizontal="center" vertical="center"/>
    </xf>
    <xf numFmtId="0" fontId="33" fillId="0" borderId="6" xfId="70" applyNumberFormat="1" applyFont="1" applyFill="1" applyBorder="1" applyAlignment="1">
      <alignment horizontal="center" vertical="center"/>
    </xf>
    <xf numFmtId="43" fontId="33" fillId="0" borderId="6" xfId="70" applyFont="1" applyFill="1" applyBorder="1" applyAlignment="1">
      <alignment vertical="center"/>
    </xf>
    <xf numFmtId="43" fontId="33" fillId="0" borderId="46" xfId="70" applyFont="1" applyFill="1" applyBorder="1" applyAlignment="1">
      <alignment horizontal="center" vertical="center"/>
    </xf>
    <xf numFmtId="43" fontId="33" fillId="0" borderId="6" xfId="70" applyFont="1" applyFill="1" applyBorder="1" applyAlignment="1">
      <alignment horizontal="center" vertical="center"/>
    </xf>
    <xf numFmtId="43" fontId="33" fillId="0" borderId="15" xfId="70" applyFont="1" applyFill="1" applyBorder="1" applyAlignment="1">
      <alignment horizontal="center" vertical="center"/>
    </xf>
    <xf numFmtId="0" fontId="34" fillId="0" borderId="6" xfId="70" applyNumberFormat="1" applyFont="1" applyFill="1" applyBorder="1" applyAlignment="1">
      <alignment horizontal="center" vertical="center"/>
    </xf>
    <xf numFmtId="43" fontId="34" fillId="0" borderId="6" xfId="70" applyFont="1" applyFill="1" applyBorder="1" applyAlignment="1">
      <alignment horizontal="center" vertical="center"/>
    </xf>
    <xf numFmtId="43" fontId="34" fillId="0" borderId="46" xfId="70" applyFont="1" applyFill="1" applyBorder="1" applyAlignment="1">
      <alignment horizontal="center" vertical="center"/>
    </xf>
    <xf numFmtId="43" fontId="34" fillId="0" borderId="46" xfId="70" applyFont="1" applyFill="1" applyBorder="1" applyAlignment="1">
      <alignment vertical="center"/>
    </xf>
    <xf numFmtId="2" fontId="33" fillId="0" borderId="6" xfId="70" applyNumberFormat="1" applyFont="1" applyFill="1" applyBorder="1" applyAlignment="1">
      <alignment horizontal="center" vertical="center"/>
    </xf>
    <xf numFmtId="43" fontId="67" fillId="0" borderId="6" xfId="70" applyFont="1" applyFill="1" applyBorder="1" applyAlignment="1">
      <alignment vertical="center"/>
    </xf>
    <xf numFmtId="207" fontId="67" fillId="0" borderId="6" xfId="70" applyNumberFormat="1" applyFont="1" applyBorder="1" applyAlignment="1">
      <alignment horizontal="left" vertical="center"/>
    </xf>
    <xf numFmtId="43" fontId="34" fillId="0" borderId="6" xfId="70" applyFont="1" applyFill="1" applyBorder="1" applyAlignment="1">
      <alignment vertical="center"/>
    </xf>
    <xf numFmtId="43" fontId="36" fillId="0" borderId="46" xfId="70" applyFont="1" applyFill="1" applyBorder="1" applyAlignment="1">
      <alignment horizontal="center" vertical="center"/>
    </xf>
    <xf numFmtId="43" fontId="69" fillId="0" borderId="6" xfId="70" applyFont="1" applyFill="1" applyBorder="1" applyAlignment="1" applyProtection="1">
      <alignment horizontal="center"/>
      <protection locked="0"/>
    </xf>
    <xf numFmtId="0" fontId="36" fillId="0" borderId="6" xfId="70" applyNumberFormat="1" applyFont="1" applyFill="1" applyBorder="1" applyAlignment="1">
      <alignment horizontal="center" vertical="center"/>
    </xf>
    <xf numFmtId="43" fontId="69" fillId="0" borderId="6" xfId="70" applyFont="1" applyFill="1" applyBorder="1" applyProtection="1">
      <protection locked="0"/>
    </xf>
    <xf numFmtId="207" fontId="54" fillId="0" borderId="6" xfId="70" applyNumberFormat="1" applyFont="1" applyFill="1" applyBorder="1" applyAlignment="1">
      <alignment horizontal="center" vertical="center"/>
    </xf>
    <xf numFmtId="0" fontId="34" fillId="25" borderId="6" xfId="102" quotePrefix="1" applyFont="1" applyFill="1" applyBorder="1" applyAlignment="1">
      <alignment horizontal="center" vertical="top"/>
    </xf>
    <xf numFmtId="43" fontId="34" fillId="0" borderId="6" xfId="136" applyFont="1" applyFill="1" applyBorder="1" applyAlignment="1">
      <alignment horizontal="center" vertical="center"/>
    </xf>
    <xf numFmtId="43" fontId="34" fillId="0" borderId="6" xfId="123" applyFont="1" applyFill="1" applyBorder="1" applyAlignment="1">
      <alignment horizontal="center" vertical="center"/>
    </xf>
    <xf numFmtId="43" fontId="34" fillId="0" borderId="11" xfId="123" applyFont="1" applyFill="1" applyBorder="1" applyAlignment="1">
      <alignment horizontal="center" vertical="center"/>
    </xf>
    <xf numFmtId="0" fontId="34" fillId="0" borderId="6" xfId="89" applyFont="1" applyBorder="1" applyAlignment="1">
      <alignment horizontal="center" vertical="center"/>
    </xf>
    <xf numFmtId="43" fontId="34" fillId="0" borderId="16" xfId="123" applyFont="1" applyFill="1" applyBorder="1" applyAlignment="1">
      <alignment horizontal="left" vertical="center"/>
    </xf>
    <xf numFmtId="43" fontId="34" fillId="0" borderId="16" xfId="136" applyFont="1" applyFill="1" applyBorder="1" applyAlignment="1">
      <alignment horizontal="center" vertical="center"/>
    </xf>
    <xf numFmtId="43" fontId="34" fillId="0" borderId="26" xfId="123" applyFont="1" applyFill="1" applyBorder="1" applyAlignment="1">
      <alignment horizontal="left" vertical="center"/>
    </xf>
    <xf numFmtId="43" fontId="34" fillId="0" borderId="50" xfId="123" applyFont="1" applyFill="1" applyBorder="1" applyAlignment="1">
      <alignment horizontal="left" vertical="center"/>
    </xf>
    <xf numFmtId="43" fontId="34" fillId="0" borderId="16" xfId="136" applyFont="1" applyFill="1" applyBorder="1" applyAlignment="1">
      <alignment vertical="center"/>
    </xf>
    <xf numFmtId="43" fontId="34" fillId="0" borderId="5" xfId="136" applyFont="1" applyFill="1" applyBorder="1" applyAlignment="1">
      <alignment horizontal="center" vertical="center"/>
    </xf>
    <xf numFmtId="43" fontId="34" fillId="0" borderId="5" xfId="136" applyFont="1" applyFill="1" applyBorder="1" applyAlignment="1">
      <alignment horizontal="right" vertical="center"/>
    </xf>
    <xf numFmtId="43" fontId="34" fillId="0" borderId="6" xfId="136" applyFont="1" applyFill="1" applyBorder="1" applyAlignment="1">
      <alignment horizontal="right" vertical="center"/>
    </xf>
    <xf numFmtId="43" fontId="33" fillId="0" borderId="6" xfId="136" applyFont="1" applyFill="1" applyBorder="1" applyAlignment="1">
      <alignment horizontal="center" vertical="center"/>
    </xf>
    <xf numFmtId="43" fontId="34" fillId="0" borderId="16" xfId="136" applyFont="1" applyFill="1" applyBorder="1" applyAlignment="1">
      <alignment horizontal="left" vertical="center"/>
    </xf>
    <xf numFmtId="43" fontId="76" fillId="0" borderId="6" xfId="136" applyFont="1" applyFill="1" applyBorder="1" applyAlignment="1">
      <alignment horizontal="center" vertical="center"/>
    </xf>
    <xf numFmtId="43" fontId="34" fillId="0" borderId="14" xfId="136" applyFont="1" applyFill="1" applyBorder="1" applyAlignment="1">
      <alignment vertical="center"/>
    </xf>
    <xf numFmtId="43" fontId="34" fillId="0" borderId="11" xfId="136" applyFont="1" applyFill="1" applyBorder="1" applyAlignment="1">
      <alignment horizontal="left" vertical="center"/>
    </xf>
    <xf numFmtId="43" fontId="33" fillId="0" borderId="5" xfId="136" applyFont="1" applyFill="1" applyBorder="1" applyAlignment="1">
      <alignment horizontal="center" vertical="center"/>
    </xf>
    <xf numFmtId="0" fontId="34" fillId="17" borderId="6" xfId="102" quotePrefix="1" applyFont="1" applyFill="1" applyBorder="1" applyAlignment="1">
      <alignment horizontal="center" vertical="top"/>
    </xf>
    <xf numFmtId="43" fontId="34" fillId="17" borderId="16" xfId="70" applyFont="1" applyFill="1" applyBorder="1" applyAlignment="1">
      <alignment vertical="top"/>
    </xf>
    <xf numFmtId="43" fontId="34" fillId="0" borderId="6" xfId="112" quotePrefix="1" applyFont="1" applyFill="1" applyBorder="1" applyAlignment="1">
      <alignment horizontal="center" vertical="top" wrapText="1"/>
    </xf>
    <xf numFmtId="43" fontId="34" fillId="0" borderId="16" xfId="70" applyFont="1" applyFill="1" applyBorder="1" applyAlignment="1">
      <alignment vertical="top"/>
    </xf>
    <xf numFmtId="43" fontId="34" fillId="0" borderId="16" xfId="70" applyFont="1" applyFill="1" applyBorder="1" applyAlignment="1">
      <alignment horizontal="center" vertical="top"/>
    </xf>
    <xf numFmtId="43" fontId="34" fillId="0" borderId="5" xfId="136" applyFont="1" applyFill="1" applyBorder="1" applyAlignment="1">
      <alignment vertical="center"/>
    </xf>
    <xf numFmtId="43" fontId="34" fillId="0" borderId="6" xfId="136" applyFont="1" applyFill="1" applyBorder="1" applyAlignment="1">
      <alignment vertical="center"/>
    </xf>
    <xf numFmtId="43" fontId="34" fillId="0" borderId="14" xfId="136" applyFont="1" applyFill="1" applyBorder="1" applyAlignment="1">
      <alignment horizontal="center" vertical="center"/>
    </xf>
    <xf numFmtId="0" fontId="34" fillId="0" borderId="16" xfId="89" quotePrefix="1" applyFont="1" applyBorder="1" applyAlignment="1">
      <alignment horizontal="left" vertical="top" wrapText="1"/>
    </xf>
    <xf numFmtId="208" fontId="34" fillId="0" borderId="16" xfId="95" quotePrefix="1" applyNumberFormat="1" applyFont="1" applyBorder="1" applyAlignment="1">
      <alignment vertical="top" wrapText="1"/>
    </xf>
    <xf numFmtId="43" fontId="33" fillId="0" borderId="11" xfId="123" applyFont="1" applyFill="1" applyBorder="1" applyAlignment="1">
      <alignment horizontal="left" vertical="center"/>
    </xf>
    <xf numFmtId="207" fontId="33" fillId="0" borderId="6" xfId="123" applyNumberFormat="1" applyFont="1" applyFill="1" applyBorder="1" applyAlignment="1">
      <alignment horizontal="center" vertical="center"/>
    </xf>
    <xf numFmtId="0" fontId="33" fillId="25" borderId="15" xfId="107" quotePrefix="1" applyFont="1" applyFill="1" applyBorder="1" applyAlignment="1">
      <alignment horizontal="center" vertical="center"/>
    </xf>
    <xf numFmtId="0" fontId="33" fillId="25" borderId="6" xfId="107" quotePrefix="1" applyFont="1" applyFill="1" applyBorder="1" applyAlignment="1">
      <alignment horizontal="left" vertical="top"/>
    </xf>
    <xf numFmtId="43" fontId="34" fillId="0" borderId="16" xfId="112" applyFont="1" applyFill="1" applyBorder="1" applyAlignment="1">
      <alignment horizontal="center" vertical="top"/>
    </xf>
    <xf numFmtId="0" fontId="34" fillId="0" borderId="6" xfId="102" quotePrefix="1" applyFont="1" applyBorder="1" applyAlignment="1">
      <alignment horizontal="center" vertical="top"/>
    </xf>
    <xf numFmtId="0" fontId="34" fillId="0" borderId="16" xfId="107" quotePrefix="1" applyFont="1" applyBorder="1" applyAlignment="1">
      <alignment horizontal="left" vertical="top"/>
    </xf>
    <xf numFmtId="0" fontId="34" fillId="0" borderId="16" xfId="107" quotePrefix="1" applyFont="1" applyBorder="1" applyAlignment="1">
      <alignment horizontal="left" vertical="top" wrapText="1"/>
    </xf>
    <xf numFmtId="0" fontId="33" fillId="0" borderId="15" xfId="107" quotePrefix="1" applyFont="1" applyBorder="1" applyAlignment="1">
      <alignment horizontal="center" vertical="center"/>
    </xf>
    <xf numFmtId="0" fontId="34" fillId="0" borderId="6" xfId="107" quotePrefix="1" applyFont="1" applyBorder="1" applyAlignment="1">
      <alignment horizontal="right" vertical="top"/>
    </xf>
    <xf numFmtId="0" fontId="33" fillId="0" borderId="6" xfId="107" quotePrefix="1" applyFont="1" applyBorder="1" applyAlignment="1">
      <alignment horizontal="left" vertical="top"/>
    </xf>
    <xf numFmtId="43" fontId="80" fillId="26" borderId="36" xfId="70" applyFont="1" applyFill="1" applyBorder="1" applyAlignment="1">
      <alignment horizontal="left" vertical="center"/>
    </xf>
    <xf numFmtId="43" fontId="34" fillId="14" borderId="6" xfId="70" applyFont="1" applyFill="1" applyBorder="1" applyAlignment="1">
      <alignment horizontal="left" vertical="top"/>
    </xf>
    <xf numFmtId="43" fontId="78" fillId="14" borderId="6" xfId="70" applyFont="1" applyFill="1" applyBorder="1" applyAlignment="1">
      <alignment horizontal="right" vertical="center"/>
    </xf>
    <xf numFmtId="43" fontId="78" fillId="14" borderId="6" xfId="112" applyFont="1" applyFill="1" applyBorder="1" applyAlignment="1">
      <alignment horizontal="left" vertical="center"/>
    </xf>
    <xf numFmtId="43" fontId="78" fillId="14" borderId="6" xfId="70" applyFont="1" applyFill="1" applyBorder="1" applyAlignment="1">
      <alignment horizontal="left" vertical="center"/>
    </xf>
    <xf numFmtId="43" fontId="34" fillId="12" borderId="6" xfId="70" applyFont="1" applyFill="1" applyBorder="1" applyAlignment="1">
      <alignment horizontal="right" vertical="center"/>
    </xf>
    <xf numFmtId="43" fontId="34" fillId="12" borderId="6" xfId="70" applyFont="1" applyFill="1" applyBorder="1" applyAlignment="1">
      <alignment horizontal="center" vertical="center"/>
    </xf>
    <xf numFmtId="43" fontId="34" fillId="12" borderId="6" xfId="70" applyFont="1" applyFill="1" applyBorder="1" applyAlignment="1">
      <alignment vertical="center"/>
    </xf>
    <xf numFmtId="43" fontId="34" fillId="12" borderId="6" xfId="70" applyFont="1" applyFill="1" applyBorder="1" applyAlignment="1">
      <alignment horizontal="left" vertical="center"/>
    </xf>
    <xf numFmtId="43" fontId="33" fillId="16" borderId="34" xfId="70" applyFont="1" applyFill="1" applyBorder="1" applyAlignment="1" applyProtection="1">
      <alignment horizontal="center" vertical="center"/>
    </xf>
    <xf numFmtId="43" fontId="33" fillId="16" borderId="34" xfId="70" applyFont="1" applyFill="1" applyBorder="1" applyAlignment="1">
      <alignment vertical="center"/>
    </xf>
    <xf numFmtId="43" fontId="38" fillId="0" borderId="0" xfId="70" applyFont="1" applyFill="1" applyAlignment="1">
      <alignment horizontal="left" vertical="center"/>
    </xf>
    <xf numFmtId="0" fontId="33" fillId="0" borderId="6" xfId="107" quotePrefix="1" applyFont="1" applyBorder="1" applyAlignment="1">
      <alignment horizontal="center" vertical="top"/>
    </xf>
    <xf numFmtId="0" fontId="33" fillId="0" borderId="16" xfId="107" quotePrefix="1" applyFont="1" applyBorder="1" applyAlignment="1">
      <alignment horizontal="left" vertical="top"/>
    </xf>
    <xf numFmtId="0" fontId="34" fillId="0" borderId="16" xfId="70" applyNumberFormat="1" applyFont="1" applyFill="1" applyBorder="1" applyAlignment="1">
      <alignment horizontal="center" vertical="center"/>
    </xf>
    <xf numFmtId="43" fontId="34" fillId="0" borderId="6" xfId="70" quotePrefix="1" applyFont="1" applyBorder="1" applyAlignment="1">
      <alignment vertical="center"/>
    </xf>
    <xf numFmtId="43" fontId="34" fillId="0" borderId="5" xfId="70" applyFont="1" applyBorder="1" applyAlignment="1">
      <alignment horizontal="center" vertical="center"/>
    </xf>
    <xf numFmtId="43" fontId="68" fillId="0" borderId="6" xfId="96" applyFont="1" applyFill="1" applyBorder="1" applyAlignment="1">
      <alignment horizontal="center" vertical="center"/>
    </xf>
    <xf numFmtId="43" fontId="34" fillId="0" borderId="5" xfId="75" applyNumberFormat="1" applyFont="1" applyBorder="1" applyAlignment="1">
      <alignment vertical="center"/>
    </xf>
    <xf numFmtId="0" fontId="34" fillId="0" borderId="5" xfId="75" applyFont="1" applyBorder="1" applyAlignment="1">
      <alignment horizontal="center" vertical="center"/>
    </xf>
    <xf numFmtId="43" fontId="33" fillId="0" borderId="5" xfId="70" quotePrefix="1" applyFont="1" applyBorder="1" applyAlignment="1">
      <alignment horizontal="left" vertical="center"/>
    </xf>
    <xf numFmtId="43" fontId="68" fillId="0" borderId="6" xfId="70" applyFont="1" applyFill="1" applyBorder="1" applyAlignment="1">
      <alignment horizontal="center" vertical="center"/>
    </xf>
    <xf numFmtId="43" fontId="34" fillId="0" borderId="6" xfId="65" applyFont="1" applyBorder="1" applyAlignment="1">
      <alignment vertical="center"/>
    </xf>
    <xf numFmtId="43" fontId="68" fillId="0" borderId="6" xfId="70" applyFont="1" applyFill="1" applyBorder="1" applyAlignment="1">
      <alignment vertical="center"/>
    </xf>
    <xf numFmtId="43" fontId="68" fillId="0" borderId="6" xfId="70" applyFont="1" applyFill="1" applyBorder="1" applyAlignment="1">
      <alignment horizontal="left" vertical="center"/>
    </xf>
    <xf numFmtId="43" fontId="68" fillId="0" borderId="6" xfId="97" applyFont="1" applyFill="1" applyBorder="1" applyAlignment="1">
      <alignment horizontal="center" vertical="center"/>
    </xf>
    <xf numFmtId="43" fontId="34" fillId="0" borderId="5" xfId="65" applyFont="1" applyFill="1" applyBorder="1" applyAlignment="1">
      <alignment vertical="center"/>
    </xf>
    <xf numFmtId="4" fontId="34" fillId="0" borderId="5" xfId="75" applyNumberFormat="1" applyFont="1" applyBorder="1" applyAlignment="1">
      <alignment vertical="center"/>
    </xf>
    <xf numFmtId="187" fontId="68" fillId="0" borderId="5" xfId="86" applyFont="1" applyFill="1" applyBorder="1" applyAlignment="1" applyProtection="1">
      <alignment horizontal="center" vertical="center"/>
      <protection locked="0"/>
    </xf>
    <xf numFmtId="43" fontId="68" fillId="0" borderId="6" xfId="70" quotePrefix="1" applyFont="1" applyFill="1" applyBorder="1" applyAlignment="1">
      <alignment vertical="center"/>
    </xf>
    <xf numFmtId="43" fontId="33" fillId="14" borderId="6" xfId="70" applyFont="1" applyFill="1" applyBorder="1" applyAlignment="1">
      <alignment horizontal="left" vertical="center"/>
    </xf>
    <xf numFmtId="43" fontId="33" fillId="6" borderId="5" xfId="70" applyFont="1" applyFill="1" applyBorder="1" applyAlignment="1">
      <alignment vertical="center"/>
    </xf>
    <xf numFmtId="0" fontId="39" fillId="0" borderId="0" xfId="135" applyFont="1"/>
    <xf numFmtId="0" fontId="82" fillId="14" borderId="0" xfId="135" applyFont="1" applyFill="1" applyAlignment="1">
      <alignment vertical="center"/>
    </xf>
    <xf numFmtId="0" fontId="81" fillId="14" borderId="0" xfId="135" applyFont="1" applyFill="1" applyAlignment="1">
      <alignment horizontal="right" vertical="center"/>
    </xf>
    <xf numFmtId="0" fontId="78" fillId="14" borderId="6" xfId="135" quotePrefix="1" applyFont="1" applyFill="1" applyBorder="1" applyAlignment="1">
      <alignment vertical="center"/>
    </xf>
    <xf numFmtId="0" fontId="78" fillId="14" borderId="15" xfId="135" quotePrefix="1" applyFont="1" applyFill="1" applyBorder="1" applyAlignment="1">
      <alignment vertical="center"/>
    </xf>
    <xf numFmtId="0" fontId="78" fillId="14" borderId="6" xfId="135" applyFont="1" applyFill="1" applyBorder="1" applyAlignment="1">
      <alignment horizontal="center" vertical="center"/>
    </xf>
    <xf numFmtId="0" fontId="34" fillId="0" borderId="0" xfId="135" applyFont="1"/>
    <xf numFmtId="187" fontId="34" fillId="0" borderId="11" xfId="84" applyFont="1" applyFill="1" applyBorder="1" applyAlignment="1">
      <alignment horizontal="center" vertical="center"/>
    </xf>
    <xf numFmtId="203" fontId="34" fillId="0" borderId="6" xfId="108" applyNumberFormat="1" applyFont="1" applyFill="1" applyBorder="1" applyAlignment="1">
      <alignment horizontal="center" vertical="center"/>
    </xf>
    <xf numFmtId="187" fontId="34" fillId="0" borderId="6" xfId="138" applyNumberFormat="1" applyFont="1" applyBorder="1" applyAlignment="1">
      <alignment horizontal="center" vertical="center"/>
    </xf>
    <xf numFmtId="0" fontId="34" fillId="17" borderId="6" xfId="135" applyFont="1" applyFill="1" applyBorder="1" applyAlignment="1">
      <alignment horizontal="right" vertical="top"/>
    </xf>
    <xf numFmtId="0" fontId="66" fillId="25" borderId="0" xfId="135" applyFont="1" applyFill="1"/>
    <xf numFmtId="0" fontId="65" fillId="0" borderId="0" xfId="135" applyFont="1"/>
    <xf numFmtId="43" fontId="77" fillId="17" borderId="6" xfId="70" applyFont="1" applyFill="1" applyBorder="1" applyAlignment="1">
      <alignment vertical="center"/>
    </xf>
    <xf numFmtId="43" fontId="77" fillId="17" borderId="6" xfId="70" applyFont="1" applyFill="1" applyBorder="1" applyAlignment="1">
      <alignment horizontal="center" vertical="center"/>
    </xf>
    <xf numFmtId="0" fontId="77" fillId="17" borderId="6" xfId="135" applyFont="1" applyFill="1" applyBorder="1" applyAlignment="1">
      <alignment horizontal="center" vertical="center"/>
    </xf>
    <xf numFmtId="43" fontId="77" fillId="17" borderId="16" xfId="70" applyFont="1" applyFill="1" applyBorder="1" applyAlignment="1">
      <alignment horizontal="right" vertical="center"/>
    </xf>
    <xf numFmtId="0" fontId="33" fillId="17" borderId="6" xfId="135" applyFont="1" applyFill="1" applyBorder="1" applyAlignment="1">
      <alignment horizontal="left" vertical="top"/>
    </xf>
    <xf numFmtId="0" fontId="33" fillId="17" borderId="6" xfId="135" applyFont="1" applyFill="1" applyBorder="1" applyAlignment="1">
      <alignment horizontal="center" vertical="center"/>
    </xf>
    <xf numFmtId="0" fontId="33" fillId="17" borderId="6" xfId="135" applyFont="1" applyFill="1" applyBorder="1" applyAlignment="1">
      <alignment horizontal="center" vertical="top"/>
    </xf>
    <xf numFmtId="43" fontId="34" fillId="17" borderId="6" xfId="70" applyFont="1" applyFill="1" applyBorder="1" applyAlignment="1">
      <alignment vertical="center"/>
    </xf>
    <xf numFmtId="43" fontId="34" fillId="0" borderId="16" xfId="70" applyFont="1" applyFill="1" applyBorder="1" applyAlignment="1">
      <alignment horizontal="center" vertical="center"/>
    </xf>
    <xf numFmtId="43" fontId="34" fillId="0" borderId="16" xfId="70" applyFont="1" applyFill="1" applyBorder="1" applyAlignment="1">
      <alignment vertical="center"/>
    </xf>
    <xf numFmtId="0" fontId="34" fillId="0" borderId="6" xfId="135" applyFont="1" applyBorder="1" applyAlignment="1">
      <alignment horizontal="center" vertical="center"/>
    </xf>
    <xf numFmtId="43" fontId="34" fillId="0" borderId="6" xfId="70" applyFont="1" applyFill="1" applyBorder="1" applyAlignment="1">
      <alignment horizontal="right" vertical="center"/>
    </xf>
    <xf numFmtId="0" fontId="34" fillId="0" borderId="16" xfId="135" applyFont="1" applyBorder="1" applyAlignment="1">
      <alignment vertical="top"/>
    </xf>
    <xf numFmtId="43" fontId="34" fillId="17" borderId="16" xfId="70" applyFont="1" applyFill="1" applyBorder="1" applyAlignment="1">
      <alignment horizontal="center" vertical="center"/>
    </xf>
    <xf numFmtId="43" fontId="34" fillId="17" borderId="16" xfId="70" applyFont="1" applyFill="1" applyBorder="1" applyAlignment="1">
      <alignment vertical="center"/>
    </xf>
    <xf numFmtId="0" fontId="34" fillId="17" borderId="6" xfId="135" applyFont="1" applyFill="1" applyBorder="1" applyAlignment="1">
      <alignment horizontal="center" vertical="center"/>
    </xf>
    <xf numFmtId="43" fontId="34" fillId="17" borderId="11" xfId="70" applyFont="1" applyFill="1" applyBorder="1" applyAlignment="1">
      <alignment horizontal="right" vertical="center"/>
    </xf>
    <xf numFmtId="0" fontId="34" fillId="17" borderId="16" xfId="135" applyFont="1" applyFill="1" applyBorder="1" applyAlignment="1">
      <alignment vertical="top"/>
    </xf>
    <xf numFmtId="3" fontId="34" fillId="0" borderId="16" xfId="135" applyNumberFormat="1" applyFont="1" applyBorder="1" applyAlignment="1">
      <alignment horizontal="center" vertical="center"/>
    </xf>
    <xf numFmtId="43" fontId="34" fillId="0" borderId="51" xfId="70" applyFont="1" applyFill="1" applyBorder="1" applyAlignment="1">
      <alignment horizontal="right" vertical="center" wrapText="1"/>
    </xf>
    <xf numFmtId="0" fontId="34" fillId="0" borderId="16" xfId="139" applyFont="1" applyBorder="1" applyAlignment="1">
      <alignment vertical="top"/>
    </xf>
    <xf numFmtId="43" fontId="34" fillId="0" borderId="11" xfId="70" applyFont="1" applyFill="1" applyBorder="1" applyAlignment="1">
      <alignment horizontal="right" vertical="center"/>
    </xf>
    <xf numFmtId="43" fontId="77" fillId="0" borderId="6" xfId="70" applyFont="1" applyFill="1" applyBorder="1" applyAlignment="1">
      <alignment horizontal="center" vertical="center"/>
    </xf>
    <xf numFmtId="0" fontId="77" fillId="0" borderId="6" xfId="135" applyFont="1" applyBorder="1" applyAlignment="1">
      <alignment horizontal="center" vertical="center"/>
    </xf>
    <xf numFmtId="43" fontId="77" fillId="0" borderId="16" xfId="70" applyFont="1" applyFill="1" applyBorder="1" applyAlignment="1">
      <alignment horizontal="right" vertical="center"/>
    </xf>
    <xf numFmtId="43" fontId="34" fillId="17" borderId="6" xfId="70" applyFont="1" applyFill="1" applyBorder="1" applyAlignment="1">
      <alignment horizontal="right" vertical="center"/>
    </xf>
    <xf numFmtId="0" fontId="34" fillId="17" borderId="11" xfId="135" quotePrefix="1" applyFont="1" applyFill="1" applyBorder="1" applyAlignment="1">
      <alignment horizontal="left" vertical="top" wrapText="1"/>
    </xf>
    <xf numFmtId="43" fontId="34" fillId="17" borderId="6" xfId="70" applyFont="1" applyFill="1" applyBorder="1" applyAlignment="1">
      <alignment vertical="center" wrapText="1"/>
    </xf>
    <xf numFmtId="43" fontId="34" fillId="17" borderId="16" xfId="70" applyFont="1" applyFill="1" applyBorder="1" applyAlignment="1">
      <alignment horizontal="center" vertical="center" wrapText="1"/>
    </xf>
    <xf numFmtId="43" fontId="34" fillId="17" borderId="16" xfId="70" applyFont="1" applyFill="1" applyBorder="1" applyAlignment="1">
      <alignment vertical="center" wrapText="1"/>
    </xf>
    <xf numFmtId="0" fontId="34" fillId="17" borderId="6" xfId="135" applyFont="1" applyFill="1" applyBorder="1" applyAlignment="1">
      <alignment horizontal="center" vertical="center" wrapText="1"/>
    </xf>
    <xf numFmtId="43" fontId="34" fillId="17" borderId="6" xfId="70" applyFont="1" applyFill="1" applyBorder="1" applyAlignment="1">
      <alignment horizontal="right" vertical="center" wrapText="1"/>
    </xf>
    <xf numFmtId="0" fontId="34" fillId="17" borderId="6" xfId="135" applyFont="1" applyFill="1" applyBorder="1" applyAlignment="1">
      <alignment horizontal="right"/>
    </xf>
    <xf numFmtId="0" fontId="34" fillId="17" borderId="46" xfId="135" applyFont="1" applyFill="1" applyBorder="1" applyAlignment="1">
      <alignment horizontal="right"/>
    </xf>
    <xf numFmtId="4" fontId="34" fillId="0" borderId="11" xfId="108" applyNumberFormat="1" applyFont="1" applyFill="1" applyBorder="1" applyAlignment="1">
      <alignment vertical="center"/>
    </xf>
    <xf numFmtId="4" fontId="34" fillId="0" borderId="6" xfId="108" applyNumberFormat="1" applyFont="1" applyFill="1" applyBorder="1" applyAlignment="1">
      <alignment vertical="center"/>
    </xf>
    <xf numFmtId="0" fontId="33" fillId="17" borderId="33" xfId="135" applyFont="1" applyFill="1" applyBorder="1" applyAlignment="1">
      <alignment horizontal="left"/>
    </xf>
    <xf numFmtId="0" fontId="33" fillId="17" borderId="46" xfId="135" applyFont="1" applyFill="1" applyBorder="1" applyAlignment="1">
      <alignment horizontal="center" vertical="center"/>
    </xf>
    <xf numFmtId="187" fontId="34" fillId="0" borderId="16" xfId="138" applyNumberFormat="1" applyFont="1" applyBorder="1" applyAlignment="1">
      <alignment horizontal="center" vertical="center"/>
    </xf>
    <xf numFmtId="0" fontId="34" fillId="17" borderId="16" xfId="135" applyFont="1" applyFill="1" applyBorder="1" applyAlignment="1">
      <alignment horizontal="right" vertical="center"/>
    </xf>
    <xf numFmtId="43" fontId="34" fillId="25" borderId="51" xfId="70" applyFont="1" applyFill="1" applyBorder="1" applyAlignment="1">
      <alignment vertical="center" wrapText="1"/>
    </xf>
    <xf numFmtId="43" fontId="34" fillId="25" borderId="16" xfId="70" applyFont="1" applyFill="1" applyBorder="1" applyAlignment="1">
      <alignment vertical="center"/>
    </xf>
    <xf numFmtId="43" fontId="34" fillId="25" borderId="16" xfId="70" applyFont="1" applyFill="1" applyBorder="1" applyAlignment="1">
      <alignment horizontal="center" vertical="center"/>
    </xf>
    <xf numFmtId="0" fontId="34" fillId="25" borderId="51" xfId="135" applyFont="1" applyFill="1" applyBorder="1" applyAlignment="1">
      <alignment horizontal="center" vertical="center" wrapText="1"/>
    </xf>
    <xf numFmtId="43" fontId="34" fillId="25" borderId="16" xfId="70" applyFont="1" applyFill="1" applyBorder="1" applyAlignment="1">
      <alignment horizontal="right" vertical="center"/>
    </xf>
    <xf numFmtId="0" fontId="75" fillId="14" borderId="0" xfId="135" applyFont="1" applyFill="1" applyAlignment="1">
      <alignment vertical="top"/>
    </xf>
    <xf numFmtId="0" fontId="79" fillId="14" borderId="0" xfId="135" applyFont="1" applyFill="1" applyAlignment="1">
      <alignment horizontal="right" vertical="top"/>
    </xf>
    <xf numFmtId="43" fontId="34" fillId="14" borderId="6" xfId="70" applyFont="1" applyFill="1" applyBorder="1" applyAlignment="1">
      <alignment horizontal="left" vertical="center"/>
    </xf>
    <xf numFmtId="43" fontId="34" fillId="14" borderId="6" xfId="112" applyFont="1" applyFill="1" applyBorder="1" applyAlignment="1">
      <alignment horizontal="left" vertical="center"/>
    </xf>
    <xf numFmtId="43" fontId="34" fillId="14" borderId="6" xfId="70" applyFont="1" applyFill="1" applyBorder="1" applyAlignment="1">
      <alignment horizontal="right" vertical="center"/>
    </xf>
    <xf numFmtId="0" fontId="34" fillId="14" borderId="6" xfId="135" quotePrefix="1" applyFont="1" applyFill="1" applyBorder="1" applyAlignment="1">
      <alignment vertical="center"/>
    </xf>
    <xf numFmtId="0" fontId="33" fillId="14" borderId="15" xfId="135" quotePrefix="1" applyFont="1" applyFill="1" applyBorder="1" applyAlignment="1">
      <alignment vertical="center"/>
    </xf>
    <xf numFmtId="0" fontId="33" fillId="14" borderId="6" xfId="135" applyFont="1" applyFill="1" applyBorder="1" applyAlignment="1">
      <alignment horizontal="center" vertical="top"/>
    </xf>
    <xf numFmtId="43" fontId="33" fillId="0" borderId="0" xfId="135" applyNumberFormat="1" applyFont="1"/>
    <xf numFmtId="0" fontId="66" fillId="0" borderId="0" xfId="135" applyFont="1"/>
    <xf numFmtId="0" fontId="33" fillId="26" borderId="6" xfId="135" applyFont="1" applyFill="1" applyBorder="1" applyAlignment="1">
      <alignment horizontal="center"/>
    </xf>
    <xf numFmtId="0" fontId="54" fillId="0" borderId="6" xfId="135" applyFont="1" applyBorder="1" applyAlignment="1">
      <alignment horizontal="center"/>
    </xf>
    <xf numFmtId="43" fontId="69" fillId="0" borderId="46" xfId="70" applyFont="1" applyFill="1" applyBorder="1" applyAlignment="1" applyProtection="1">
      <alignment vertical="center"/>
      <protection locked="0"/>
    </xf>
    <xf numFmtId="43" fontId="69" fillId="0" borderId="6" xfId="70" applyFont="1" applyFill="1" applyBorder="1" applyAlignment="1" applyProtection="1">
      <alignment horizontal="center" vertical="center"/>
      <protection locked="0"/>
    </xf>
    <xf numFmtId="43" fontId="68" fillId="0" borderId="6" xfId="70" applyFont="1" applyFill="1" applyBorder="1" applyAlignment="1" applyProtection="1">
      <alignment horizontal="center" vertical="center"/>
      <protection locked="0"/>
    </xf>
    <xf numFmtId="43" fontId="34" fillId="0" borderId="5" xfId="75" applyNumberFormat="1" applyFont="1" applyBorder="1"/>
    <xf numFmtId="203" fontId="34" fillId="0" borderId="6" xfId="70" applyNumberFormat="1" applyFont="1" applyFill="1" applyBorder="1" applyAlignment="1">
      <alignment horizontal="center" vertical="center"/>
    </xf>
    <xf numFmtId="43" fontId="34" fillId="0" borderId="6" xfId="70" quotePrefix="1" applyFont="1" applyBorder="1"/>
    <xf numFmtId="43" fontId="68" fillId="0" borderId="6" xfId="70" applyFont="1" applyFill="1" applyBorder="1" applyAlignment="1">
      <alignment horizontal="left" vertical="top"/>
    </xf>
    <xf numFmtId="4" fontId="34" fillId="0" borderId="5" xfId="75" applyNumberFormat="1" applyFont="1" applyBorder="1"/>
    <xf numFmtId="43" fontId="34" fillId="0" borderId="5" xfId="65" applyFont="1" applyFill="1" applyBorder="1"/>
    <xf numFmtId="209" fontId="33" fillId="0" borderId="6" xfId="70" applyNumberFormat="1" applyFont="1" applyFill="1" applyBorder="1" applyAlignment="1">
      <alignment horizontal="center" vertical="center"/>
    </xf>
    <xf numFmtId="207" fontId="67" fillId="0" borderId="6" xfId="70" applyNumberFormat="1" applyFont="1" applyBorder="1" applyAlignment="1">
      <alignment horizontal="center" vertical="center"/>
    </xf>
    <xf numFmtId="0" fontId="34" fillId="0" borderId="6" xfId="135" applyFont="1" applyBorder="1" applyAlignment="1">
      <alignment horizontal="center"/>
    </xf>
    <xf numFmtId="0" fontId="33" fillId="0" borderId="6" xfId="135" applyFont="1" applyBorder="1" applyAlignment="1">
      <alignment horizontal="center"/>
    </xf>
    <xf numFmtId="0" fontId="36" fillId="0" borderId="0" xfId="135" applyFont="1"/>
    <xf numFmtId="0" fontId="66" fillId="12" borderId="0" xfId="135" applyFont="1" applyFill="1"/>
    <xf numFmtId="0" fontId="71" fillId="0" borderId="0" xfId="135" applyFont="1"/>
    <xf numFmtId="0" fontId="70" fillId="0" borderId="0" xfId="135" applyFont="1"/>
    <xf numFmtId="3" fontId="68" fillId="0" borderId="16" xfId="135" applyNumberFormat="1" applyFont="1" applyBorder="1" applyAlignment="1">
      <alignment horizontal="center" vertical="center"/>
    </xf>
    <xf numFmtId="0" fontId="68" fillId="0" borderId="11" xfId="135" quotePrefix="1" applyFont="1" applyBorder="1" applyAlignment="1">
      <alignment horizontal="left" vertical="center"/>
    </xf>
    <xf numFmtId="0" fontId="33" fillId="0" borderId="5" xfId="75" applyFont="1" applyBorder="1" applyAlignment="1">
      <alignment horizontal="center" vertical="center"/>
    </xf>
    <xf numFmtId="0" fontId="68" fillId="0" borderId="16" xfId="140" applyFont="1" applyBorder="1" applyAlignment="1">
      <alignment vertical="center"/>
    </xf>
    <xf numFmtId="203" fontId="78" fillId="0" borderId="6" xfId="70" applyNumberFormat="1" applyFont="1" applyBorder="1" applyAlignment="1">
      <alignment horizontal="left" vertical="center"/>
    </xf>
    <xf numFmtId="0" fontId="68" fillId="0" borderId="14" xfId="135" applyFont="1" applyBorder="1" applyAlignment="1">
      <alignment horizontal="center" vertical="center"/>
    </xf>
    <xf numFmtId="0" fontId="68" fillId="0" borderId="11" xfId="135" quotePrefix="1" applyFont="1" applyBorder="1" applyAlignment="1">
      <alignment horizontal="left" vertical="center" wrapText="1"/>
    </xf>
    <xf numFmtId="0" fontId="82" fillId="14" borderId="0" xfId="135" applyFont="1" applyFill="1" applyAlignment="1">
      <alignment vertical="top"/>
    </xf>
    <xf numFmtId="0" fontId="81" fillId="14" borderId="0" xfId="135" applyFont="1" applyFill="1" applyAlignment="1">
      <alignment horizontal="right" vertical="top"/>
    </xf>
    <xf numFmtId="3" fontId="34" fillId="12" borderId="16" xfId="135" applyNumberFormat="1" applyFont="1" applyFill="1" applyBorder="1" applyAlignment="1">
      <alignment horizontal="center" vertical="center"/>
    </xf>
    <xf numFmtId="209" fontId="34" fillId="12" borderId="11" xfId="135" applyNumberFormat="1" applyFont="1" applyFill="1" applyBorder="1" applyAlignment="1">
      <alignment horizontal="left" vertical="center"/>
    </xf>
    <xf numFmtId="0" fontId="66" fillId="14" borderId="0" xfId="135" applyFont="1" applyFill="1"/>
    <xf numFmtId="0" fontId="66" fillId="26" borderId="0" xfId="135" applyFont="1" applyFill="1"/>
    <xf numFmtId="0" fontId="33" fillId="26" borderId="37" xfId="139" applyFont="1" applyFill="1" applyBorder="1" applyAlignment="1">
      <alignment vertical="top"/>
    </xf>
    <xf numFmtId="0" fontId="33" fillId="26" borderId="37" xfId="139" applyFont="1" applyFill="1" applyBorder="1" applyAlignment="1">
      <alignment vertical="center"/>
    </xf>
    <xf numFmtId="43" fontId="33" fillId="26" borderId="52" xfId="70" applyFont="1" applyFill="1" applyBorder="1" applyAlignment="1">
      <alignment horizontal="right" vertical="center"/>
    </xf>
    <xf numFmtId="0" fontId="33" fillId="26" borderId="52" xfId="135" applyFont="1" applyFill="1" applyBorder="1" applyAlignment="1">
      <alignment horizontal="center" vertical="top"/>
    </xf>
    <xf numFmtId="43" fontId="34" fillId="0" borderId="11" xfId="70" applyFont="1" applyFill="1" applyBorder="1" applyAlignment="1">
      <alignment horizontal="left" vertical="center"/>
    </xf>
    <xf numFmtId="43" fontId="34" fillId="0" borderId="8" xfId="70" applyFont="1" applyFill="1" applyBorder="1" applyAlignment="1">
      <alignment horizontal="left" vertical="center"/>
    </xf>
    <xf numFmtId="0" fontId="39" fillId="0" borderId="0" xfId="140" applyFont="1"/>
    <xf numFmtId="0" fontId="34" fillId="0" borderId="0" xfId="140" applyFont="1"/>
    <xf numFmtId="0" fontId="54" fillId="0" borderId="6" xfId="140" applyFont="1" applyBorder="1" applyAlignment="1">
      <alignment horizontal="center"/>
    </xf>
    <xf numFmtId="43" fontId="34" fillId="0" borderId="51" xfId="140" applyNumberFormat="1" applyFont="1" applyBorder="1" applyAlignment="1">
      <alignment vertical="top" wrapText="1"/>
    </xf>
    <xf numFmtId="43" fontId="34" fillId="0" borderId="16" xfId="140" applyNumberFormat="1" applyFont="1" applyBorder="1" applyAlignment="1">
      <alignment vertical="top" wrapText="1"/>
    </xf>
    <xf numFmtId="0" fontId="34" fillId="0" borderId="16" xfId="140" applyFont="1" applyBorder="1" applyAlignment="1">
      <alignment horizontal="center" vertical="top"/>
    </xf>
    <xf numFmtId="43" fontId="34" fillId="0" borderId="6" xfId="140" applyNumberFormat="1" applyFont="1" applyBorder="1" applyAlignment="1">
      <alignment horizontal="center" vertical="top" wrapText="1"/>
    </xf>
    <xf numFmtId="0" fontId="34" fillId="0" borderId="51" xfId="140" applyFont="1" applyBorder="1" applyAlignment="1">
      <alignment horizontal="center" vertical="top" wrapText="1"/>
    </xf>
    <xf numFmtId="43" fontId="34" fillId="0" borderId="6" xfId="140" applyNumberFormat="1" applyFont="1" applyBorder="1" applyAlignment="1">
      <alignment vertical="top" wrapText="1"/>
    </xf>
    <xf numFmtId="0" fontId="33" fillId="0" borderId="11" xfId="135" quotePrefix="1" applyFont="1" applyBorder="1" applyAlignment="1">
      <alignment horizontal="left" vertical="center"/>
    </xf>
    <xf numFmtId="0" fontId="33" fillId="0" borderId="5" xfId="75" applyFont="1" applyBorder="1" applyAlignment="1">
      <alignment horizontal="right" vertical="center"/>
    </xf>
    <xf numFmtId="9" fontId="83" fillId="19" borderId="26" xfId="61" applyNumberFormat="1" applyFont="1" applyFill="1" applyBorder="1" applyAlignment="1">
      <alignment horizontal="center"/>
    </xf>
    <xf numFmtId="9" fontId="84" fillId="19" borderId="26" xfId="61" applyNumberFormat="1" applyFont="1" applyFill="1" applyBorder="1" applyAlignment="1">
      <alignment horizontal="center"/>
    </xf>
    <xf numFmtId="204" fontId="85" fillId="19" borderId="31" xfId="0" applyNumberFormat="1" applyFont="1" applyFill="1" applyBorder="1" applyAlignment="1">
      <alignment horizontal="center"/>
    </xf>
    <xf numFmtId="204" fontId="85" fillId="19" borderId="40" xfId="0" applyNumberFormat="1" applyFont="1" applyFill="1" applyBorder="1" applyAlignment="1">
      <alignment horizontal="center"/>
    </xf>
    <xf numFmtId="204" fontId="85" fillId="19" borderId="29" xfId="0" applyNumberFormat="1" applyFont="1" applyFill="1" applyBorder="1" applyAlignment="1">
      <alignment horizontal="center"/>
    </xf>
    <xf numFmtId="0" fontId="78" fillId="0" borderId="6" xfId="135" applyFont="1" applyBorder="1" applyAlignment="1">
      <alignment horizontal="center" vertical="center"/>
    </xf>
    <xf numFmtId="0" fontId="78" fillId="0" borderId="15" xfId="135" quotePrefix="1" applyFont="1" applyBorder="1" applyAlignment="1">
      <alignment vertical="center"/>
    </xf>
    <xf numFmtId="0" fontId="78" fillId="0" borderId="6" xfId="135" quotePrefix="1" applyFont="1" applyBorder="1" applyAlignment="1">
      <alignment vertical="center"/>
    </xf>
    <xf numFmtId="43" fontId="78" fillId="0" borderId="46" xfId="70" applyFont="1" applyFill="1" applyBorder="1" applyAlignment="1">
      <alignment horizontal="right" vertical="center"/>
    </xf>
    <xf numFmtId="43" fontId="78" fillId="0" borderId="6" xfId="112" applyFont="1" applyFill="1" applyBorder="1" applyAlignment="1">
      <alignment horizontal="left" vertical="center"/>
    </xf>
    <xf numFmtId="43" fontId="78" fillId="0" borderId="6" xfId="70" applyFont="1" applyFill="1" applyBorder="1" applyAlignment="1">
      <alignment horizontal="left" vertical="center"/>
    </xf>
    <xf numFmtId="43" fontId="78" fillId="0" borderId="15" xfId="70" applyFont="1" applyFill="1" applyBorder="1" applyAlignment="1">
      <alignment horizontal="left" vertical="center"/>
    </xf>
    <xf numFmtId="0" fontId="33" fillId="12" borderId="6" xfId="135" applyFont="1" applyFill="1" applyBorder="1" applyAlignment="1">
      <alignment horizontal="center" vertical="center"/>
    </xf>
    <xf numFmtId="0" fontId="33" fillId="0" borderId="6" xfId="135" applyFont="1" applyBorder="1" applyAlignment="1">
      <alignment horizontal="center" vertical="center"/>
    </xf>
    <xf numFmtId="188" fontId="38" fillId="6" borderId="20" xfId="60" applyNumberFormat="1" applyFont="1" applyFill="1" applyBorder="1" applyAlignment="1">
      <alignment horizontal="center" vertical="center"/>
    </xf>
    <xf numFmtId="188" fontId="36" fillId="6" borderId="0" xfId="60" quotePrefix="1" applyNumberFormat="1" applyFont="1" applyFill="1" applyBorder="1" applyAlignment="1">
      <alignment horizontal="left" vertical="center"/>
    </xf>
    <xf numFmtId="43" fontId="33" fillId="0" borderId="16" xfId="123" applyFont="1" applyFill="1" applyBorder="1" applyAlignment="1">
      <alignment horizontal="left" vertical="center"/>
    </xf>
    <xf numFmtId="43" fontId="34" fillId="0" borderId="49" xfId="70" applyFont="1" applyFill="1" applyBorder="1" applyAlignment="1">
      <alignment horizontal="center" vertical="center"/>
    </xf>
    <xf numFmtId="188" fontId="33" fillId="6" borderId="18" xfId="60" applyNumberFormat="1" applyFont="1" applyFill="1" applyBorder="1" applyAlignment="1">
      <alignment horizontal="right" vertical="center"/>
    </xf>
    <xf numFmtId="188" fontId="33" fillId="6" borderId="19" xfId="60" applyNumberFormat="1" applyFont="1" applyFill="1" applyBorder="1" applyAlignment="1">
      <alignment horizontal="right" vertical="center"/>
    </xf>
    <xf numFmtId="188" fontId="33" fillId="6" borderId="20" xfId="60" applyNumberFormat="1" applyFont="1" applyFill="1" applyBorder="1" applyAlignment="1">
      <alignment horizontal="right" vertical="center"/>
    </xf>
    <xf numFmtId="188" fontId="33" fillId="6" borderId="21" xfId="60" applyNumberFormat="1" applyFont="1" applyFill="1" applyBorder="1" applyAlignment="1">
      <alignment horizontal="right" vertical="center"/>
    </xf>
    <xf numFmtId="188" fontId="33" fillId="6" borderId="9" xfId="60" applyNumberFormat="1" applyFont="1" applyFill="1" applyBorder="1" applyAlignment="1">
      <alignment horizontal="center" vertical="center"/>
    </xf>
    <xf numFmtId="188" fontId="33" fillId="6" borderId="23" xfId="60" applyNumberFormat="1" applyFont="1" applyFill="1" applyBorder="1" applyAlignment="1">
      <alignment horizontal="center" vertical="center"/>
    </xf>
    <xf numFmtId="188" fontId="33" fillId="6" borderId="10" xfId="60" applyNumberFormat="1" applyFont="1" applyFill="1" applyBorder="1" applyAlignment="1">
      <alignment horizontal="center" vertical="center"/>
    </xf>
    <xf numFmtId="188" fontId="38" fillId="6" borderId="32" xfId="60" quotePrefix="1" applyNumberFormat="1" applyFont="1" applyFill="1" applyBorder="1" applyAlignment="1">
      <alignment horizontal="left" vertical="center"/>
    </xf>
    <xf numFmtId="188" fontId="34" fillId="0" borderId="36" xfId="60" applyNumberFormat="1" applyFont="1" applyBorder="1" applyAlignment="1">
      <alignment horizontal="left" vertical="center"/>
    </xf>
    <xf numFmtId="188" fontId="34" fillId="0" borderId="37" xfId="60" applyNumberFormat="1" applyFont="1" applyBorder="1" applyAlignment="1">
      <alignment horizontal="left" vertical="center"/>
    </xf>
    <xf numFmtId="188" fontId="34" fillId="0" borderId="15" xfId="60" applyNumberFormat="1" applyFont="1" applyBorder="1" applyAlignment="1">
      <alignment horizontal="left" vertical="center"/>
    </xf>
    <xf numFmtId="188" fontId="34" fillId="0" borderId="16" xfId="60" applyNumberFormat="1" applyFont="1" applyBorder="1" applyAlignment="1">
      <alignment horizontal="left" vertical="center"/>
    </xf>
    <xf numFmtId="188" fontId="34" fillId="0" borderId="15" xfId="60" applyNumberFormat="1" applyFont="1" applyBorder="1" applyAlignment="1">
      <alignment horizontal="center" vertical="center"/>
    </xf>
    <xf numFmtId="188" fontId="34" fillId="0" borderId="16" xfId="60" applyNumberFormat="1" applyFont="1" applyBorder="1" applyAlignment="1">
      <alignment horizontal="center" vertical="center"/>
    </xf>
    <xf numFmtId="188" fontId="34" fillId="0" borderId="49" xfId="60" applyNumberFormat="1" applyFont="1" applyBorder="1" applyAlignment="1">
      <alignment horizontal="center" vertical="center"/>
    </xf>
    <xf numFmtId="188" fontId="40" fillId="0" borderId="0" xfId="60" applyNumberFormat="1" applyFont="1" applyAlignment="1">
      <alignment horizontal="right" vertical="center"/>
    </xf>
    <xf numFmtId="188" fontId="40" fillId="0" borderId="0" xfId="60" applyNumberFormat="1" applyFont="1" applyAlignment="1">
      <alignment horizontal="center" vertical="center"/>
    </xf>
    <xf numFmtId="188" fontId="41" fillId="0" borderId="0" xfId="60" applyNumberFormat="1" applyFont="1" applyAlignment="1">
      <alignment horizontal="center" vertical="center"/>
    </xf>
    <xf numFmtId="188" fontId="33" fillId="15" borderId="9" xfId="60" applyNumberFormat="1" applyFont="1" applyFill="1" applyBorder="1" applyAlignment="1">
      <alignment horizontal="center" vertical="center"/>
    </xf>
    <xf numFmtId="0" fontId="33" fillId="15" borderId="10" xfId="0" applyFont="1" applyFill="1" applyBorder="1" applyAlignment="1">
      <alignment horizontal="center" vertical="center"/>
    </xf>
    <xf numFmtId="188" fontId="33" fillId="15" borderId="10" xfId="60" applyNumberFormat="1" applyFont="1" applyFill="1" applyBorder="1" applyAlignment="1">
      <alignment horizontal="center" vertical="center"/>
    </xf>
    <xf numFmtId="188" fontId="33" fillId="15" borderId="18" xfId="60" applyNumberFormat="1" applyFont="1" applyFill="1" applyBorder="1" applyAlignment="1">
      <alignment horizontal="center" vertical="center"/>
    </xf>
    <xf numFmtId="188" fontId="33" fillId="15" borderId="19" xfId="60" applyNumberFormat="1" applyFont="1" applyFill="1" applyBorder="1" applyAlignment="1">
      <alignment horizontal="center" vertical="center"/>
    </xf>
    <xf numFmtId="188" fontId="33" fillId="15" borderId="20" xfId="60" applyNumberFormat="1" applyFont="1" applyFill="1" applyBorder="1" applyAlignment="1">
      <alignment horizontal="center" vertical="center"/>
    </xf>
    <xf numFmtId="188" fontId="33" fillId="15" borderId="21" xfId="6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188" fontId="34" fillId="0" borderId="0" xfId="60" applyNumberFormat="1" applyFont="1" applyAlignment="1">
      <alignment horizontal="center"/>
    </xf>
    <xf numFmtId="188" fontId="41" fillId="6" borderId="0" xfId="60" applyNumberFormat="1" applyFont="1" applyFill="1" applyAlignment="1">
      <alignment horizontal="center"/>
    </xf>
    <xf numFmtId="188" fontId="42" fillId="13" borderId="9" xfId="60" applyNumberFormat="1" applyFont="1" applyFill="1" applyBorder="1" applyAlignment="1">
      <alignment horizontal="center" vertical="center"/>
    </xf>
    <xf numFmtId="188" fontId="42" fillId="13" borderId="10" xfId="60" applyNumberFormat="1" applyFont="1" applyFill="1" applyBorder="1" applyAlignment="1">
      <alignment horizontal="center" vertical="center"/>
    </xf>
    <xf numFmtId="188" fontId="33" fillId="0" borderId="30" xfId="60" applyNumberFormat="1" applyFont="1" applyBorder="1" applyAlignment="1">
      <alignment horizontal="right"/>
    </xf>
    <xf numFmtId="188" fontId="33" fillId="0" borderId="19" xfId="60" applyNumberFormat="1" applyFont="1" applyBorder="1" applyAlignment="1">
      <alignment horizontal="right"/>
    </xf>
    <xf numFmtId="188" fontId="33" fillId="0" borderId="0" xfId="60" applyNumberFormat="1" applyFont="1" applyAlignment="1">
      <alignment horizontal="left" vertical="center"/>
    </xf>
    <xf numFmtId="0" fontId="42" fillId="13" borderId="10" xfId="0" applyFont="1" applyFill="1" applyBorder="1" applyAlignment="1">
      <alignment vertical="center"/>
    </xf>
    <xf numFmtId="188" fontId="38" fillId="0" borderId="0" xfId="60" applyNumberFormat="1" applyFont="1" applyAlignment="1">
      <alignment horizontal="left" vertical="center"/>
    </xf>
    <xf numFmtId="188" fontId="34" fillId="6" borderId="24" xfId="60" applyNumberFormat="1" applyFont="1" applyFill="1" applyBorder="1" applyAlignment="1">
      <alignment horizontal="right"/>
    </xf>
    <xf numFmtId="188" fontId="33" fillId="8" borderId="9" xfId="60" applyNumberFormat="1" applyFont="1" applyFill="1" applyBorder="1" applyAlignment="1">
      <alignment horizontal="center" vertical="center"/>
    </xf>
    <xf numFmtId="188" fontId="33" fillId="8" borderId="10" xfId="60" applyNumberFormat="1" applyFont="1" applyFill="1" applyBorder="1" applyAlignment="1">
      <alignment horizontal="center" vertical="center"/>
    </xf>
    <xf numFmtId="0" fontId="33" fillId="8" borderId="10" xfId="0" applyFont="1" applyFill="1" applyBorder="1" applyAlignment="1">
      <alignment vertical="center"/>
    </xf>
    <xf numFmtId="188" fontId="33" fillId="0" borderId="0" xfId="60" applyNumberFormat="1" applyFont="1" applyBorder="1" applyAlignment="1">
      <alignment horizontal="center"/>
    </xf>
    <xf numFmtId="188" fontId="33" fillId="0" borderId="26" xfId="60" applyNumberFormat="1" applyFont="1" applyBorder="1" applyAlignment="1">
      <alignment horizontal="center"/>
    </xf>
    <xf numFmtId="188" fontId="34" fillId="6" borderId="8" xfId="60" applyNumberFormat="1" applyFont="1" applyFill="1" applyBorder="1" applyAlignment="1">
      <alignment horizontal="left"/>
    </xf>
    <xf numFmtId="188" fontId="34" fillId="6" borderId="11" xfId="60" applyNumberFormat="1" applyFont="1" applyFill="1" applyBorder="1" applyAlignment="1">
      <alignment horizontal="left"/>
    </xf>
    <xf numFmtId="43" fontId="39" fillId="0" borderId="0" xfId="70" applyFont="1" applyAlignment="1">
      <alignment vertical="center"/>
    </xf>
    <xf numFmtId="43" fontId="44" fillId="0" borderId="0" xfId="70" applyFont="1" applyAlignment="1">
      <alignment horizontal="center" vertical="center"/>
    </xf>
    <xf numFmtId="43" fontId="33" fillId="9" borderId="7" xfId="70" applyFont="1" applyFill="1" applyBorder="1" applyAlignment="1">
      <alignment horizontal="center" vertical="center"/>
    </xf>
    <xf numFmtId="43" fontId="33" fillId="9" borderId="35" xfId="70" applyFont="1" applyFill="1" applyBorder="1" applyAlignment="1">
      <alignment vertical="center"/>
    </xf>
    <xf numFmtId="43" fontId="33" fillId="9" borderId="35" xfId="7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left"/>
    </xf>
    <xf numFmtId="0" fontId="46" fillId="0" borderId="40" xfId="0" applyFont="1" applyBorder="1" applyAlignment="1">
      <alignment horizontal="left"/>
    </xf>
    <xf numFmtId="43" fontId="31" fillId="9" borderId="38" xfId="62" applyFont="1" applyFill="1" applyBorder="1" applyAlignment="1">
      <alignment horizontal="center"/>
    </xf>
    <xf numFmtId="43" fontId="31" fillId="9" borderId="0" xfId="62" applyFont="1" applyFill="1" applyBorder="1" applyAlignment="1">
      <alignment horizontal="center"/>
    </xf>
    <xf numFmtId="43" fontId="31" fillId="9" borderId="26" xfId="62" applyFont="1" applyFill="1" applyBorder="1" applyAlignment="1">
      <alignment horizontal="center"/>
    </xf>
    <xf numFmtId="17" fontId="50" fillId="0" borderId="44" xfId="61" quotePrefix="1" applyNumberFormat="1" applyFont="1" applyBorder="1" applyAlignment="1">
      <alignment horizontal="center"/>
    </xf>
    <xf numFmtId="0" fontId="32" fillId="20" borderId="41" xfId="61" applyFont="1" applyFill="1" applyBorder="1" applyAlignment="1">
      <alignment horizontal="center"/>
    </xf>
    <xf numFmtId="0" fontId="32" fillId="20" borderId="2" xfId="61" applyFont="1" applyFill="1" applyBorder="1" applyAlignment="1">
      <alignment horizontal="center"/>
    </xf>
    <xf numFmtId="43" fontId="32" fillId="20" borderId="41" xfId="62" applyFont="1" applyFill="1" applyBorder="1" applyAlignment="1">
      <alignment horizontal="center"/>
    </xf>
    <xf numFmtId="43" fontId="32" fillId="20" borderId="2" xfId="62" applyFont="1" applyFill="1" applyBorder="1" applyAlignment="1">
      <alignment horizontal="center"/>
    </xf>
    <xf numFmtId="43" fontId="32" fillId="20" borderId="42" xfId="62" applyFont="1" applyFill="1" applyBorder="1" applyAlignment="1">
      <alignment horizontal="center"/>
    </xf>
    <xf numFmtId="43" fontId="53" fillId="9" borderId="38" xfId="62" applyFont="1" applyFill="1" applyBorder="1" applyAlignment="1">
      <alignment horizontal="left" vertical="top"/>
    </xf>
    <xf numFmtId="43" fontId="53" fillId="9" borderId="0" xfId="62" applyFont="1" applyFill="1" applyAlignment="1">
      <alignment horizontal="left" vertical="top"/>
    </xf>
    <xf numFmtId="43" fontId="31" fillId="9" borderId="0" xfId="62" applyFont="1" applyFill="1" applyAlignment="1">
      <alignment vertical="center"/>
    </xf>
  </cellXfs>
  <cellStyles count="141">
    <cellStyle name=",;F'KOIT[[WAAHK" xfId="1"/>
    <cellStyle name="?? [0.00]_????" xfId="2"/>
    <cellStyle name="?? [0]_PERSONAL" xfId="3"/>
    <cellStyle name="???? [0.00]_????" xfId="4"/>
    <cellStyle name="??????[0]_PERSONAL" xfId="5"/>
    <cellStyle name="??????PERSONAL" xfId="6"/>
    <cellStyle name="?????[0]_PERSONAL" xfId="7"/>
    <cellStyle name="?????PERSONAL" xfId="8"/>
    <cellStyle name="????_????" xfId="9"/>
    <cellStyle name="???[0]_PERSONAL" xfId="10"/>
    <cellStyle name="???_PERSONAL" xfId="11"/>
    <cellStyle name="??_??" xfId="12"/>
    <cellStyle name="?@??laroux" xfId="13"/>
    <cellStyle name="=C:\WINDOWS\SYSTEM32\COMMAND.COM" xfId="14"/>
    <cellStyle name="0,0_x000d__x000a_NA_x000d__x000a_ 2 2" xfId="122"/>
    <cellStyle name="a" xfId="64"/>
    <cellStyle name="abc" xfId="15"/>
    <cellStyle name="Calc Currency (0)" xfId="16"/>
    <cellStyle name="Calc Currency (2)" xfId="17"/>
    <cellStyle name="Calc Percent (0)" xfId="18"/>
    <cellStyle name="Calc Percent (1)" xfId="19"/>
    <cellStyle name="Calc Percent (2)" xfId="20"/>
    <cellStyle name="Calc Units (0)" xfId="21"/>
    <cellStyle name="Calc Units (1)" xfId="22"/>
    <cellStyle name="Calc Units (2)" xfId="23"/>
    <cellStyle name="Comma" xfId="70" builtinId="3"/>
    <cellStyle name="Comma [00]" xfId="24"/>
    <cellStyle name="Comma 10" xfId="84"/>
    <cellStyle name="Comma 10 2" xfId="97"/>
    <cellStyle name="Comma 10 2 2" xfId="86"/>
    <cellStyle name="Comma 10 2 2 2" xfId="134"/>
    <cellStyle name="Comma 10 2 3" xfId="125"/>
    <cellStyle name="Comma 2" xfId="65"/>
    <cellStyle name="Comma 2 2" xfId="76"/>
    <cellStyle name="Comma 2 2 2" xfId="123"/>
    <cellStyle name="Comma 2 2 3" xfId="91"/>
    <cellStyle name="Comma 2 3" xfId="106"/>
    <cellStyle name="Comma 2 4" xfId="90"/>
    <cellStyle name="Comma 2 4 2" xfId="108"/>
    <cellStyle name="Comma 2 9" xfId="115"/>
    <cellStyle name="Comma 21" xfId="92"/>
    <cellStyle name="Comma 21 2" xfId="117"/>
    <cellStyle name="Comma 3" xfId="127"/>
    <cellStyle name="Comma 3 2 2" xfId="109"/>
    <cellStyle name="Comma 3 2 3" xfId="120"/>
    <cellStyle name="Comma 3 3 2" xfId="113"/>
    <cellStyle name="Comma 3 4" xfId="112"/>
    <cellStyle name="Comma 3 5" xfId="93"/>
    <cellStyle name="Comma 4" xfId="94"/>
    <cellStyle name="Comma 4 2" xfId="132"/>
    <cellStyle name="Comma 5 2" xfId="83"/>
    <cellStyle name="Comma 6" xfId="111"/>
    <cellStyle name="Comma 88" xfId="98"/>
    <cellStyle name="Comma 88 2" xfId="126"/>
    <cellStyle name="company_title" xfId="25"/>
    <cellStyle name="Currency [00]" xfId="26"/>
    <cellStyle name="Date Short" xfId="27"/>
    <cellStyle name="date_format" xfId="28"/>
    <cellStyle name="Enter Currency (0)" xfId="29"/>
    <cellStyle name="Enter Currency (2)" xfId="30"/>
    <cellStyle name="Enter Units (0)" xfId="31"/>
    <cellStyle name="Enter Units (1)" xfId="32"/>
    <cellStyle name="Enter Units (2)" xfId="33"/>
    <cellStyle name="Grey" xfId="34"/>
    <cellStyle name="Header1" xfId="35"/>
    <cellStyle name="Header2" xfId="36"/>
    <cellStyle name="Input [yellow]" xfId="37"/>
    <cellStyle name="Link Currency (0)" xfId="38"/>
    <cellStyle name="Link Currency (2)" xfId="39"/>
    <cellStyle name="Link Units (0)" xfId="40"/>
    <cellStyle name="Link Units (1)" xfId="41"/>
    <cellStyle name="Link Units (2)" xfId="42"/>
    <cellStyle name="no dec" xfId="66"/>
    <cellStyle name="Normal" xfId="0" builtinId="0"/>
    <cellStyle name="Normal - Style1" xfId="43"/>
    <cellStyle name="Normal 15" xfId="107"/>
    <cellStyle name="Normal 15 2" xfId="110"/>
    <cellStyle name="Normal 2" xfId="75"/>
    <cellStyle name="Normal 2 2" xfId="124"/>
    <cellStyle name="Normal 2 3" xfId="89"/>
    <cellStyle name="Normal 2 4" xfId="77"/>
    <cellStyle name="Normal 2 4 2" xfId="118"/>
    <cellStyle name="Normal 3" xfId="79"/>
    <cellStyle name="Normal 3 2" xfId="131"/>
    <cellStyle name="Normal 3 2 2" xfId="121"/>
    <cellStyle name="Normal 4" xfId="87"/>
    <cellStyle name="Normal 5 2" xfId="85"/>
    <cellStyle name="Normal 5 2 2" xfId="95"/>
    <cellStyle name="Normal 8" xfId="88"/>
    <cellStyle name="Normal 85" xfId="119"/>
    <cellStyle name="Normal 88" xfId="116"/>
    <cellStyle name="Normal 88 2" xfId="139"/>
    <cellStyle name="Normal_KS_01_BOQ" xfId="138"/>
    <cellStyle name="ParaBirimi [0]_RESULTS" xfId="44"/>
    <cellStyle name="ParaBirimi_RESULTS" xfId="45"/>
    <cellStyle name="Percent [0]" xfId="46"/>
    <cellStyle name="Percent [00]" xfId="47"/>
    <cellStyle name="Percent [2]" xfId="48"/>
    <cellStyle name="PrePop Currency (0)" xfId="49"/>
    <cellStyle name="PrePop Currency (2)" xfId="50"/>
    <cellStyle name="PrePop Units (0)" xfId="51"/>
    <cellStyle name="PrePop Units (1)" xfId="52"/>
    <cellStyle name="PrePop Units (2)" xfId="53"/>
    <cellStyle name="report_title" xfId="54"/>
    <cellStyle name="Text Indent A" xfId="55"/>
    <cellStyle name="Text Indent B" xfId="56"/>
    <cellStyle name="Text Indent C" xfId="57"/>
    <cellStyle name="Virg? [0]_RESULTS" xfId="58"/>
    <cellStyle name="Virg?_RESULTS" xfId="59"/>
    <cellStyle name="เครื่องหมายจุลภาค 10" xfId="78"/>
    <cellStyle name="เครื่องหมายจุลภาค 14" xfId="114"/>
    <cellStyle name="เครื่องหมายจุลภาค 2" xfId="67"/>
    <cellStyle name="เครื่องหมายจุลภาค 2 2" xfId="62"/>
    <cellStyle name="เครื่องหมายจุลภาค 2 2 2" xfId="104"/>
    <cellStyle name="เครื่องหมายจุลภาค 2 3" xfId="96"/>
    <cellStyle name="เครื่องหมายจุลภาค 2 3 2" xfId="133"/>
    <cellStyle name="เครื่องหมายจุลภาค 3" xfId="63"/>
    <cellStyle name="เครื่องหมายจุลภาค 3 2" xfId="105"/>
    <cellStyle name="เครื่องหมายจุลภาค 4" xfId="72"/>
    <cellStyle name="เครื่องหมายจุลภาค 5" xfId="130"/>
    <cellStyle name="เครื่องหมายจุลภาค 7" xfId="99"/>
    <cellStyle name="เครื่องหมายจุลภาค 9" xfId="82"/>
    <cellStyle name="เครื่องหมายจุลภาค_5008 อาคารสำนักงานคณะกรรมการเลือกตั้งจ.ภูเก็ต" xfId="68"/>
    <cellStyle name="เครื่องหมายสกุลเงิน [0]_PERSONAL" xfId="60"/>
    <cellStyle name="จุลภาค 2" xfId="129"/>
    <cellStyle name="จุลภาค 3" xfId="136"/>
    <cellStyle name="จุลภาค 4" xfId="101"/>
    <cellStyle name="ปกติ 2" xfId="69"/>
    <cellStyle name="ปกติ 2 2" xfId="61"/>
    <cellStyle name="ปกติ 2 2 2" xfId="102"/>
    <cellStyle name="ปกติ 2 3" xfId="73"/>
    <cellStyle name="ปกติ 2 4" xfId="128"/>
    <cellStyle name="ปกติ 2 5" xfId="140"/>
    <cellStyle name="ปกติ 3" xfId="74"/>
    <cellStyle name="ปกติ 3 2" xfId="103"/>
    <cellStyle name="ปกติ 4" xfId="81"/>
    <cellStyle name="ปกติ 4 2" xfId="135"/>
    <cellStyle name="ปกติ 5" xfId="71"/>
    <cellStyle name="ปกติ 5 2" xfId="137"/>
    <cellStyle name="ปกติ 6" xfId="100"/>
    <cellStyle name="ปกติ 7" xfId="8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333399"/>
      <color rgb="FF0000CC"/>
      <color rgb="FFFFCC00"/>
      <color rgb="FFFFEEA7"/>
      <color rgb="FFFFEBFF"/>
      <color rgb="FFEAF0F6"/>
      <color rgb="FFCCFFCC"/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muti365-my.sharepoint.com/personal/sayun_kh_rmuti_ac_th/Documents/&#3648;&#3629;&#3585;&#3626;&#3634;&#3619;%20&#3617;&#3607;&#3619;%20(&#3607;&#3635;&#3649;&#3610;&#3610;)/&#3591;&#3634;&#3609;%20(RMUTI)/&#3624;&#3641;&#3609;&#3618;&#3660;%20&#3627;&#3609;&#3629;&#3591;&#3619;&#3632;&#3648;&#3623;&#3637;&#3618;&#3591;/&#3627;&#3621;&#3633;&#3591;&#3588;&#3634;&#3588;&#3621;&#3640;&#3617;&#3627;&#3617;&#3657;&#3629;&#3649;&#3611;&#3621;&#3591;%20&#3609;&#3623;&#3633;&#3605;&#3585;&#3619;&#3619;&#3617;&#3585;&#3634;&#3619;&#3648;&#3585;&#3625;&#3605;&#3619;/3%20&#3611;&#3619;&#3636;&#3617;&#3634;&#3603;&#3649;&#3621;&#3632;&#3619;&#3634;&#3588;&#3634;0/BOQ_&#3627;&#3621;&#3633;&#3591;&#3588;&#3634;&#3627;&#3617;&#3657;&#3629;&#3649;&#3611;&#3621;&#3591;&#3609;&#3623;&#3633;&#3605;&#3585;&#3619;&#3619;&#3617;%20&#3649;&#3585;&#3657;&#3652;&#3586;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&#3591;&#3634;&#3609;%20&#3617;&#3607;&#3619;.&#3629;&#3637;&#3626;&#3634;&#3609;%20V.2\32%20&#3629;&#3634;&#3588;&#3634;&#3619;%20EV%2014%20&#3621;&#3610;\&#3649;&#3610;&#3610;%20Final%20EV\BOQ_EV14%20%20(16.04.69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/Downloads/1.BOQ_EV14%20%20(10.04.6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ผ่อง"/>
      <sheetName val="รายละเอียดค่าใช้จ่ายพิเศษ"/>
      <sheetName val="ปร.4"/>
      <sheetName val="ปร.5(ก)"/>
      <sheetName val="ปร.6"/>
      <sheetName val="ชื่อโครงการ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แบบเลขที่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ผ่อง"/>
      <sheetName val="ปร.6"/>
      <sheetName val="ปร.5(ก)"/>
      <sheetName val="ปร.5(ข)"/>
      <sheetName val="ปร.4(ข)"/>
      <sheetName val="รายละเอียดค่าใช้จ่ายพิเศษ"/>
      <sheetName val="ปร.1"/>
      <sheetName val="ปร.2"/>
      <sheetName val="ปร.3"/>
      <sheetName val="ปร.4 (พ)"/>
      <sheetName val="ชื่อโครงการ"/>
      <sheetName val="Factor F"/>
      <sheetName val="Back up ราค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ชื่อโครงการ : โครงการปรับปรุงศูนย์เทคโนโลยีเพื่อการเรียนรู้และพัฒนาทักษะด้านยานยนต์พลังงานใหม่ครบวงจร</v>
          </cell>
        </row>
        <row r="4">
          <cell r="A4" t="str">
            <v>กลุ่มงาน : งานก่อสร้าง</v>
          </cell>
        </row>
        <row r="11">
          <cell r="B11" t="str">
            <v>สถานที่ก่อสร้าง : 744 ถนนสุรนารายณ์ ตำบลในเมือง อำเภอเมืองนครราชสีมา จังหวัดนครราชสีมา</v>
          </cell>
        </row>
        <row r="13">
          <cell r="C13" t="str">
            <v>หน่วยงานเจ้าของโครงการ : กองนโยบายและแผน มหาวิทยาลัยเทคโนโลยีราชมงคลอีสาน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"/>
      <sheetName val="ผ่อง"/>
      <sheetName val="ปร.6"/>
      <sheetName val="ปร.5(ก)"/>
      <sheetName val="ปร.5(ข)"/>
      <sheetName val="ปร.4(ก)"/>
      <sheetName val="รายละเอียดค่าใช้จ่ายพิเศษ"/>
      <sheetName val="ปร.1"/>
      <sheetName val="ปร.2"/>
      <sheetName val="ปร.3"/>
      <sheetName val="ปร.4 (พ)"/>
      <sheetName val="ชื่อโครงการ"/>
      <sheetName val="Factor F"/>
      <sheetName val="Back up ราค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ชื่อโครงการ : โครงการปรับปรุงศูนย์เทคโนโลยีเพื่อการเรียนรู้และพัฒนาทักษะด้านยานยนต์พลังงานใหม่ครบวงจร</v>
          </cell>
        </row>
        <row r="4">
          <cell r="A4" t="str">
            <v>กลุ่มงาน : งานก่อสร้าง</v>
          </cell>
        </row>
        <row r="11">
          <cell r="B11" t="str">
            <v>สถานที่ก่อสร้าง : 744 ถนนสุรนารายณ์ ตำบลในเมือง อำเภอเมืองนครราชสีมา จังหวัดนครราชสีมา</v>
          </cell>
        </row>
        <row r="13">
          <cell r="C13" t="str">
            <v>หน่วยงานเจ้าของโครงการ : กองนโยบายและแผน มหาวิทยาลัยเทคโนโลยีราชมงคลอีสาน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32" zoomScaleSheetLayoutView="4" workbookViewId="0"/>
  </sheetViews>
  <sheetFormatPr defaultRowHeight="21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J98"/>
  <sheetViews>
    <sheetView showGridLines="0" tabSelected="1" view="pageBreakPreview" zoomScaleNormal="100" zoomScaleSheetLayoutView="100" workbookViewId="0">
      <selection activeCell="L13" sqref="L13"/>
    </sheetView>
  </sheetViews>
  <sheetFormatPr defaultColWidth="7.5" defaultRowHeight="24" zeroHeight="1"/>
  <cols>
    <col min="1" max="1" width="9.1640625" style="5" customWidth="1"/>
    <col min="2" max="2" width="11.6640625" style="5" customWidth="1"/>
    <col min="3" max="3" width="49.1640625" style="5" customWidth="1"/>
    <col min="4" max="4" width="24" style="5" customWidth="1"/>
    <col min="5" max="5" width="14.6640625" style="5" customWidth="1"/>
    <col min="6" max="9" width="7.5" style="5"/>
    <col min="10" max="10" width="19.6640625" style="5" customWidth="1"/>
    <col min="11" max="16384" width="7.5" style="5"/>
  </cols>
  <sheetData>
    <row r="1" spans="1:6" ht="21" customHeight="1">
      <c r="A1" s="3"/>
      <c r="B1" s="3"/>
      <c r="C1" s="4" t="s">
        <v>14</v>
      </c>
      <c r="D1" s="408" t="s">
        <v>81</v>
      </c>
      <c r="E1" s="409"/>
      <c r="F1" s="29"/>
    </row>
    <row r="2" spans="1:6" ht="21" customHeight="1">
      <c r="A2" s="410" t="s">
        <v>29</v>
      </c>
      <c r="B2" s="410"/>
      <c r="C2" s="410"/>
      <c r="D2" s="410"/>
      <c r="E2" s="410"/>
    </row>
    <row r="3" spans="1:6" ht="21" customHeight="1">
      <c r="A3" s="6"/>
      <c r="B3" s="6"/>
      <c r="C3" s="6"/>
      <c r="D3" s="6"/>
      <c r="E3" s="6"/>
    </row>
    <row r="4" spans="1:6" ht="21" customHeight="1">
      <c r="A4" s="7" t="str">
        <f>ชื่อโครงการ!A2</f>
        <v>ชื่อโครงการ : โครงการปรับปรุงศูนย์เทคโนโลยีเพื่อการเรียนรู้และพัฒนาทักษะด้านยานยนต์พลังงานใหม่ครบวงจร</v>
      </c>
      <c r="B4" s="113"/>
      <c r="C4" s="8"/>
      <c r="D4" s="8"/>
      <c r="E4" s="8"/>
    </row>
    <row r="5" spans="1:6" ht="21" customHeight="1">
      <c r="A5" s="98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5" s="98"/>
      <c r="C5" s="9"/>
      <c r="D5" s="9"/>
      <c r="E5" s="9"/>
    </row>
    <row r="6" spans="1:6" ht="21" customHeight="1">
      <c r="A6" s="9" t="s">
        <v>22</v>
      </c>
      <c r="B6" s="9"/>
      <c r="C6" s="9"/>
      <c r="D6" s="9"/>
      <c r="E6" s="9"/>
    </row>
    <row r="7" spans="1:6" ht="21" customHeight="1">
      <c r="A7" s="9" t="str">
        <f>ชื่อโครงการ!C13</f>
        <v>หน่วยงานเจ้าของโครงการ : กองนโยบายและแผน มหาวิทยาลัยเทคโนโลยีราชมงคลอีสาน</v>
      </c>
      <c r="B7" s="9"/>
      <c r="C7" s="9"/>
      <c r="D7" s="9"/>
      <c r="E7" s="9"/>
    </row>
    <row r="8" spans="1:6" ht="21" customHeight="1">
      <c r="A8" s="9" t="s">
        <v>37</v>
      </c>
      <c r="B8" s="9"/>
      <c r="C8" s="9"/>
      <c r="D8" s="9"/>
      <c r="E8" s="9"/>
    </row>
    <row r="9" spans="1:6" ht="21" customHeight="1">
      <c r="A9" s="10" t="str">
        <f>ชื่อโครงการ!A9</f>
        <v>คำนวณราคากลาง : โดยคณะกรรมการกำหนดราคากลาง  เมื่อวันที่  16  เดือน  เมษายน  พ.ศ. 2569</v>
      </c>
      <c r="B9" s="10"/>
      <c r="C9" s="11"/>
      <c r="D9" s="11"/>
      <c r="E9" s="11"/>
    </row>
    <row r="10" spans="1:6" ht="21" customHeight="1" thickBot="1">
      <c r="A10" s="12"/>
      <c r="B10" s="12"/>
      <c r="C10" s="12"/>
      <c r="D10" s="12"/>
      <c r="E10" s="13" t="s">
        <v>21</v>
      </c>
    </row>
    <row r="11" spans="1:6" ht="21" customHeight="1" thickTop="1">
      <c r="A11" s="411" t="s">
        <v>15</v>
      </c>
      <c r="B11" s="414" t="s">
        <v>16</v>
      </c>
      <c r="C11" s="415"/>
      <c r="D11" s="411" t="s">
        <v>3</v>
      </c>
      <c r="E11" s="411" t="s">
        <v>8</v>
      </c>
    </row>
    <row r="12" spans="1:6" ht="21" customHeight="1" thickBot="1">
      <c r="A12" s="412"/>
      <c r="B12" s="416"/>
      <c r="C12" s="417"/>
      <c r="D12" s="413"/>
      <c r="E12" s="412"/>
    </row>
    <row r="13" spans="1:6" ht="21" customHeight="1" thickTop="1">
      <c r="A13" s="14">
        <v>1</v>
      </c>
      <c r="B13" s="401" t="str">
        <f>'ปร.5(ก)'!B13</f>
        <v>หมวดงานก่อสร้าง</v>
      </c>
      <c r="C13" s="402"/>
      <c r="D13" s="257">
        <f>'ปร.5(ก)'!E19</f>
        <v>0</v>
      </c>
      <c r="E13" s="14"/>
    </row>
    <row r="14" spans="1:6" ht="21" customHeight="1">
      <c r="A14" s="14">
        <v>2</v>
      </c>
      <c r="B14" s="403" t="str">
        <f>'ปร.5(ข)'!B13</f>
        <v>กลุ่มงานที่ 2 /งาน..ครุภัณฑ์จัดซื้อจัดจ้าง</v>
      </c>
      <c r="C14" s="404"/>
      <c r="D14" s="257">
        <f>'ปร.5(ข)'!E21</f>
        <v>0</v>
      </c>
      <c r="E14" s="14"/>
    </row>
    <row r="15" spans="1:6" ht="21" customHeight="1">
      <c r="A15" s="14"/>
      <c r="B15" s="405"/>
      <c r="C15" s="406"/>
      <c r="D15" s="15"/>
      <c r="E15" s="14"/>
    </row>
    <row r="16" spans="1:6" ht="21" customHeight="1" thickBot="1">
      <c r="A16" s="14"/>
      <c r="B16" s="407"/>
      <c r="C16" s="406"/>
      <c r="D16" s="15"/>
      <c r="E16" s="14"/>
    </row>
    <row r="17" spans="1:10" ht="21" customHeight="1" thickTop="1">
      <c r="A17" s="397" t="s">
        <v>0</v>
      </c>
      <c r="B17" s="393" t="s">
        <v>36</v>
      </c>
      <c r="C17" s="394"/>
      <c r="D17" s="17">
        <f>SUM(D13:D16)</f>
        <v>0</v>
      </c>
      <c r="E17" s="18"/>
    </row>
    <row r="18" spans="1:10" ht="21" customHeight="1" thickBot="1">
      <c r="A18" s="398"/>
      <c r="B18" s="395" t="s">
        <v>52</v>
      </c>
      <c r="C18" s="396"/>
      <c r="D18" s="19">
        <f>D17</f>
        <v>0</v>
      </c>
      <c r="E18" s="67"/>
    </row>
    <row r="19" spans="1:10" ht="21" customHeight="1" thickTop="1" thickBot="1">
      <c r="A19" s="399"/>
      <c r="B19" s="389" t="s">
        <v>53</v>
      </c>
      <c r="C19" s="400" t="str">
        <f>BAHTTEXT(D17)</f>
        <v>ศูนย์บาทถ้วน</v>
      </c>
      <c r="D19" s="400"/>
      <c r="E19" s="20"/>
    </row>
    <row r="20" spans="1:10" ht="21" customHeight="1" thickTop="1">
      <c r="A20" s="21"/>
      <c r="B20" s="21"/>
      <c r="C20" s="22"/>
      <c r="D20" s="23"/>
      <c r="E20" s="23"/>
      <c r="J20" s="68"/>
    </row>
    <row r="21" spans="1:10" ht="21" customHeight="1">
      <c r="A21" s="96" t="s">
        <v>46</v>
      </c>
      <c r="B21" s="96"/>
      <c r="C21" s="96"/>
      <c r="D21" s="3"/>
      <c r="E21" s="3"/>
      <c r="F21" s="23"/>
    </row>
    <row r="22" spans="1:10" ht="21" customHeight="1">
      <c r="A22" s="24"/>
      <c r="B22" s="24"/>
      <c r="C22" s="25"/>
      <c r="E22" s="26"/>
      <c r="F22" s="23"/>
    </row>
    <row r="23" spans="1:10" ht="21" customHeight="1">
      <c r="A23" s="25"/>
      <c r="B23" s="25"/>
      <c r="C23" s="390"/>
      <c r="D23" s="26"/>
      <c r="E23" s="25"/>
      <c r="F23" s="23"/>
    </row>
    <row r="24" spans="1:10" ht="21" customHeight="1">
      <c r="A24" s="25"/>
      <c r="B24" s="25"/>
      <c r="C24" s="390"/>
      <c r="D24" s="25"/>
      <c r="E24" s="25"/>
      <c r="F24" s="26"/>
      <c r="G24" s="26"/>
    </row>
    <row r="25" spans="1:10" ht="21" customHeight="1">
      <c r="A25" s="25"/>
      <c r="B25" s="25"/>
      <c r="C25" s="390"/>
      <c r="D25" s="26"/>
      <c r="E25" s="25"/>
      <c r="F25" s="26"/>
      <c r="G25" s="26"/>
    </row>
    <row r="26" spans="1:10" ht="21" customHeight="1">
      <c r="A26" s="27"/>
      <c r="B26" s="27"/>
      <c r="C26" s="27"/>
      <c r="E26" s="27"/>
      <c r="F26" s="26"/>
      <c r="G26" s="26"/>
    </row>
    <row r="27" spans="1:10" ht="21" customHeight="1">
      <c r="A27" s="29"/>
      <c r="B27" s="29"/>
      <c r="C27" s="29"/>
      <c r="E27" s="29"/>
      <c r="F27" s="28"/>
    </row>
    <row r="28" spans="1:10" ht="21" customHeight="1">
      <c r="A28" s="26"/>
      <c r="B28" s="26"/>
      <c r="C28" s="26"/>
      <c r="D28" s="26"/>
      <c r="E28" s="26"/>
      <c r="F28" s="23"/>
    </row>
    <row r="29" spans="1:10" ht="21" customHeight="1">
      <c r="A29" s="25"/>
      <c r="B29" s="25"/>
      <c r="C29" s="390"/>
      <c r="D29" s="25"/>
      <c r="E29" s="25"/>
      <c r="F29" s="26"/>
      <c r="G29" s="26"/>
    </row>
    <row r="30" spans="1:10" ht="21" customHeight="1">
      <c r="A30" s="26"/>
      <c r="B30" s="26"/>
      <c r="C30" s="26"/>
      <c r="D30" s="26"/>
      <c r="E30" s="26"/>
      <c r="F30" s="26"/>
      <c r="G30" s="26"/>
    </row>
    <row r="31" spans="1:10" ht="21" customHeight="1">
      <c r="A31" s="27"/>
      <c r="B31" s="27"/>
      <c r="C31" s="27"/>
      <c r="E31" s="27"/>
      <c r="F31" s="26"/>
      <c r="G31" s="26"/>
    </row>
    <row r="32" spans="1:10" ht="21" customHeight="1"/>
    <row r="33" spans="9:9" ht="21" customHeight="1"/>
    <row r="34" spans="9:9" ht="21" customHeight="1"/>
    <row r="35" spans="9:9" ht="21" customHeight="1"/>
    <row r="36" spans="9:9" ht="21" customHeight="1"/>
    <row r="37" spans="9:9" ht="21" customHeight="1"/>
    <row r="38" spans="9:9" ht="21" customHeight="1"/>
    <row r="39" spans="9:9" ht="21" customHeight="1"/>
    <row r="40" spans="9:9" ht="21" customHeight="1"/>
    <row r="41" spans="9:9" ht="21" customHeight="1"/>
    <row r="42" spans="9:9" ht="21" customHeight="1"/>
    <row r="43" spans="9:9" ht="21" customHeight="1">
      <c r="I43" s="5">
        <f>I17+I26+I30+I37+I42</f>
        <v>0</v>
      </c>
    </row>
    <row r="44" spans="9:9" ht="21" customHeight="1"/>
    <row r="45" spans="9:9" ht="21" customHeight="1"/>
    <row r="46" spans="9:9" ht="21" customHeight="1"/>
    <row r="47" spans="9:9" ht="21" customHeight="1"/>
    <row r="48" spans="9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 spans="2:5"/>
    <row r="82" spans="2:5"/>
    <row r="84" spans="2:5" hidden="1">
      <c r="B84" s="5" t="s">
        <v>140</v>
      </c>
      <c r="E84" s="5">
        <v>9500</v>
      </c>
    </row>
    <row r="92" spans="2:5" hidden="1">
      <c r="C92" s="5">
        <v>2</v>
      </c>
    </row>
    <row r="98" spans="3:3" hidden="1">
      <c r="C98" s="5">
        <v>4</v>
      </c>
    </row>
  </sheetData>
  <mergeCells count="14">
    <mergeCell ref="D1:E1"/>
    <mergeCell ref="A2:E2"/>
    <mergeCell ref="A11:A12"/>
    <mergeCell ref="E11:E12"/>
    <mergeCell ref="D11:D12"/>
    <mergeCell ref="B11:C12"/>
    <mergeCell ref="B17:C17"/>
    <mergeCell ref="B18:C18"/>
    <mergeCell ref="A17:A19"/>
    <mergeCell ref="C19:D19"/>
    <mergeCell ref="B13:C13"/>
    <mergeCell ref="B14:C14"/>
    <mergeCell ref="B15:C15"/>
    <mergeCell ref="B16:C16"/>
  </mergeCells>
  <phoneticPr fontId="0" type="noConversion"/>
  <printOptions horizontalCentered="1"/>
  <pageMargins left="0.47244094488188981" right="0.47244094488188981" top="0.43307086614173229" bottom="0.78740157480314965" header="0.27559055118110237" footer="0.2755905511811023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I98"/>
  <sheetViews>
    <sheetView showGridLines="0" view="pageBreakPreview" topLeftCell="A11" zoomScale="115" zoomScaleNormal="100" zoomScaleSheetLayoutView="115" workbookViewId="0">
      <selection activeCell="R17" sqref="R17"/>
    </sheetView>
  </sheetViews>
  <sheetFormatPr defaultColWidth="2.1640625" defaultRowHeight="24" zeroHeight="1"/>
  <cols>
    <col min="1" max="1" width="10.83203125" style="32" customWidth="1"/>
    <col min="2" max="2" width="40.83203125" style="32" customWidth="1"/>
    <col min="3" max="3" width="17.5" style="32" customWidth="1"/>
    <col min="4" max="4" width="11.5" style="32" customWidth="1"/>
    <col min="5" max="5" width="20.5" style="32" customWidth="1"/>
    <col min="6" max="6" width="10.1640625" style="32" customWidth="1"/>
    <col min="7" max="16384" width="2.1640625" style="32"/>
  </cols>
  <sheetData>
    <row r="1" spans="1:6" s="30" customFormat="1" ht="21" customHeight="1">
      <c r="E1" s="418" t="s">
        <v>82</v>
      </c>
      <c r="F1" s="418"/>
    </row>
    <row r="2" spans="1:6" ht="21" customHeight="1">
      <c r="A2" s="421" t="s">
        <v>34</v>
      </c>
      <c r="B2" s="421"/>
      <c r="C2" s="421"/>
      <c r="D2" s="421"/>
      <c r="E2" s="421"/>
      <c r="F2" s="421"/>
    </row>
    <row r="3" spans="1:6" ht="21" customHeight="1">
      <c r="A3" s="33" t="str">
        <f>ชื่อโครงการ!A4</f>
        <v>กลุ่มงาน : งานก่อสร้าง</v>
      </c>
      <c r="B3" s="33"/>
      <c r="C3" s="33"/>
      <c r="D3" s="33"/>
      <c r="E3" s="33"/>
      <c r="F3" s="33"/>
    </row>
    <row r="4" spans="1:6" ht="21" customHeight="1">
      <c r="A4" s="34" t="str">
        <f>ชื่อโครงการ!A2</f>
        <v>ชื่อโครงการ : โครงการปรับปรุงศูนย์เทคโนโลยีเพื่อการเรียนรู้และพัฒนาทักษะด้านยานยนต์พลังงานใหม่ครบวงจร</v>
      </c>
      <c r="B4" s="35"/>
      <c r="C4" s="35"/>
      <c r="D4" s="35"/>
      <c r="E4" s="35"/>
      <c r="F4" s="35"/>
    </row>
    <row r="5" spans="1:6" ht="21" customHeight="1">
      <c r="A5" s="34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5" s="35"/>
      <c r="C5" s="35"/>
      <c r="D5" s="35"/>
      <c r="E5" s="35"/>
      <c r="F5" s="35"/>
    </row>
    <row r="6" spans="1:6" ht="21" customHeight="1">
      <c r="A6" s="35" t="str">
        <f>[2]ชื่อโครงการ!B5</f>
        <v>แบบเลขที่</v>
      </c>
      <c r="B6" s="35"/>
      <c r="C6" s="35"/>
      <c r="D6" s="35"/>
      <c r="E6" s="35"/>
      <c r="F6" s="35"/>
    </row>
    <row r="7" spans="1:6" ht="21" customHeight="1">
      <c r="A7" s="34" t="str">
        <f>ชื่อโครงการ!C13</f>
        <v>หน่วยงานเจ้าของโครงการ : กองนโยบายและแผน มหาวิทยาลัยเทคโนโลยีราชมงคลอีสาน</v>
      </c>
      <c r="B7" s="35"/>
      <c r="C7" s="35"/>
      <c r="D7" s="35"/>
      <c r="E7" s="35"/>
      <c r="F7" s="35"/>
    </row>
    <row r="8" spans="1:6" ht="21" customHeight="1">
      <c r="A8" s="34" t="s">
        <v>51</v>
      </c>
      <c r="B8" s="35"/>
      <c r="C8" s="35"/>
      <c r="D8" s="35"/>
      <c r="E8" s="35"/>
      <c r="F8" s="35"/>
    </row>
    <row r="9" spans="1:6" ht="21" customHeight="1">
      <c r="A9" s="34" t="str">
        <f>ชื่อโครงการ!A9</f>
        <v>คำนวณราคากลาง : โดยคณะกรรมการกำหนดราคากลาง  เมื่อวันที่  16  เดือน  เมษายน  พ.ศ. 2569</v>
      </c>
      <c r="B9" s="35"/>
      <c r="C9" s="35"/>
      <c r="D9" s="35"/>
      <c r="E9" s="35"/>
      <c r="F9" s="35"/>
    </row>
    <row r="10" spans="1:6" ht="21" customHeight="1" thickBot="1">
      <c r="A10" s="36" t="s">
        <v>19</v>
      </c>
      <c r="B10" s="36" t="s">
        <v>19</v>
      </c>
      <c r="C10" s="37" t="s">
        <v>19</v>
      </c>
      <c r="D10" s="36" t="s">
        <v>19</v>
      </c>
      <c r="E10" s="429" t="s">
        <v>139</v>
      </c>
      <c r="F10" s="429"/>
    </row>
    <row r="11" spans="1:6" ht="21" customHeight="1" thickTop="1">
      <c r="A11" s="422" t="s">
        <v>15</v>
      </c>
      <c r="B11" s="422" t="s">
        <v>16</v>
      </c>
      <c r="C11" s="422" t="s">
        <v>28</v>
      </c>
      <c r="D11" s="422" t="s">
        <v>4</v>
      </c>
      <c r="E11" s="422" t="s">
        <v>3</v>
      </c>
      <c r="F11" s="422" t="s">
        <v>8</v>
      </c>
    </row>
    <row r="12" spans="1:6" ht="21" customHeight="1" thickBot="1">
      <c r="A12" s="427"/>
      <c r="B12" s="427"/>
      <c r="C12" s="423"/>
      <c r="D12" s="427"/>
      <c r="E12" s="423"/>
      <c r="F12" s="427"/>
    </row>
    <row r="13" spans="1:6" ht="21" customHeight="1" thickTop="1">
      <c r="A13" s="103">
        <v>1</v>
      </c>
      <c r="B13" s="100" t="s">
        <v>234</v>
      </c>
      <c r="C13" s="101">
        <f>'ปร.4(ก)'!I17</f>
        <v>0</v>
      </c>
      <c r="D13" s="102">
        <v>1.282</v>
      </c>
      <c r="E13" s="15">
        <f>C13*D13</f>
        <v>0</v>
      </c>
      <c r="F13" s="43"/>
    </row>
    <row r="14" spans="1:6" ht="21" customHeight="1">
      <c r="A14" s="40"/>
      <c r="B14" s="60"/>
      <c r="C14" s="41"/>
      <c r="D14" s="58"/>
      <c r="E14" s="59"/>
      <c r="F14" s="43" t="s">
        <v>19</v>
      </c>
    </row>
    <row r="15" spans="1:6" ht="21" customHeight="1">
      <c r="A15" s="40"/>
      <c r="B15" s="60"/>
      <c r="C15" s="41"/>
      <c r="D15" s="58"/>
      <c r="E15" s="59"/>
      <c r="F15" s="43"/>
    </row>
    <row r="16" spans="1:6" ht="21" customHeight="1">
      <c r="A16" s="44"/>
      <c r="B16" s="63" t="s">
        <v>493</v>
      </c>
      <c r="C16" s="43"/>
      <c r="D16" s="58"/>
      <c r="E16" s="59"/>
      <c r="F16" s="43"/>
    </row>
    <row r="17" spans="1:6" ht="21" customHeight="1">
      <c r="A17" s="43"/>
      <c r="B17" s="63" t="s">
        <v>494</v>
      </c>
      <c r="C17" s="33"/>
      <c r="D17" s="43"/>
      <c r="E17" s="61"/>
      <c r="F17" s="43"/>
    </row>
    <row r="18" spans="1:6" ht="21" customHeight="1" thickBot="1">
      <c r="A18" s="50"/>
      <c r="B18" s="64" t="s">
        <v>495</v>
      </c>
      <c r="C18" s="65"/>
      <c r="D18" s="50"/>
      <c r="E18" s="66"/>
      <c r="F18" s="50"/>
    </row>
    <row r="19" spans="1:6" ht="21" customHeight="1" thickTop="1" thickBot="1">
      <c r="A19" s="53"/>
      <c r="B19" s="53"/>
      <c r="C19" s="424" t="s">
        <v>23</v>
      </c>
      <c r="D19" s="425"/>
      <c r="E19" s="99">
        <f>SUM(E13:E15)</f>
        <v>0</v>
      </c>
      <c r="F19" s="53"/>
    </row>
    <row r="20" spans="1:6" s="57" customFormat="1" ht="21" customHeight="1" thickTop="1">
      <c r="A20" s="428"/>
      <c r="B20" s="428"/>
      <c r="C20" s="55"/>
      <c r="D20" s="55"/>
      <c r="E20" s="56"/>
    </row>
    <row r="21" spans="1:6" s="5" customFormat="1" ht="21" customHeight="1">
      <c r="A21" s="426" t="s">
        <v>46</v>
      </c>
      <c r="B21" s="426"/>
      <c r="C21" s="3"/>
      <c r="D21" s="3"/>
      <c r="E21" s="23"/>
    </row>
    <row r="22" spans="1:6" s="5" customFormat="1" ht="21" customHeight="1">
      <c r="A22" s="24"/>
      <c r="B22" s="25"/>
      <c r="D22" s="26"/>
      <c r="E22" s="23"/>
    </row>
    <row r="23" spans="1:6" s="5" customFormat="1" ht="21" customHeight="1">
      <c r="A23" s="26"/>
      <c r="B23" s="26"/>
      <c r="C23" s="26"/>
      <c r="D23" s="26"/>
      <c r="E23" s="26"/>
      <c r="F23" s="26"/>
    </row>
    <row r="24" spans="1:6" s="5" customFormat="1" ht="21" customHeight="1">
      <c r="A24" s="25"/>
      <c r="B24" s="390"/>
      <c r="C24" s="25"/>
      <c r="D24" s="25"/>
      <c r="E24" s="25"/>
      <c r="F24" s="25"/>
    </row>
    <row r="25" spans="1:6" s="5" customFormat="1" ht="21" customHeight="1">
      <c r="A25" s="26"/>
      <c r="B25" s="26"/>
      <c r="C25" s="26"/>
      <c r="D25" s="26"/>
      <c r="E25" s="26"/>
      <c r="F25" s="26"/>
    </row>
    <row r="26" spans="1:6" s="5" customFormat="1" ht="21" customHeight="1">
      <c r="A26" s="27"/>
      <c r="B26" s="27"/>
      <c r="D26" s="27"/>
      <c r="E26" s="28"/>
    </row>
    <row r="27" spans="1:6" s="5" customFormat="1" ht="21" customHeight="1">
      <c r="A27" s="29"/>
      <c r="B27" s="29"/>
      <c r="D27" s="29"/>
      <c r="E27" s="23"/>
    </row>
    <row r="28" spans="1:6" s="5" customFormat="1" ht="21" customHeight="1">
      <c r="A28" s="26"/>
      <c r="B28" s="26"/>
      <c r="C28" s="26"/>
      <c r="D28" s="26"/>
      <c r="E28" s="26"/>
      <c r="F28" s="26"/>
    </row>
    <row r="29" spans="1:6" s="5" customFormat="1" ht="21" customHeight="1">
      <c r="A29" s="26"/>
      <c r="B29" s="390"/>
      <c r="C29" s="25"/>
      <c r="D29" s="25"/>
      <c r="E29" s="26"/>
      <c r="F29" s="26"/>
    </row>
    <row r="30" spans="1:6" s="5" customFormat="1" ht="21" customHeight="1">
      <c r="A30" s="26"/>
      <c r="B30" s="26"/>
      <c r="C30" s="26"/>
      <c r="D30" s="26"/>
      <c r="E30" s="26"/>
      <c r="F30" s="26"/>
    </row>
    <row r="31" spans="1:6" s="5" customFormat="1" ht="21" customHeight="1"/>
    <row r="32" spans="1:6" ht="21" customHeight="1">
      <c r="A32" s="5"/>
      <c r="B32" s="5"/>
      <c r="C32" s="5"/>
      <c r="D32" s="5"/>
      <c r="E32" s="5"/>
      <c r="F32" s="5"/>
    </row>
    <row r="33" spans="1:9" ht="21" customHeight="1">
      <c r="A33" s="53"/>
      <c r="B33" s="53"/>
      <c r="C33" s="53"/>
      <c r="D33" s="53"/>
      <c r="E33" s="53"/>
      <c r="F33" s="53"/>
    </row>
    <row r="34" spans="1:9" ht="21" customHeight="1">
      <c r="A34" s="419"/>
      <c r="B34" s="419"/>
      <c r="C34" s="419"/>
      <c r="D34" s="419"/>
      <c r="E34" s="419"/>
      <c r="F34" s="419"/>
    </row>
    <row r="35" spans="1:9" ht="21" customHeight="1">
      <c r="A35" s="420"/>
      <c r="B35" s="420"/>
      <c r="C35" s="420"/>
      <c r="D35" s="420"/>
      <c r="E35" s="420"/>
      <c r="F35" s="420"/>
    </row>
    <row r="36" spans="1:9" ht="21" customHeight="1">
      <c r="A36" s="62"/>
      <c r="C36" s="53"/>
      <c r="E36" s="62"/>
      <c r="F36" s="53"/>
    </row>
    <row r="37" spans="1:9" ht="21" customHeight="1"/>
    <row r="38" spans="1:9" ht="21" customHeight="1"/>
    <row r="39" spans="1:9" ht="21" customHeight="1"/>
    <row r="40" spans="1:9" ht="21" customHeight="1"/>
    <row r="41" spans="1:9" ht="21" customHeight="1"/>
    <row r="42" spans="1:9" ht="21" customHeight="1"/>
    <row r="43" spans="1:9" ht="21" customHeight="1">
      <c r="I43" s="32">
        <f>I17+I26+I30+I37+I42</f>
        <v>0</v>
      </c>
    </row>
    <row r="44" spans="1:9" ht="21" customHeight="1"/>
    <row r="45" spans="1:9" ht="21" customHeight="1"/>
    <row r="46" spans="1:9" ht="21" customHeight="1"/>
    <row r="47" spans="1:9" ht="21" customHeight="1"/>
    <row r="48" spans="1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/>
    <row r="68"/>
    <row r="69"/>
    <row r="70"/>
    <row r="71"/>
    <row r="72"/>
    <row r="73"/>
    <row r="74"/>
    <row r="75"/>
    <row r="76"/>
    <row r="77"/>
    <row r="78"/>
    <row r="79"/>
    <row r="80"/>
    <row r="81" spans="2:5"/>
    <row r="82" spans="2:5"/>
    <row r="83" spans="2:5"/>
    <row r="84" spans="2:5">
      <c r="B84" s="32" t="s">
        <v>140</v>
      </c>
      <c r="E84" s="32">
        <v>9500</v>
      </c>
    </row>
    <row r="85" spans="2:5"/>
    <row r="86" spans="2:5"/>
    <row r="87" spans="2:5"/>
    <row r="88" spans="2:5"/>
    <row r="89" spans="2:5"/>
    <row r="92" spans="2:5" hidden="1">
      <c r="C92" s="32">
        <v>2</v>
      </c>
    </row>
    <row r="98" spans="3:3" hidden="1">
      <c r="C98" s="32">
        <v>4</v>
      </c>
    </row>
  </sheetData>
  <mergeCells count="14">
    <mergeCell ref="E1:F1"/>
    <mergeCell ref="A34:F34"/>
    <mergeCell ref="A35:F35"/>
    <mergeCell ref="A2:F2"/>
    <mergeCell ref="E11:E12"/>
    <mergeCell ref="C11:C12"/>
    <mergeCell ref="C19:D19"/>
    <mergeCell ref="A21:B21"/>
    <mergeCell ref="A11:A12"/>
    <mergeCell ref="B11:B12"/>
    <mergeCell ref="D11:D12"/>
    <mergeCell ref="F11:F12"/>
    <mergeCell ref="A20:B20"/>
    <mergeCell ref="E10:F10"/>
  </mergeCells>
  <phoneticPr fontId="0" type="noConversion"/>
  <printOptions horizontalCentered="1"/>
  <pageMargins left="0.47244094488188981" right="0.47244094488188981" top="0.43307086614173229" bottom="0.78740157480314965" header="0.27559055118110237" footer="0.2755905511811023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1:F60"/>
  <sheetViews>
    <sheetView showGridLines="0" view="pageBreakPreview" zoomScale="115" zoomScaleNormal="100" zoomScaleSheetLayoutView="115" workbookViewId="0">
      <selection activeCell="XEE12" sqref="XEE12"/>
    </sheetView>
  </sheetViews>
  <sheetFormatPr defaultColWidth="0" defaultRowHeight="24" zeroHeight="1"/>
  <cols>
    <col min="1" max="1" width="9.33203125" style="32" customWidth="1"/>
    <col min="2" max="2" width="38.6640625" style="32" customWidth="1"/>
    <col min="3" max="3" width="17" style="32" customWidth="1"/>
    <col min="4" max="4" width="12.6640625" style="32" customWidth="1"/>
    <col min="5" max="5" width="29" style="32" customWidth="1"/>
    <col min="6" max="6" width="28.1640625" style="32" hidden="1" customWidth="1"/>
    <col min="7" max="16357" width="0" style="32" hidden="1"/>
    <col min="16358" max="16358" width="18.33203125" style="32" customWidth="1"/>
    <col min="16359" max="16359" width="20.83203125" style="32" customWidth="1"/>
    <col min="16360" max="16360" width="18.5" style="32" customWidth="1"/>
    <col min="16361" max="16361" width="13.33203125" style="32" customWidth="1"/>
    <col min="16362" max="16362" width="17.1640625" style="32" customWidth="1"/>
    <col min="16363" max="16363" width="18.6640625" style="32" customWidth="1"/>
    <col min="16364" max="16364" width="17" style="32" customWidth="1"/>
    <col min="16365" max="16365" width="10.5" style="32" customWidth="1"/>
    <col min="16366" max="16366" width="16.6640625" style="32" customWidth="1"/>
    <col min="16367" max="16367" width="7.33203125" style="32" customWidth="1"/>
    <col min="16368" max="16368" width="6.6640625" style="32" customWidth="1"/>
    <col min="16369" max="16369" width="10.5" style="32" customWidth="1"/>
    <col min="16370" max="16370" width="7.5" style="32" customWidth="1"/>
    <col min="16371" max="16371" width="9.1640625" style="32" customWidth="1"/>
    <col min="16372" max="16372" width="15.83203125" style="32" customWidth="1"/>
    <col min="16373" max="16373" width="8.83203125" style="32" customWidth="1"/>
    <col min="16374" max="16374" width="8" style="32" customWidth="1"/>
    <col min="16375" max="16375" width="7" style="32" customWidth="1"/>
    <col min="16376" max="16376" width="7.33203125" style="32" customWidth="1"/>
    <col min="16377" max="16377" width="7.6640625" style="32" customWidth="1"/>
    <col min="16378" max="16378" width="5.83203125" style="32" customWidth="1"/>
    <col min="16379" max="16384" width="4" style="32" customWidth="1"/>
  </cols>
  <sheetData>
    <row r="1" spans="1:6" s="30" customFormat="1" ht="25.5" customHeight="1">
      <c r="E1" s="162" t="s">
        <v>24</v>
      </c>
      <c r="F1" s="31"/>
    </row>
    <row r="2" spans="1:6">
      <c r="A2" s="421" t="s">
        <v>35</v>
      </c>
      <c r="B2" s="421"/>
      <c r="C2" s="421"/>
      <c r="D2" s="421"/>
      <c r="E2" s="421"/>
      <c r="F2" s="421"/>
    </row>
    <row r="3" spans="1:6" ht="23.25" customHeight="1">
      <c r="A3" s="435" t="str">
        <f>ชื่อโครงการ!A4</f>
        <v>กลุ่มงาน : งานก่อสร้าง</v>
      </c>
      <c r="B3" s="435"/>
      <c r="C3" s="435"/>
      <c r="D3" s="435"/>
      <c r="E3" s="435"/>
      <c r="F3" s="33"/>
    </row>
    <row r="4" spans="1:6">
      <c r="A4" s="436" t="str">
        <f>ชื่อโครงการ!A2</f>
        <v>ชื่อโครงการ : โครงการปรับปรุงศูนย์เทคโนโลยีเพื่อการเรียนรู้และพัฒนาทักษะด้านยานยนต์พลังงานใหม่ครบวงจร</v>
      </c>
      <c r="B4" s="436"/>
      <c r="C4" s="436"/>
      <c r="D4" s="436"/>
      <c r="E4" s="436"/>
      <c r="F4" s="35"/>
    </row>
    <row r="5" spans="1:6">
      <c r="A5" s="436" t="str">
        <f>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5" s="436"/>
      <c r="C5" s="436"/>
      <c r="D5" s="436"/>
      <c r="E5" s="436"/>
      <c r="F5" s="35"/>
    </row>
    <row r="6" spans="1:6">
      <c r="A6" s="436" t="s">
        <v>2</v>
      </c>
      <c r="B6" s="436"/>
      <c r="C6" s="436"/>
      <c r="D6" s="436"/>
      <c r="E6" s="436"/>
      <c r="F6" s="35"/>
    </row>
    <row r="7" spans="1:6">
      <c r="A7" s="436" t="str">
        <f>ชื่อโครงการ!C13</f>
        <v>หน่วยงานเจ้าของโครงการ : กองนโยบายและแผน มหาวิทยาลัยเทคโนโลยีราชมงคลอีสาน</v>
      </c>
      <c r="B7" s="436"/>
      <c r="C7" s="436"/>
      <c r="D7" s="436"/>
      <c r="E7" s="436"/>
      <c r="F7" s="35"/>
    </row>
    <row r="8" spans="1:6">
      <c r="A8" s="34" t="str">
        <f>'ปร.5(ก)'!A8</f>
        <v>แบบ  ปร. 4     ที่แนบ      มีจำนวน  1  หน้า</v>
      </c>
      <c r="B8" s="34"/>
      <c r="C8" s="34"/>
      <c r="D8" s="34"/>
      <c r="E8" s="34"/>
      <c r="F8" s="35"/>
    </row>
    <row r="9" spans="1:6">
      <c r="A9" s="436" t="str">
        <f>ชื่อโครงการ!A9</f>
        <v>คำนวณราคากลาง : โดยคณะกรรมการกำหนดราคากลาง  เมื่อวันที่  16  เดือน  เมษายน  พ.ศ. 2569</v>
      </c>
      <c r="B9" s="436"/>
      <c r="C9" s="436"/>
      <c r="D9" s="436"/>
      <c r="E9" s="436"/>
      <c r="F9" s="35"/>
    </row>
    <row r="10" spans="1:6" ht="33.75" customHeight="1" thickBot="1">
      <c r="A10" s="36" t="s">
        <v>19</v>
      </c>
      <c r="B10" s="36" t="s">
        <v>19</v>
      </c>
      <c r="C10" s="37" t="s">
        <v>19</v>
      </c>
      <c r="D10" s="36" t="s">
        <v>19</v>
      </c>
      <c r="E10" s="37" t="s">
        <v>19</v>
      </c>
      <c r="F10" s="36" t="s">
        <v>21</v>
      </c>
    </row>
    <row r="11" spans="1:6" ht="24.75" thickTop="1">
      <c r="A11" s="430" t="s">
        <v>15</v>
      </c>
      <c r="B11" s="430" t="s">
        <v>16</v>
      </c>
      <c r="C11" s="430" t="s">
        <v>27</v>
      </c>
      <c r="D11" s="38" t="s">
        <v>25</v>
      </c>
      <c r="E11" s="430" t="s">
        <v>3</v>
      </c>
      <c r="F11" s="430" t="s">
        <v>8</v>
      </c>
    </row>
    <row r="12" spans="1:6" ht="24.75" thickBot="1">
      <c r="A12" s="432"/>
      <c r="B12" s="432"/>
      <c r="C12" s="431"/>
      <c r="D12" s="39" t="s">
        <v>26</v>
      </c>
      <c r="E12" s="431"/>
      <c r="F12" s="432"/>
    </row>
    <row r="13" spans="1:6" ht="24.75" thickTop="1">
      <c r="A13" s="40">
        <v>1</v>
      </c>
      <c r="B13" s="16" t="s">
        <v>50</v>
      </c>
      <c r="C13" s="41">
        <f>'ปร.4(ข)'!I29</f>
        <v>0</v>
      </c>
      <c r="D13" s="42">
        <v>1.07</v>
      </c>
      <c r="E13" s="41">
        <f>C13*D13</f>
        <v>0</v>
      </c>
      <c r="F13" s="43" t="s">
        <v>19</v>
      </c>
    </row>
    <row r="14" spans="1:6">
      <c r="A14" s="40"/>
      <c r="B14" s="16"/>
      <c r="C14" s="43"/>
      <c r="D14" s="43"/>
      <c r="E14" s="41"/>
      <c r="F14" s="43"/>
    </row>
    <row r="15" spans="1:6">
      <c r="A15" s="44"/>
      <c r="B15" s="16"/>
      <c r="C15" s="43"/>
      <c r="D15" s="43"/>
      <c r="E15" s="41"/>
      <c r="F15" s="43"/>
    </row>
    <row r="16" spans="1:6">
      <c r="A16" s="44"/>
      <c r="B16" s="16"/>
      <c r="C16" s="43"/>
      <c r="D16" s="43"/>
      <c r="E16" s="41"/>
      <c r="F16" s="43"/>
    </row>
    <row r="17" spans="1:6">
      <c r="A17" s="43"/>
      <c r="B17" s="45"/>
      <c r="C17" s="43"/>
      <c r="D17" s="43"/>
      <c r="E17" s="41"/>
      <c r="F17" s="43"/>
    </row>
    <row r="18" spans="1:6">
      <c r="A18" s="43"/>
      <c r="B18" s="46"/>
      <c r="C18" s="33"/>
      <c r="D18" s="43"/>
      <c r="E18" s="41"/>
      <c r="F18" s="43"/>
    </row>
    <row r="19" spans="1:6">
      <c r="A19" s="47"/>
      <c r="B19" s="48"/>
      <c r="C19" s="49"/>
      <c r="D19" s="42"/>
      <c r="E19" s="41"/>
      <c r="F19" s="47"/>
    </row>
    <row r="20" spans="1:6" ht="21.75" customHeight="1" thickBot="1">
      <c r="A20" s="50"/>
      <c r="B20" s="51"/>
      <c r="C20" s="50"/>
      <c r="D20" s="50"/>
      <c r="E20" s="52" t="s">
        <v>19</v>
      </c>
      <c r="F20" s="50"/>
    </row>
    <row r="21" spans="1:6" ht="24.75" customHeight="1" thickTop="1" thickBot="1">
      <c r="A21" s="53"/>
      <c r="B21" s="53"/>
      <c r="C21" s="433" t="s">
        <v>23</v>
      </c>
      <c r="D21" s="434"/>
      <c r="E21" s="54">
        <f>SUM(E13:E19)</f>
        <v>0</v>
      </c>
      <c r="F21" s="53"/>
    </row>
    <row r="22" spans="1:6" ht="18.75" customHeight="1" thickTop="1">
      <c r="A22" s="426" t="s">
        <v>46</v>
      </c>
      <c r="B22" s="426"/>
      <c r="C22" s="3"/>
      <c r="D22" s="3"/>
      <c r="E22" s="23"/>
      <c r="F22" s="5"/>
    </row>
    <row r="23" spans="1:6" s="5" customFormat="1" ht="21" customHeight="1">
      <c r="A23" s="24"/>
      <c r="B23" s="25"/>
      <c r="D23" s="26"/>
      <c r="E23" s="23"/>
    </row>
    <row r="24" spans="1:6" s="5" customFormat="1" ht="21" customHeight="1">
      <c r="A24" s="26"/>
      <c r="B24" s="26"/>
      <c r="C24" s="26"/>
      <c r="D24" s="26"/>
      <c r="E24" s="26"/>
      <c r="F24" s="26"/>
    </row>
    <row r="25" spans="1:6" s="5" customFormat="1" ht="21" customHeight="1">
      <c r="A25" s="25"/>
      <c r="B25" s="390"/>
      <c r="C25" s="25"/>
      <c r="D25" s="25"/>
      <c r="E25" s="25"/>
      <c r="F25" s="25"/>
    </row>
    <row r="26" spans="1:6" s="5" customFormat="1" ht="21" customHeight="1">
      <c r="A26" s="26"/>
      <c r="B26" s="26"/>
      <c r="C26" s="26"/>
      <c r="D26" s="26"/>
      <c r="E26" s="26"/>
      <c r="F26" s="26"/>
    </row>
    <row r="27" spans="1:6" s="5" customFormat="1" ht="21" customHeight="1">
      <c r="A27" s="27"/>
      <c r="B27" s="27"/>
      <c r="D27" s="27"/>
      <c r="E27" s="28"/>
    </row>
    <row r="28" spans="1:6" s="5" customFormat="1" ht="21" customHeight="1">
      <c r="A28" s="29"/>
      <c r="B28" s="29"/>
      <c r="D28" s="29"/>
      <c r="E28" s="23"/>
    </row>
    <row r="29" spans="1:6" s="5" customFormat="1" ht="21" customHeight="1">
      <c r="A29" s="26"/>
      <c r="B29" s="26"/>
      <c r="C29" s="26"/>
      <c r="D29" s="26"/>
      <c r="E29" s="26"/>
      <c r="F29" s="26"/>
    </row>
    <row r="30" spans="1:6" s="5" customFormat="1" ht="21" customHeight="1">
      <c r="A30" s="26"/>
      <c r="B30" s="390"/>
      <c r="C30" s="25"/>
      <c r="D30" s="25"/>
      <c r="E30" s="26"/>
      <c r="F30" s="26"/>
    </row>
    <row r="31" spans="1:6" s="5" customFormat="1" ht="21" customHeight="1">
      <c r="A31" s="26"/>
      <c r="B31" s="26"/>
      <c r="C31" s="26"/>
      <c r="D31" s="26"/>
      <c r="E31" s="26"/>
      <c r="F31" s="26"/>
    </row>
    <row r="32" spans="1:6" s="5" customFormat="1" ht="21" customHeight="1"/>
    <row r="33" ht="18.75" customHeight="1"/>
    <row r="34" ht="18.75" customHeight="1"/>
    <row r="35"/>
    <row r="36"/>
    <row r="37"/>
    <row r="38"/>
    <row r="39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</sheetData>
  <mergeCells count="14">
    <mergeCell ref="E11:E12"/>
    <mergeCell ref="A22:B22"/>
    <mergeCell ref="A2:F2"/>
    <mergeCell ref="A11:A12"/>
    <mergeCell ref="B11:B12"/>
    <mergeCell ref="F11:F12"/>
    <mergeCell ref="C21:D21"/>
    <mergeCell ref="A3:E3"/>
    <mergeCell ref="A4:E4"/>
    <mergeCell ref="A5:E5"/>
    <mergeCell ref="A6:E6"/>
    <mergeCell ref="A7:E7"/>
    <mergeCell ref="A9:E9"/>
    <mergeCell ref="C11:C12"/>
  </mergeCells>
  <printOptions horizontalCentered="1"/>
  <pageMargins left="0.51181102362204722" right="0.47244094488188981" top="0.31496062992125984" bottom="0.27559055118110237" header="0.19685039370078741" footer="0.1574803149606299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801"/>
  <sheetViews>
    <sheetView view="pageBreakPreview" zoomScale="115" zoomScaleNormal="130" zoomScaleSheetLayoutView="115" zoomScalePageLayoutView="160" workbookViewId="0">
      <selection activeCell="M18" sqref="M18"/>
    </sheetView>
  </sheetViews>
  <sheetFormatPr defaultColWidth="9.33203125" defaultRowHeight="21" customHeight="1"/>
  <cols>
    <col min="1" max="1" width="8.5" style="77" customWidth="1"/>
    <col min="2" max="2" width="76.33203125" style="77" customWidth="1"/>
    <col min="3" max="3" width="13.6640625" style="89" customWidth="1"/>
    <col min="4" max="4" width="9.33203125" style="86" customWidth="1"/>
    <col min="5" max="5" width="17.5" style="77" customWidth="1"/>
    <col min="6" max="6" width="18.5" style="77" customWidth="1"/>
    <col min="7" max="7" width="19.33203125" style="77" customWidth="1"/>
    <col min="8" max="8" width="18.5" style="77" customWidth="1"/>
    <col min="9" max="9" width="20" style="77" customWidth="1"/>
    <col min="10" max="10" width="15.5" style="86" customWidth="1"/>
    <col min="11" max="11" width="9.33203125" style="77"/>
    <col min="12" max="12" width="21" style="77" customWidth="1"/>
    <col min="13" max="13" width="9.33203125" style="77"/>
    <col min="14" max="14" width="14.33203125" style="77" bestFit="1" customWidth="1"/>
    <col min="15" max="16384" width="9.33203125" style="77"/>
  </cols>
  <sheetData>
    <row r="1" spans="1:10" s="69" customFormat="1" ht="21" customHeight="1">
      <c r="A1" s="438" t="s">
        <v>33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0" s="69" customFormat="1" ht="21" customHeight="1">
      <c r="A2" s="363" t="str">
        <f>[3]ชื่อโครงการ!A2</f>
        <v>ชื่อโครงการ : โครงการปรับปรุงศูนย์เทคโนโลยีเพื่อการเรียนรู้และพัฒนาทักษะด้านยานยนต์พลังงานใหม่ครบวงจร</v>
      </c>
      <c r="B2" s="71"/>
      <c r="C2" s="72"/>
      <c r="D2" s="72"/>
      <c r="E2" s="70"/>
      <c r="F2" s="70"/>
      <c r="G2" s="70"/>
      <c r="H2" s="70"/>
      <c r="I2" s="70" t="s">
        <v>18</v>
      </c>
      <c r="J2" s="72"/>
    </row>
    <row r="3" spans="1:10" s="69" customFormat="1" ht="21" customHeight="1">
      <c r="A3" s="363" t="str">
        <f>[3]ชื่อโครงการ!A4</f>
        <v>กลุ่มงาน : งานก่อสร้าง</v>
      </c>
      <c r="B3" s="71"/>
      <c r="C3" s="72"/>
      <c r="D3" s="72"/>
      <c r="E3" s="70"/>
      <c r="F3" s="70"/>
      <c r="G3" s="70"/>
      <c r="H3" s="70"/>
      <c r="I3" s="70"/>
      <c r="J3" s="72"/>
    </row>
    <row r="4" spans="1:10" s="69" customFormat="1" ht="21" customHeight="1">
      <c r="A4" s="362" t="str">
        <f>[3]ชื่อโครงการ!B11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4" s="74"/>
      <c r="C4" s="75"/>
      <c r="D4" s="75"/>
      <c r="E4" s="73"/>
      <c r="F4" s="73"/>
      <c r="G4" s="73"/>
      <c r="H4" s="362" t="s">
        <v>20</v>
      </c>
      <c r="I4" s="73"/>
      <c r="J4" s="75"/>
    </row>
    <row r="5" spans="1:10" s="69" customFormat="1" ht="21" customHeight="1">
      <c r="A5" s="362" t="str">
        <f>[3]ชื่อโครงการ!C13</f>
        <v>หน่วยงานเจ้าของโครงการ : กองนโยบายและแผน มหาวิทยาลัยเทคโนโลยีราชมงคลอีสาน</v>
      </c>
      <c r="B5" s="74"/>
      <c r="C5" s="75"/>
      <c r="D5" s="75"/>
      <c r="E5" s="73"/>
      <c r="F5" s="73"/>
      <c r="G5" s="73"/>
      <c r="H5" s="73"/>
      <c r="I5" s="73"/>
      <c r="J5" s="75"/>
    </row>
    <row r="6" spans="1:10" s="69" customFormat="1" ht="21" customHeight="1">
      <c r="A6" s="362" t="str">
        <f>ชื่อโครงการ!A9</f>
        <v>คำนวณราคากลาง : โดยคณะกรรมการกำหนดราคากลาง  เมื่อวันที่  16  เดือน  เมษายน  พ.ศ. 2569</v>
      </c>
      <c r="B6" s="93"/>
      <c r="C6" s="75"/>
      <c r="D6" s="75"/>
      <c r="E6" s="76"/>
      <c r="F6" s="76"/>
      <c r="G6" s="73"/>
      <c r="H6" s="76"/>
      <c r="I6" s="76"/>
      <c r="J6" s="75"/>
    </row>
    <row r="7" spans="1:10" ht="21" customHeight="1" thickBot="1">
      <c r="A7" s="94"/>
      <c r="B7" s="91"/>
      <c r="C7" s="95"/>
      <c r="D7" s="95"/>
      <c r="E7" s="94"/>
      <c r="F7" s="94"/>
      <c r="G7" s="94"/>
      <c r="H7" s="94"/>
      <c r="I7" s="94"/>
      <c r="J7" s="95" t="s">
        <v>21</v>
      </c>
    </row>
    <row r="8" spans="1:10" ht="21" customHeight="1" thickTop="1">
      <c r="A8" s="439" t="s">
        <v>15</v>
      </c>
      <c r="B8" s="439" t="s">
        <v>16</v>
      </c>
      <c r="C8" s="439" t="s">
        <v>312</v>
      </c>
      <c r="D8" s="439" t="s">
        <v>6</v>
      </c>
      <c r="E8" s="439" t="s">
        <v>30</v>
      </c>
      <c r="F8" s="439"/>
      <c r="G8" s="439" t="s">
        <v>1</v>
      </c>
      <c r="H8" s="439"/>
      <c r="I8" s="90" t="s">
        <v>31</v>
      </c>
      <c r="J8" s="439" t="s">
        <v>8</v>
      </c>
    </row>
    <row r="9" spans="1:10" ht="21" customHeight="1" thickBot="1">
      <c r="A9" s="440"/>
      <c r="B9" s="440"/>
      <c r="C9" s="441"/>
      <c r="D9" s="441"/>
      <c r="E9" s="92" t="s">
        <v>13</v>
      </c>
      <c r="F9" s="92" t="s">
        <v>7</v>
      </c>
      <c r="G9" s="92" t="s">
        <v>13</v>
      </c>
      <c r="H9" s="92" t="s">
        <v>7</v>
      </c>
      <c r="I9" s="92" t="s">
        <v>12</v>
      </c>
      <c r="J9" s="441"/>
    </row>
    <row r="10" spans="1:10" s="357" customFormat="1" ht="20.45" customHeight="1" thickTop="1">
      <c r="A10" s="361"/>
      <c r="B10" s="226" t="s">
        <v>306</v>
      </c>
      <c r="C10" s="360"/>
      <c r="D10" s="360"/>
      <c r="E10" s="359"/>
      <c r="F10" s="359"/>
      <c r="G10" s="359"/>
      <c r="H10" s="359"/>
      <c r="I10" s="359"/>
      <c r="J10" s="358"/>
    </row>
    <row r="11" spans="1:10" s="356" customFormat="1" ht="20.45" customHeight="1">
      <c r="A11" s="387">
        <v>1</v>
      </c>
      <c r="B11" s="355" t="s">
        <v>307</v>
      </c>
      <c r="C11" s="231">
        <v>1</v>
      </c>
      <c r="D11" s="354" t="s">
        <v>117</v>
      </c>
      <c r="E11" s="354"/>
      <c r="F11" s="232">
        <f>F23</f>
        <v>0</v>
      </c>
      <c r="G11" s="233"/>
      <c r="H11" s="233">
        <f>H23</f>
        <v>0</v>
      </c>
      <c r="I11" s="234">
        <f t="shared" ref="I11:I17" si="0">F11+H11</f>
        <v>0</v>
      </c>
      <c r="J11" s="234"/>
    </row>
    <row r="12" spans="1:10" s="270" customFormat="1" ht="20.45" customHeight="1">
      <c r="A12" s="387">
        <v>2</v>
      </c>
      <c r="B12" s="355" t="s">
        <v>308</v>
      </c>
      <c r="C12" s="231">
        <v>1</v>
      </c>
      <c r="D12" s="354" t="s">
        <v>117</v>
      </c>
      <c r="E12" s="354"/>
      <c r="F12" s="232">
        <f>F134</f>
        <v>0</v>
      </c>
      <c r="G12" s="233"/>
      <c r="H12" s="233">
        <f>H134</f>
        <v>0</v>
      </c>
      <c r="I12" s="234">
        <f t="shared" si="0"/>
        <v>0</v>
      </c>
      <c r="J12" s="234"/>
    </row>
    <row r="13" spans="1:10" s="325" customFormat="1" ht="20.45" customHeight="1">
      <c r="A13" s="387">
        <v>3</v>
      </c>
      <c r="B13" s="355" t="s">
        <v>309</v>
      </c>
      <c r="C13" s="231">
        <v>1</v>
      </c>
      <c r="D13" s="354" t="s">
        <v>117</v>
      </c>
      <c r="E13" s="354"/>
      <c r="F13" s="232">
        <f>F262</f>
        <v>0</v>
      </c>
      <c r="G13" s="233"/>
      <c r="H13" s="233">
        <f>H262</f>
        <v>0</v>
      </c>
      <c r="I13" s="234">
        <f t="shared" si="0"/>
        <v>0</v>
      </c>
      <c r="J13" s="234"/>
    </row>
    <row r="14" spans="1:10" s="325" customFormat="1" ht="20.45" customHeight="1">
      <c r="A14" s="387">
        <v>4</v>
      </c>
      <c r="B14" s="355" t="s">
        <v>310</v>
      </c>
      <c r="C14" s="231">
        <v>1</v>
      </c>
      <c r="D14" s="354" t="s">
        <v>117</v>
      </c>
      <c r="E14" s="354"/>
      <c r="F14" s="232">
        <f>F290</f>
        <v>0</v>
      </c>
      <c r="G14" s="233"/>
      <c r="H14" s="233">
        <f>H290</f>
        <v>0</v>
      </c>
      <c r="I14" s="234">
        <f t="shared" si="0"/>
        <v>0</v>
      </c>
      <c r="J14" s="234"/>
    </row>
    <row r="15" spans="1:10" s="270" customFormat="1" ht="20.45" customHeight="1">
      <c r="A15" s="387">
        <v>5</v>
      </c>
      <c r="B15" s="355" t="s">
        <v>311</v>
      </c>
      <c r="C15" s="231">
        <v>1</v>
      </c>
      <c r="D15" s="354" t="s">
        <v>117</v>
      </c>
      <c r="E15" s="354"/>
      <c r="F15" s="232">
        <f>F319</f>
        <v>0</v>
      </c>
      <c r="G15" s="233"/>
      <c r="H15" s="233">
        <f>H319</f>
        <v>0</v>
      </c>
      <c r="I15" s="234">
        <f t="shared" si="0"/>
        <v>0</v>
      </c>
      <c r="J15" s="234"/>
    </row>
    <row r="16" spans="1:10" s="270" customFormat="1" ht="20.45" customHeight="1">
      <c r="A16" s="387">
        <v>6</v>
      </c>
      <c r="B16" s="355" t="s">
        <v>198</v>
      </c>
      <c r="C16" s="231">
        <v>1</v>
      </c>
      <c r="D16" s="354" t="s">
        <v>117</v>
      </c>
      <c r="E16" s="354"/>
      <c r="F16" s="232">
        <f>F403</f>
        <v>0</v>
      </c>
      <c r="G16" s="233"/>
      <c r="H16" s="233">
        <f>H403</f>
        <v>0</v>
      </c>
      <c r="I16" s="234">
        <f t="shared" si="0"/>
        <v>0</v>
      </c>
      <c r="J16" s="234"/>
    </row>
    <row r="17" spans="1:11" s="352" customFormat="1" ht="20.25" customHeight="1">
      <c r="A17" s="263"/>
      <c r="B17" s="262" t="str">
        <f>"รวมราคา"&amp;B10</f>
        <v>รวมราคากลุ่มงานอาคาร / งานก่อสร้างอาคาร</v>
      </c>
      <c r="C17" s="261"/>
      <c r="D17" s="228"/>
      <c r="E17" s="229"/>
      <c r="F17" s="230">
        <f>SUM(F11:F16)</f>
        <v>0</v>
      </c>
      <c r="G17" s="230"/>
      <c r="H17" s="230">
        <f>SUM(H11:H16)</f>
        <v>0</v>
      </c>
      <c r="I17" s="230">
        <f t="shared" si="0"/>
        <v>0</v>
      </c>
      <c r="J17" s="230"/>
      <c r="K17" s="353"/>
    </row>
    <row r="18" spans="1:11" s="352" customFormat="1" ht="20.25" customHeight="1">
      <c r="A18" s="380"/>
      <c r="B18" s="381"/>
      <c r="C18" s="382"/>
      <c r="D18" s="383"/>
      <c r="E18" s="384"/>
      <c r="F18" s="385"/>
      <c r="G18" s="385"/>
      <c r="H18" s="385"/>
      <c r="I18" s="386"/>
      <c r="J18" s="385"/>
      <c r="K18" s="353"/>
    </row>
    <row r="19" spans="1:11" s="352" customFormat="1" ht="20.25" customHeight="1">
      <c r="A19" s="380"/>
      <c r="B19" s="381"/>
      <c r="C19" s="382"/>
      <c r="D19" s="383"/>
      <c r="E19" s="384"/>
      <c r="F19" s="385"/>
      <c r="G19" s="385"/>
      <c r="H19" s="385"/>
      <c r="I19" s="386"/>
      <c r="J19" s="385"/>
      <c r="K19" s="353"/>
    </row>
    <row r="20" spans="1:11" s="325" customFormat="1" ht="20.45" customHeight="1">
      <c r="A20" s="163">
        <v>1</v>
      </c>
      <c r="B20" s="164" t="str">
        <f>B11</f>
        <v xml:space="preserve">หมวดงานรื้อถอน </v>
      </c>
      <c r="C20" s="166"/>
      <c r="D20" s="165"/>
      <c r="E20" s="166"/>
      <c r="F20" s="166"/>
      <c r="G20" s="166"/>
      <c r="H20" s="166"/>
      <c r="I20" s="167"/>
      <c r="J20" s="326"/>
    </row>
    <row r="21" spans="1:11" s="325" customFormat="1" ht="20.45" customHeight="1">
      <c r="A21" s="168"/>
      <c r="B21" s="241" t="s">
        <v>416</v>
      </c>
      <c r="C21" s="242">
        <v>980</v>
      </c>
      <c r="D21" s="243" t="s">
        <v>10</v>
      </c>
      <c r="E21" s="244"/>
      <c r="F21" s="244">
        <f>C21*E21</f>
        <v>0</v>
      </c>
      <c r="G21" s="244">
        <v>0</v>
      </c>
      <c r="H21" s="244">
        <f>C21*G21</f>
        <v>0</v>
      </c>
      <c r="I21" s="244">
        <f>F21+H21</f>
        <v>0</v>
      </c>
      <c r="J21" s="245"/>
    </row>
    <row r="22" spans="1:11" s="325" customFormat="1" ht="20.45" customHeight="1">
      <c r="A22" s="168"/>
      <c r="B22" s="241" t="s">
        <v>417</v>
      </c>
      <c r="C22" s="242">
        <v>1</v>
      </c>
      <c r="D22" s="245" t="s">
        <v>117</v>
      </c>
      <c r="E22" s="244"/>
      <c r="F22" s="244">
        <f>C22*E22</f>
        <v>0</v>
      </c>
      <c r="G22" s="244">
        <v>0</v>
      </c>
      <c r="H22" s="244">
        <f>C22*G22</f>
        <v>0</v>
      </c>
      <c r="I22" s="244">
        <f>F22+H22</f>
        <v>0</v>
      </c>
      <c r="J22" s="245" t="s">
        <v>418</v>
      </c>
    </row>
    <row r="23" spans="1:11" s="316" customFormat="1" ht="20.25" customHeight="1">
      <c r="A23" s="323"/>
      <c r="B23" s="322" t="str">
        <f>"รวมราคา"&amp;B20</f>
        <v xml:space="preserve">รวมราคาหมวดงานรื้อถอน </v>
      </c>
      <c r="C23" s="321"/>
      <c r="D23" s="320"/>
      <c r="E23" s="319"/>
      <c r="F23" s="230">
        <f>SUM(F22:F22)</f>
        <v>0</v>
      </c>
      <c r="G23" s="318"/>
      <c r="H23" s="230">
        <f>SUM(H21:H22)</f>
        <v>0</v>
      </c>
      <c r="I23" s="230">
        <f>F23+H23</f>
        <v>0</v>
      </c>
      <c r="J23" s="227"/>
      <c r="K23" s="317"/>
    </row>
    <row r="24" spans="1:11" s="325" customFormat="1" ht="20.45" customHeight="1">
      <c r="A24" s="163">
        <v>2</v>
      </c>
      <c r="B24" s="164" t="str">
        <f>B12</f>
        <v xml:space="preserve">หมวดงานโครงสร้าง </v>
      </c>
      <c r="C24" s="165"/>
      <c r="D24" s="165"/>
      <c r="E24" s="166"/>
      <c r="F24" s="166"/>
      <c r="G24" s="166"/>
      <c r="H24" s="166"/>
      <c r="I24" s="167"/>
      <c r="J24" s="326"/>
    </row>
    <row r="25" spans="1:11" s="325" customFormat="1" ht="20.45" customHeight="1">
      <c r="A25" s="347">
        <v>2.1</v>
      </c>
      <c r="B25" s="246" t="s">
        <v>419</v>
      </c>
      <c r="C25" s="242"/>
      <c r="D25" s="245"/>
      <c r="E25" s="252"/>
      <c r="F25" s="253"/>
      <c r="G25" s="253"/>
      <c r="H25" s="253"/>
      <c r="I25" s="253"/>
      <c r="J25" s="340"/>
    </row>
    <row r="26" spans="1:11" s="325" customFormat="1" ht="20.45" customHeight="1">
      <c r="A26" s="347"/>
      <c r="B26" s="346" t="s">
        <v>420</v>
      </c>
      <c r="C26" s="247">
        <v>38</v>
      </c>
      <c r="D26" s="345" t="s">
        <v>17</v>
      </c>
      <c r="E26" s="247">
        <v>0</v>
      </c>
      <c r="F26" s="248">
        <f t="shared" ref="F26:F43" si="1">C26*E26</f>
        <v>0</v>
      </c>
      <c r="G26" s="249">
        <v>0</v>
      </c>
      <c r="H26" s="248">
        <f t="shared" ref="H26:H43" si="2">C26*G26</f>
        <v>0</v>
      </c>
      <c r="I26" s="250">
        <f t="shared" ref="I26:I43" si="3">F26+H26</f>
        <v>0</v>
      </c>
      <c r="J26" s="388" t="s">
        <v>72</v>
      </c>
    </row>
    <row r="27" spans="1:11" s="325" customFormat="1" ht="20.45" customHeight="1">
      <c r="A27" s="347"/>
      <c r="B27" s="346" t="s">
        <v>421</v>
      </c>
      <c r="C27" s="247">
        <f>C26</f>
        <v>38</v>
      </c>
      <c r="D27" s="345" t="s">
        <v>17</v>
      </c>
      <c r="E27" s="247">
        <v>0</v>
      </c>
      <c r="F27" s="248">
        <f t="shared" si="1"/>
        <v>0</v>
      </c>
      <c r="G27" s="249">
        <v>0</v>
      </c>
      <c r="H27" s="248">
        <f t="shared" si="2"/>
        <v>0</v>
      </c>
      <c r="I27" s="250">
        <f t="shared" si="3"/>
        <v>0</v>
      </c>
      <c r="J27" s="388" t="s">
        <v>72</v>
      </c>
    </row>
    <row r="28" spans="1:11" s="325" customFormat="1" ht="20.45" customHeight="1">
      <c r="A28" s="347"/>
      <c r="B28" s="346" t="s">
        <v>422</v>
      </c>
      <c r="C28" s="247">
        <v>1</v>
      </c>
      <c r="D28" s="345" t="s">
        <v>299</v>
      </c>
      <c r="E28" s="247">
        <v>0</v>
      </c>
      <c r="F28" s="248">
        <f t="shared" si="1"/>
        <v>0</v>
      </c>
      <c r="G28" s="249">
        <v>0</v>
      </c>
      <c r="H28" s="248">
        <f t="shared" si="2"/>
        <v>0</v>
      </c>
      <c r="I28" s="250">
        <f t="shared" si="3"/>
        <v>0</v>
      </c>
      <c r="J28" s="388" t="s">
        <v>72</v>
      </c>
    </row>
    <row r="29" spans="1:11" s="325" customFormat="1" ht="20.45" customHeight="1">
      <c r="A29" s="347"/>
      <c r="B29" s="346" t="s">
        <v>423</v>
      </c>
      <c r="C29" s="247">
        <v>1</v>
      </c>
      <c r="D29" s="345" t="s">
        <v>299</v>
      </c>
      <c r="E29" s="247">
        <v>0</v>
      </c>
      <c r="F29" s="248">
        <f t="shared" si="1"/>
        <v>0</v>
      </c>
      <c r="G29" s="249">
        <v>0</v>
      </c>
      <c r="H29" s="248">
        <f t="shared" si="2"/>
        <v>0</v>
      </c>
      <c r="I29" s="250">
        <f t="shared" si="3"/>
        <v>0</v>
      </c>
      <c r="J29" s="388" t="s">
        <v>72</v>
      </c>
    </row>
    <row r="30" spans="1:11" s="325" customFormat="1" ht="20.45" customHeight="1">
      <c r="A30" s="347"/>
      <c r="B30" s="346" t="s">
        <v>424</v>
      </c>
      <c r="C30" s="247">
        <v>37</v>
      </c>
      <c r="D30" s="345" t="s">
        <v>299</v>
      </c>
      <c r="E30" s="247">
        <v>0</v>
      </c>
      <c r="F30" s="248">
        <f t="shared" si="1"/>
        <v>0</v>
      </c>
      <c r="G30" s="249">
        <v>0</v>
      </c>
      <c r="H30" s="248">
        <f t="shared" si="2"/>
        <v>0</v>
      </c>
      <c r="I30" s="250">
        <f t="shared" si="3"/>
        <v>0</v>
      </c>
      <c r="J30" s="388" t="s">
        <v>72</v>
      </c>
    </row>
    <row r="31" spans="1:11" s="325" customFormat="1" ht="20.45" customHeight="1">
      <c r="A31" s="347"/>
      <c r="B31" s="346" t="s">
        <v>425</v>
      </c>
      <c r="C31" s="247">
        <f>75+81</f>
        <v>156</v>
      </c>
      <c r="D31" s="345" t="s">
        <v>9</v>
      </c>
      <c r="E31" s="247">
        <v>0</v>
      </c>
      <c r="F31" s="248">
        <f t="shared" si="1"/>
        <v>0</v>
      </c>
      <c r="G31" s="249">
        <v>0</v>
      </c>
      <c r="H31" s="248">
        <f t="shared" si="2"/>
        <v>0</v>
      </c>
      <c r="I31" s="250">
        <f t="shared" si="3"/>
        <v>0</v>
      </c>
      <c r="J31" s="388" t="s">
        <v>72</v>
      </c>
    </row>
    <row r="32" spans="1:11" s="325" customFormat="1" ht="20.45" customHeight="1">
      <c r="A32" s="347"/>
      <c r="B32" s="346" t="s">
        <v>426</v>
      </c>
      <c r="C32" s="247">
        <v>8</v>
      </c>
      <c r="D32" s="345" t="s">
        <v>9</v>
      </c>
      <c r="E32" s="247">
        <v>0</v>
      </c>
      <c r="F32" s="248">
        <f t="shared" si="1"/>
        <v>0</v>
      </c>
      <c r="G32" s="249">
        <v>0</v>
      </c>
      <c r="H32" s="248">
        <f t="shared" si="2"/>
        <v>0</v>
      </c>
      <c r="I32" s="250">
        <f t="shared" si="3"/>
        <v>0</v>
      </c>
      <c r="J32" s="388" t="s">
        <v>72</v>
      </c>
    </row>
    <row r="33" spans="1:10" s="325" customFormat="1" ht="20.45" customHeight="1">
      <c r="A33" s="347"/>
      <c r="B33" s="346" t="s">
        <v>427</v>
      </c>
      <c r="C33" s="247">
        <v>4</v>
      </c>
      <c r="D33" s="345" t="s">
        <v>9</v>
      </c>
      <c r="E33" s="247">
        <v>0</v>
      </c>
      <c r="F33" s="248">
        <f t="shared" si="1"/>
        <v>0</v>
      </c>
      <c r="G33" s="249">
        <v>0</v>
      </c>
      <c r="H33" s="248">
        <f t="shared" si="2"/>
        <v>0</v>
      </c>
      <c r="I33" s="250">
        <f t="shared" si="3"/>
        <v>0</v>
      </c>
      <c r="J33" s="388" t="s">
        <v>72</v>
      </c>
    </row>
    <row r="34" spans="1:10" s="325" customFormat="1" ht="20.45" customHeight="1">
      <c r="A34" s="347"/>
      <c r="B34" s="346" t="s">
        <v>428</v>
      </c>
      <c r="C34" s="247">
        <v>11</v>
      </c>
      <c r="D34" s="345" t="s">
        <v>9</v>
      </c>
      <c r="E34" s="247">
        <v>0</v>
      </c>
      <c r="F34" s="248">
        <f t="shared" si="1"/>
        <v>0</v>
      </c>
      <c r="G34" s="249">
        <v>0</v>
      </c>
      <c r="H34" s="248">
        <f t="shared" si="2"/>
        <v>0</v>
      </c>
      <c r="I34" s="250">
        <f t="shared" si="3"/>
        <v>0</v>
      </c>
      <c r="J34" s="388" t="s">
        <v>72</v>
      </c>
    </row>
    <row r="35" spans="1:10" s="325" customFormat="1" ht="20.45" customHeight="1">
      <c r="A35" s="347"/>
      <c r="B35" s="346" t="s">
        <v>429</v>
      </c>
      <c r="C35" s="247"/>
      <c r="D35" s="345"/>
      <c r="E35" s="247">
        <v>0</v>
      </c>
      <c r="F35" s="248">
        <f t="shared" si="1"/>
        <v>0</v>
      </c>
      <c r="G35" s="249">
        <v>0</v>
      </c>
      <c r="H35" s="248">
        <f t="shared" si="2"/>
        <v>0</v>
      </c>
      <c r="I35" s="250">
        <f t="shared" si="3"/>
        <v>0</v>
      </c>
      <c r="J35" s="340"/>
    </row>
    <row r="36" spans="1:10" s="325" customFormat="1" ht="20.45" customHeight="1">
      <c r="A36" s="347"/>
      <c r="B36" s="346" t="s">
        <v>430</v>
      </c>
      <c r="C36" s="247">
        <f>230*1.07*0.499</f>
        <v>122.8</v>
      </c>
      <c r="D36" s="345" t="s">
        <v>125</v>
      </c>
      <c r="E36" s="247">
        <v>0</v>
      </c>
      <c r="F36" s="248">
        <f t="shared" si="1"/>
        <v>0</v>
      </c>
      <c r="G36" s="249">
        <v>0</v>
      </c>
      <c r="H36" s="248">
        <f t="shared" si="2"/>
        <v>0</v>
      </c>
      <c r="I36" s="250">
        <f t="shared" si="3"/>
        <v>0</v>
      </c>
      <c r="J36" s="388" t="s">
        <v>72</v>
      </c>
    </row>
    <row r="37" spans="1:10" s="325" customFormat="1" ht="20.45" customHeight="1">
      <c r="A37" s="347"/>
      <c r="B37" s="346" t="s">
        <v>431</v>
      </c>
      <c r="C37" s="247">
        <f>((120))*1.09*0.888</f>
        <v>116.15</v>
      </c>
      <c r="D37" s="345" t="s">
        <v>125</v>
      </c>
      <c r="E37" s="247">
        <v>0</v>
      </c>
      <c r="F37" s="248">
        <f t="shared" si="1"/>
        <v>0</v>
      </c>
      <c r="G37" s="249">
        <v>0</v>
      </c>
      <c r="H37" s="248">
        <f t="shared" si="2"/>
        <v>0</v>
      </c>
      <c r="I37" s="250">
        <f t="shared" si="3"/>
        <v>0</v>
      </c>
      <c r="J37" s="388" t="s">
        <v>72</v>
      </c>
    </row>
    <row r="38" spans="1:10" s="325" customFormat="1" ht="20.45" customHeight="1">
      <c r="A38" s="347"/>
      <c r="B38" s="346" t="s">
        <v>432</v>
      </c>
      <c r="C38" s="247">
        <f>(810)*1.11*1.578</f>
        <v>1418.78</v>
      </c>
      <c r="D38" s="345" t="s">
        <v>125</v>
      </c>
      <c r="E38" s="247">
        <v>0</v>
      </c>
      <c r="F38" s="248">
        <f t="shared" si="1"/>
        <v>0</v>
      </c>
      <c r="G38" s="249">
        <v>0</v>
      </c>
      <c r="H38" s="248">
        <f t="shared" si="2"/>
        <v>0</v>
      </c>
      <c r="I38" s="250">
        <f t="shared" si="3"/>
        <v>0</v>
      </c>
      <c r="J38" s="388" t="s">
        <v>72</v>
      </c>
    </row>
    <row r="39" spans="1:10" s="325" customFormat="1" ht="20.45" customHeight="1">
      <c r="A39" s="347"/>
      <c r="B39" s="346" t="s">
        <v>433</v>
      </c>
      <c r="C39" s="247">
        <f>(1150)*1.13*2.466</f>
        <v>3204.57</v>
      </c>
      <c r="D39" s="345" t="s">
        <v>125</v>
      </c>
      <c r="E39" s="247">
        <v>0</v>
      </c>
      <c r="F39" s="248">
        <f t="shared" si="1"/>
        <v>0</v>
      </c>
      <c r="G39" s="249">
        <v>0</v>
      </c>
      <c r="H39" s="248">
        <f t="shared" si="2"/>
        <v>0</v>
      </c>
      <c r="I39" s="250">
        <f t="shared" si="3"/>
        <v>0</v>
      </c>
      <c r="J39" s="388" t="s">
        <v>72</v>
      </c>
    </row>
    <row r="40" spans="1:10" s="325" customFormat="1" ht="20.45" customHeight="1">
      <c r="A40" s="347"/>
      <c r="B40" s="346" t="s">
        <v>434</v>
      </c>
      <c r="C40" s="247">
        <f>(SUM(C36:C39)/1000)*30</f>
        <v>145.87</v>
      </c>
      <c r="D40" s="345" t="s">
        <v>125</v>
      </c>
      <c r="E40" s="247">
        <v>0</v>
      </c>
      <c r="F40" s="248">
        <f t="shared" si="1"/>
        <v>0</v>
      </c>
      <c r="G40" s="249">
        <v>0</v>
      </c>
      <c r="H40" s="248">
        <f t="shared" si="2"/>
        <v>0</v>
      </c>
      <c r="I40" s="250">
        <f t="shared" si="3"/>
        <v>0</v>
      </c>
      <c r="J40" s="388" t="s">
        <v>72</v>
      </c>
    </row>
    <row r="41" spans="1:10" s="325" customFormat="1" ht="20.45" customHeight="1">
      <c r="A41" s="347"/>
      <c r="B41" s="346" t="s">
        <v>435</v>
      </c>
      <c r="C41" s="251">
        <f>ROUND(C42*0.912,0)</f>
        <v>70</v>
      </c>
      <c r="D41" s="243" t="s">
        <v>436</v>
      </c>
      <c r="E41" s="247">
        <v>0</v>
      </c>
      <c r="F41" s="248">
        <f t="shared" si="1"/>
        <v>0</v>
      </c>
      <c r="G41" s="249">
        <v>0</v>
      </c>
      <c r="H41" s="248">
        <f t="shared" si="2"/>
        <v>0</v>
      </c>
      <c r="I41" s="250">
        <f t="shared" si="3"/>
        <v>0</v>
      </c>
      <c r="J41" s="388" t="s">
        <v>72</v>
      </c>
    </row>
    <row r="42" spans="1:10" s="325" customFormat="1" ht="20.45" customHeight="1">
      <c r="A42" s="347"/>
      <c r="B42" s="346" t="s">
        <v>437</v>
      </c>
      <c r="C42" s="251">
        <f>41+36</f>
        <v>77</v>
      </c>
      <c r="D42" s="243" t="s">
        <v>10</v>
      </c>
      <c r="E42" s="247">
        <v>0</v>
      </c>
      <c r="F42" s="248">
        <f t="shared" si="1"/>
        <v>0</v>
      </c>
      <c r="G42" s="249">
        <v>0</v>
      </c>
      <c r="H42" s="248">
        <f t="shared" si="2"/>
        <v>0</v>
      </c>
      <c r="I42" s="250">
        <f t="shared" si="3"/>
        <v>0</v>
      </c>
      <c r="J42" s="388" t="s">
        <v>72</v>
      </c>
    </row>
    <row r="43" spans="1:10" s="325" customFormat="1" ht="20.45" customHeight="1">
      <c r="A43" s="347"/>
      <c r="B43" s="346" t="s">
        <v>438</v>
      </c>
      <c r="C43" s="251">
        <f>ROUND(0.25*C42,0)</f>
        <v>19</v>
      </c>
      <c r="D43" s="243" t="s">
        <v>125</v>
      </c>
      <c r="E43" s="247">
        <v>0</v>
      </c>
      <c r="F43" s="248">
        <f t="shared" si="1"/>
        <v>0</v>
      </c>
      <c r="G43" s="249">
        <v>0</v>
      </c>
      <c r="H43" s="248">
        <f t="shared" si="2"/>
        <v>0</v>
      </c>
      <c r="I43" s="250">
        <f t="shared" si="3"/>
        <v>0</v>
      </c>
      <c r="J43" s="388" t="s">
        <v>72</v>
      </c>
    </row>
    <row r="44" spans="1:10" s="325" customFormat="1" ht="20.45" customHeight="1">
      <c r="A44" s="347">
        <v>2.2000000000000002</v>
      </c>
      <c r="B44" s="246" t="s">
        <v>439</v>
      </c>
      <c r="C44" s="242"/>
      <c r="D44" s="245"/>
      <c r="E44" s="247">
        <v>0</v>
      </c>
      <c r="F44" s="253"/>
      <c r="G44" s="249">
        <v>0</v>
      </c>
      <c r="H44" s="253"/>
      <c r="I44" s="253"/>
      <c r="J44" s="340"/>
    </row>
    <row r="45" spans="1:10" s="325" customFormat="1" ht="20.45" customHeight="1">
      <c r="A45" s="347"/>
      <c r="B45" s="346" t="s">
        <v>428</v>
      </c>
      <c r="C45" s="247">
        <v>23</v>
      </c>
      <c r="D45" s="345" t="s">
        <v>9</v>
      </c>
      <c r="E45" s="247">
        <v>0</v>
      </c>
      <c r="F45" s="248">
        <f t="shared" ref="F45:F52" si="4">C45*E45</f>
        <v>0</v>
      </c>
      <c r="G45" s="249">
        <v>0</v>
      </c>
      <c r="H45" s="248">
        <f t="shared" ref="H45:H52" si="5">C45*G45</f>
        <v>0</v>
      </c>
      <c r="I45" s="250">
        <f t="shared" ref="I45:I52" si="6">F45+H45</f>
        <v>0</v>
      </c>
      <c r="J45" s="388" t="s">
        <v>72</v>
      </c>
    </row>
    <row r="46" spans="1:10" s="325" customFormat="1" ht="20.45" customHeight="1">
      <c r="A46" s="347"/>
      <c r="B46" s="346" t="s">
        <v>429</v>
      </c>
      <c r="C46" s="247"/>
      <c r="D46" s="345"/>
      <c r="E46" s="247">
        <v>0</v>
      </c>
      <c r="F46" s="248">
        <f t="shared" si="4"/>
        <v>0</v>
      </c>
      <c r="G46" s="249">
        <v>0</v>
      </c>
      <c r="H46" s="248">
        <f t="shared" si="5"/>
        <v>0</v>
      </c>
      <c r="I46" s="250">
        <f t="shared" si="6"/>
        <v>0</v>
      </c>
      <c r="J46" s="388"/>
    </row>
    <row r="47" spans="1:10" s="325" customFormat="1" ht="20.45" customHeight="1">
      <c r="A47" s="347"/>
      <c r="B47" s="346" t="s">
        <v>430</v>
      </c>
      <c r="C47" s="247">
        <f>3200*1.07*0.499</f>
        <v>1708.58</v>
      </c>
      <c r="D47" s="345" t="s">
        <v>125</v>
      </c>
      <c r="E47" s="247">
        <v>0</v>
      </c>
      <c r="F47" s="248">
        <f t="shared" si="4"/>
        <v>0</v>
      </c>
      <c r="G47" s="249">
        <v>0</v>
      </c>
      <c r="H47" s="248">
        <f t="shared" si="5"/>
        <v>0</v>
      </c>
      <c r="I47" s="250">
        <f t="shared" si="6"/>
        <v>0</v>
      </c>
      <c r="J47" s="388" t="s">
        <v>72</v>
      </c>
    </row>
    <row r="48" spans="1:10" s="325" customFormat="1" ht="20.45" customHeight="1">
      <c r="A48" s="347"/>
      <c r="B48" s="346" t="s">
        <v>432</v>
      </c>
      <c r="C48" s="247">
        <f>(1824)*1.11*1.578</f>
        <v>3194.88</v>
      </c>
      <c r="D48" s="345" t="s">
        <v>125</v>
      </c>
      <c r="E48" s="247">
        <v>0</v>
      </c>
      <c r="F48" s="248">
        <f t="shared" si="4"/>
        <v>0</v>
      </c>
      <c r="G48" s="249">
        <v>0</v>
      </c>
      <c r="H48" s="248">
        <f t="shared" si="5"/>
        <v>0</v>
      </c>
      <c r="I48" s="250">
        <f t="shared" si="6"/>
        <v>0</v>
      </c>
      <c r="J48" s="388" t="s">
        <v>72</v>
      </c>
    </row>
    <row r="49" spans="1:10" s="325" customFormat="1" ht="20.45" customHeight="1">
      <c r="A49" s="347"/>
      <c r="B49" s="346" t="s">
        <v>434</v>
      </c>
      <c r="C49" s="247">
        <f>(SUM(C47:C48)/1000)*30</f>
        <v>147.1</v>
      </c>
      <c r="D49" s="345" t="s">
        <v>125</v>
      </c>
      <c r="E49" s="247">
        <v>0</v>
      </c>
      <c r="F49" s="248">
        <f t="shared" si="4"/>
        <v>0</v>
      </c>
      <c r="G49" s="249">
        <v>0</v>
      </c>
      <c r="H49" s="248">
        <f t="shared" si="5"/>
        <v>0</v>
      </c>
      <c r="I49" s="250">
        <f t="shared" si="6"/>
        <v>0</v>
      </c>
      <c r="J49" s="388" t="s">
        <v>72</v>
      </c>
    </row>
    <row r="50" spans="1:10" s="325" customFormat="1" ht="20.45" customHeight="1">
      <c r="A50" s="347"/>
      <c r="B50" s="346" t="s">
        <v>435</v>
      </c>
      <c r="C50" s="251">
        <f>ROUND(C51*0.912,0)</f>
        <v>250</v>
      </c>
      <c r="D50" s="243" t="s">
        <v>436</v>
      </c>
      <c r="E50" s="247">
        <v>0</v>
      </c>
      <c r="F50" s="248">
        <f t="shared" si="4"/>
        <v>0</v>
      </c>
      <c r="G50" s="249">
        <v>0</v>
      </c>
      <c r="H50" s="248">
        <f t="shared" si="5"/>
        <v>0</v>
      </c>
      <c r="I50" s="250">
        <f t="shared" si="6"/>
        <v>0</v>
      </c>
      <c r="J50" s="388" t="s">
        <v>72</v>
      </c>
    </row>
    <row r="51" spans="1:10" s="325" customFormat="1" ht="20.45" customHeight="1">
      <c r="A51" s="347"/>
      <c r="B51" s="346" t="s">
        <v>437</v>
      </c>
      <c r="C51" s="251">
        <v>274</v>
      </c>
      <c r="D51" s="243" t="s">
        <v>10</v>
      </c>
      <c r="E51" s="247">
        <v>0</v>
      </c>
      <c r="F51" s="248">
        <f t="shared" si="4"/>
        <v>0</v>
      </c>
      <c r="G51" s="249">
        <v>0</v>
      </c>
      <c r="H51" s="248">
        <f t="shared" si="5"/>
        <v>0</v>
      </c>
      <c r="I51" s="250">
        <f t="shared" si="6"/>
        <v>0</v>
      </c>
      <c r="J51" s="388" t="s">
        <v>72</v>
      </c>
    </row>
    <row r="52" spans="1:10" s="325" customFormat="1" ht="20.45" customHeight="1">
      <c r="A52" s="347"/>
      <c r="B52" s="346" t="s">
        <v>438</v>
      </c>
      <c r="C52" s="251">
        <f>ROUND(0.25*C51,0)</f>
        <v>69</v>
      </c>
      <c r="D52" s="243" t="s">
        <v>125</v>
      </c>
      <c r="E52" s="247">
        <v>0</v>
      </c>
      <c r="F52" s="248">
        <f t="shared" si="4"/>
        <v>0</v>
      </c>
      <c r="G52" s="249">
        <v>0</v>
      </c>
      <c r="H52" s="248">
        <f t="shared" si="5"/>
        <v>0</v>
      </c>
      <c r="I52" s="250">
        <f t="shared" si="6"/>
        <v>0</v>
      </c>
      <c r="J52" s="388" t="s">
        <v>72</v>
      </c>
    </row>
    <row r="53" spans="1:10" s="325" customFormat="1" ht="20.45" customHeight="1">
      <c r="A53" s="347">
        <v>2.2999999999999998</v>
      </c>
      <c r="B53" s="246" t="s">
        <v>440</v>
      </c>
      <c r="C53" s="242"/>
      <c r="D53" s="245"/>
      <c r="E53" s="247">
        <v>0</v>
      </c>
      <c r="F53" s="253"/>
      <c r="G53" s="249">
        <v>0</v>
      </c>
      <c r="H53" s="253"/>
      <c r="I53" s="253"/>
      <c r="J53" s="340"/>
    </row>
    <row r="54" spans="1:10" s="325" customFormat="1" ht="20.45" customHeight="1">
      <c r="A54" s="347"/>
      <c r="B54" s="346" t="s">
        <v>426</v>
      </c>
      <c r="C54" s="247">
        <f>5+5+2+5+10</f>
        <v>27</v>
      </c>
      <c r="D54" s="345" t="s">
        <v>9</v>
      </c>
      <c r="E54" s="247">
        <v>0</v>
      </c>
      <c r="F54" s="248">
        <f t="shared" ref="F54:F70" si="7">C54*E54</f>
        <v>0</v>
      </c>
      <c r="G54" s="249">
        <v>0</v>
      </c>
      <c r="H54" s="248">
        <f t="shared" ref="H54:H70" si="8">C54*G54</f>
        <v>0</v>
      </c>
      <c r="I54" s="250">
        <f t="shared" ref="I54:I70" si="9">F54+H54</f>
        <v>0</v>
      </c>
      <c r="J54" s="388" t="s">
        <v>72</v>
      </c>
    </row>
    <row r="55" spans="1:10" s="325" customFormat="1" ht="20.45" customHeight="1">
      <c r="A55" s="347"/>
      <c r="B55" s="346" t="s">
        <v>427</v>
      </c>
      <c r="C55" s="247">
        <f>2.5+2.5+1+2.5</f>
        <v>8.5</v>
      </c>
      <c r="D55" s="345" t="s">
        <v>9</v>
      </c>
      <c r="E55" s="247">
        <v>0</v>
      </c>
      <c r="F55" s="248">
        <f t="shared" si="7"/>
        <v>0</v>
      </c>
      <c r="G55" s="249">
        <v>0</v>
      </c>
      <c r="H55" s="248">
        <f t="shared" si="8"/>
        <v>0</v>
      </c>
      <c r="I55" s="250">
        <f t="shared" si="9"/>
        <v>0</v>
      </c>
      <c r="J55" s="388" t="s">
        <v>72</v>
      </c>
    </row>
    <row r="56" spans="1:10" s="325" customFormat="1" ht="20.45" customHeight="1">
      <c r="A56" s="347"/>
      <c r="B56" s="346" t="s">
        <v>428</v>
      </c>
      <c r="C56" s="247">
        <f>(9.5+9.5+12+6+24)</f>
        <v>61</v>
      </c>
      <c r="D56" s="345" t="s">
        <v>9</v>
      </c>
      <c r="E56" s="247">
        <v>0</v>
      </c>
      <c r="F56" s="248">
        <f t="shared" si="7"/>
        <v>0</v>
      </c>
      <c r="G56" s="249">
        <v>0</v>
      </c>
      <c r="H56" s="248">
        <f t="shared" si="8"/>
        <v>0</v>
      </c>
      <c r="I56" s="250">
        <f t="shared" si="9"/>
        <v>0</v>
      </c>
      <c r="J56" s="388" t="s">
        <v>72</v>
      </c>
    </row>
    <row r="57" spans="1:10" s="325" customFormat="1" ht="20.45" customHeight="1">
      <c r="A57" s="347"/>
      <c r="B57" s="346" t="s">
        <v>429</v>
      </c>
      <c r="C57" s="247"/>
      <c r="D57" s="345"/>
      <c r="E57" s="247">
        <v>0</v>
      </c>
      <c r="F57" s="248">
        <f t="shared" si="7"/>
        <v>0</v>
      </c>
      <c r="G57" s="249">
        <v>0</v>
      </c>
      <c r="H57" s="248">
        <f t="shared" si="8"/>
        <v>0</v>
      </c>
      <c r="I57" s="250">
        <f t="shared" si="9"/>
        <v>0</v>
      </c>
      <c r="J57" s="340"/>
    </row>
    <row r="58" spans="1:10" s="325" customFormat="1" ht="20.45" customHeight="1">
      <c r="A58" s="347"/>
      <c r="B58" s="346" t="s">
        <v>430</v>
      </c>
      <c r="C58" s="247">
        <f>(950+1135+635+2720)*1.07*0.499</f>
        <v>2904.58</v>
      </c>
      <c r="D58" s="345" t="s">
        <v>125</v>
      </c>
      <c r="E58" s="247">
        <v>0</v>
      </c>
      <c r="F58" s="248">
        <f t="shared" si="7"/>
        <v>0</v>
      </c>
      <c r="G58" s="249">
        <v>0</v>
      </c>
      <c r="H58" s="248">
        <f t="shared" si="8"/>
        <v>0</v>
      </c>
      <c r="I58" s="250">
        <f t="shared" si="9"/>
        <v>0</v>
      </c>
      <c r="J58" s="388" t="s">
        <v>72</v>
      </c>
    </row>
    <row r="59" spans="1:10" s="325" customFormat="1" ht="20.45" customHeight="1">
      <c r="A59" s="347"/>
      <c r="B59" s="346" t="s">
        <v>431</v>
      </c>
      <c r="C59" s="247">
        <f>(1045)*1.09*0.888</f>
        <v>1011.48</v>
      </c>
      <c r="D59" s="345" t="s">
        <v>125</v>
      </c>
      <c r="E59" s="247">
        <v>0</v>
      </c>
      <c r="F59" s="248">
        <f t="shared" si="7"/>
        <v>0</v>
      </c>
      <c r="G59" s="249">
        <v>0</v>
      </c>
      <c r="H59" s="248">
        <f t="shared" si="8"/>
        <v>0</v>
      </c>
      <c r="I59" s="250">
        <f t="shared" si="9"/>
        <v>0</v>
      </c>
      <c r="J59" s="388" t="s">
        <v>72</v>
      </c>
    </row>
    <row r="60" spans="1:10" s="325" customFormat="1" ht="20.45" customHeight="1">
      <c r="A60" s="347"/>
      <c r="B60" s="346" t="s">
        <v>432</v>
      </c>
      <c r="C60" s="247">
        <f>(760+800+345)*1.11*1.578</f>
        <v>3336.76</v>
      </c>
      <c r="D60" s="345" t="s">
        <v>125</v>
      </c>
      <c r="E60" s="247">
        <v>0</v>
      </c>
      <c r="F60" s="248">
        <f t="shared" si="7"/>
        <v>0</v>
      </c>
      <c r="G60" s="249">
        <v>0</v>
      </c>
      <c r="H60" s="248">
        <f t="shared" si="8"/>
        <v>0</v>
      </c>
      <c r="I60" s="250">
        <f t="shared" si="9"/>
        <v>0</v>
      </c>
      <c r="J60" s="388" t="s">
        <v>72</v>
      </c>
    </row>
    <row r="61" spans="1:10" s="325" customFormat="1" ht="20.45" customHeight="1">
      <c r="A61" s="347"/>
      <c r="B61" s="346" t="s">
        <v>433</v>
      </c>
      <c r="C61" s="247">
        <f>(1550)*1.13*2.466</f>
        <v>4319.2</v>
      </c>
      <c r="D61" s="345" t="s">
        <v>125</v>
      </c>
      <c r="E61" s="247">
        <v>0</v>
      </c>
      <c r="F61" s="248">
        <f t="shared" si="7"/>
        <v>0</v>
      </c>
      <c r="G61" s="249">
        <v>0</v>
      </c>
      <c r="H61" s="248">
        <f t="shared" si="8"/>
        <v>0</v>
      </c>
      <c r="I61" s="250">
        <f t="shared" si="9"/>
        <v>0</v>
      </c>
      <c r="J61" s="388" t="s">
        <v>72</v>
      </c>
    </row>
    <row r="62" spans="1:10" s="325" customFormat="1" ht="20.45" customHeight="1">
      <c r="A62" s="347"/>
      <c r="B62" s="346" t="s">
        <v>434</v>
      </c>
      <c r="C62" s="247">
        <f>(SUM(C58:C61)/1000)*30</f>
        <v>347.16</v>
      </c>
      <c r="D62" s="345" t="s">
        <v>125</v>
      </c>
      <c r="E62" s="247">
        <v>0</v>
      </c>
      <c r="F62" s="248">
        <f t="shared" si="7"/>
        <v>0</v>
      </c>
      <c r="G62" s="249">
        <v>0</v>
      </c>
      <c r="H62" s="248">
        <f t="shared" si="8"/>
        <v>0</v>
      </c>
      <c r="I62" s="250">
        <f t="shared" si="9"/>
        <v>0</v>
      </c>
      <c r="J62" s="388" t="s">
        <v>72</v>
      </c>
    </row>
    <row r="63" spans="1:10" s="325" customFormat="1" ht="20.45" customHeight="1">
      <c r="A63" s="347"/>
      <c r="B63" s="346" t="s">
        <v>435</v>
      </c>
      <c r="C63" s="251">
        <f>ROUND(C64*0.912,0)</f>
        <v>362</v>
      </c>
      <c r="D63" s="243" t="s">
        <v>436</v>
      </c>
      <c r="E63" s="247">
        <v>0</v>
      </c>
      <c r="F63" s="248">
        <f t="shared" si="7"/>
        <v>0</v>
      </c>
      <c r="G63" s="249">
        <v>0</v>
      </c>
      <c r="H63" s="248">
        <f t="shared" si="8"/>
        <v>0</v>
      </c>
      <c r="I63" s="250">
        <f t="shared" si="9"/>
        <v>0</v>
      </c>
      <c r="J63" s="388" t="s">
        <v>72</v>
      </c>
    </row>
    <row r="64" spans="1:10" s="325" customFormat="1" ht="20.45" customHeight="1">
      <c r="A64" s="347"/>
      <c r="B64" s="346" t="s">
        <v>437</v>
      </c>
      <c r="C64" s="251">
        <f>95+120+46+136</f>
        <v>397</v>
      </c>
      <c r="D64" s="243" t="s">
        <v>10</v>
      </c>
      <c r="E64" s="247">
        <v>0</v>
      </c>
      <c r="F64" s="248">
        <f t="shared" si="7"/>
        <v>0</v>
      </c>
      <c r="G64" s="249">
        <v>0</v>
      </c>
      <c r="H64" s="248">
        <f t="shared" si="8"/>
        <v>0</v>
      </c>
      <c r="I64" s="250">
        <f t="shared" si="9"/>
        <v>0</v>
      </c>
      <c r="J64" s="388" t="s">
        <v>72</v>
      </c>
    </row>
    <row r="65" spans="1:10" s="325" customFormat="1" ht="20.45" customHeight="1">
      <c r="A65" s="347"/>
      <c r="B65" s="346" t="s">
        <v>438</v>
      </c>
      <c r="C65" s="251">
        <f>ROUND(0.25*C64,0)</f>
        <v>99</v>
      </c>
      <c r="D65" s="243" t="s">
        <v>125</v>
      </c>
      <c r="E65" s="247">
        <v>0</v>
      </c>
      <c r="F65" s="248">
        <f t="shared" si="7"/>
        <v>0</v>
      </c>
      <c r="G65" s="249">
        <v>0</v>
      </c>
      <c r="H65" s="248">
        <f t="shared" si="8"/>
        <v>0</v>
      </c>
      <c r="I65" s="250">
        <f t="shared" si="9"/>
        <v>0</v>
      </c>
      <c r="J65" s="388" t="s">
        <v>72</v>
      </c>
    </row>
    <row r="66" spans="1:10" s="325" customFormat="1" ht="20.45" customHeight="1">
      <c r="A66" s="347"/>
      <c r="B66" s="348" t="s">
        <v>441</v>
      </c>
      <c r="C66" s="251">
        <v>95</v>
      </c>
      <c r="D66" s="243" t="s">
        <v>10</v>
      </c>
      <c r="E66" s="247">
        <v>0</v>
      </c>
      <c r="F66" s="248">
        <f t="shared" si="7"/>
        <v>0</v>
      </c>
      <c r="G66" s="249">
        <v>0</v>
      </c>
      <c r="H66" s="248">
        <f t="shared" si="8"/>
        <v>0</v>
      </c>
      <c r="I66" s="250">
        <f t="shared" si="9"/>
        <v>0</v>
      </c>
      <c r="J66" s="388" t="s">
        <v>72</v>
      </c>
    </row>
    <row r="67" spans="1:10" s="325" customFormat="1" ht="20.45" customHeight="1">
      <c r="A67" s="347"/>
      <c r="B67" s="348" t="s">
        <v>442</v>
      </c>
      <c r="C67" s="251">
        <v>252</v>
      </c>
      <c r="D67" s="243" t="s">
        <v>10</v>
      </c>
      <c r="E67" s="247">
        <v>0</v>
      </c>
      <c r="F67" s="248">
        <f t="shared" si="7"/>
        <v>0</v>
      </c>
      <c r="G67" s="249">
        <v>0</v>
      </c>
      <c r="H67" s="248">
        <f t="shared" si="8"/>
        <v>0</v>
      </c>
      <c r="I67" s="250">
        <f t="shared" si="9"/>
        <v>0</v>
      </c>
      <c r="J67" s="388" t="s">
        <v>72</v>
      </c>
    </row>
    <row r="68" spans="1:10" s="325" customFormat="1" ht="20.45" customHeight="1">
      <c r="A68" s="347"/>
      <c r="B68" s="346" t="s">
        <v>430</v>
      </c>
      <c r="C68" s="247">
        <f>1320*1.07*0.499</f>
        <v>704.79</v>
      </c>
      <c r="D68" s="345" t="s">
        <v>125</v>
      </c>
      <c r="E68" s="247">
        <v>0</v>
      </c>
      <c r="F68" s="248">
        <f t="shared" si="7"/>
        <v>0</v>
      </c>
      <c r="G68" s="249">
        <v>0</v>
      </c>
      <c r="H68" s="248">
        <f t="shared" si="8"/>
        <v>0</v>
      </c>
      <c r="I68" s="250">
        <f t="shared" si="9"/>
        <v>0</v>
      </c>
      <c r="J68" s="388" t="s">
        <v>72</v>
      </c>
    </row>
    <row r="69" spans="1:10" s="325" customFormat="1" ht="20.45" customHeight="1">
      <c r="A69" s="347"/>
      <c r="B69" s="348" t="s">
        <v>443</v>
      </c>
      <c r="C69" s="251">
        <f>C67</f>
        <v>252</v>
      </c>
      <c r="D69" s="243" t="s">
        <v>10</v>
      </c>
      <c r="E69" s="247">
        <v>0</v>
      </c>
      <c r="F69" s="248">
        <f t="shared" si="7"/>
        <v>0</v>
      </c>
      <c r="G69" s="249">
        <v>0</v>
      </c>
      <c r="H69" s="248">
        <f t="shared" si="8"/>
        <v>0</v>
      </c>
      <c r="I69" s="250">
        <f t="shared" si="9"/>
        <v>0</v>
      </c>
      <c r="J69" s="388" t="s">
        <v>72</v>
      </c>
    </row>
    <row r="70" spans="1:10" s="325" customFormat="1" ht="20.45" customHeight="1">
      <c r="A70" s="347"/>
      <c r="B70" s="348" t="s">
        <v>444</v>
      </c>
      <c r="C70" s="247">
        <v>15</v>
      </c>
      <c r="D70" s="345" t="s">
        <v>9</v>
      </c>
      <c r="E70" s="247">
        <v>0</v>
      </c>
      <c r="F70" s="248">
        <f t="shared" si="7"/>
        <v>0</v>
      </c>
      <c r="G70" s="249">
        <v>0</v>
      </c>
      <c r="H70" s="248">
        <f t="shared" si="8"/>
        <v>0</v>
      </c>
      <c r="I70" s="250">
        <f t="shared" si="9"/>
        <v>0</v>
      </c>
      <c r="J70" s="388" t="s">
        <v>72</v>
      </c>
    </row>
    <row r="71" spans="1:10" s="325" customFormat="1" ht="20.45" customHeight="1">
      <c r="A71" s="347">
        <v>2.4</v>
      </c>
      <c r="B71" s="246" t="s">
        <v>445</v>
      </c>
      <c r="C71" s="242"/>
      <c r="D71" s="245"/>
      <c r="E71" s="247">
        <v>0</v>
      </c>
      <c r="F71" s="253"/>
      <c r="G71" s="249">
        <v>0</v>
      </c>
      <c r="H71" s="253"/>
      <c r="I71" s="253"/>
      <c r="J71" s="340"/>
    </row>
    <row r="72" spans="1:10" s="325" customFormat="1" ht="20.45" customHeight="1">
      <c r="A72" s="347"/>
      <c r="B72" s="346" t="s">
        <v>428</v>
      </c>
      <c r="C72" s="247">
        <f>(2.5+6)*1.1</f>
        <v>9.35</v>
      </c>
      <c r="D72" s="345" t="s">
        <v>9</v>
      </c>
      <c r="E72" s="247">
        <v>0</v>
      </c>
      <c r="F72" s="248">
        <f t="shared" ref="F72:F79" si="10">C72*E72</f>
        <v>0</v>
      </c>
      <c r="G72" s="249">
        <v>0</v>
      </c>
      <c r="H72" s="248">
        <f t="shared" ref="H72:H79" si="11">C72*G72</f>
        <v>0</v>
      </c>
      <c r="I72" s="250">
        <f t="shared" ref="I72:I79" si="12">F72+H72</f>
        <v>0</v>
      </c>
      <c r="J72" s="388" t="s">
        <v>72</v>
      </c>
    </row>
    <row r="73" spans="1:10" s="325" customFormat="1" ht="20.45" customHeight="1">
      <c r="A73" s="347"/>
      <c r="B73" s="346" t="s">
        <v>429</v>
      </c>
      <c r="C73" s="247"/>
      <c r="D73" s="345"/>
      <c r="E73" s="247">
        <v>0</v>
      </c>
      <c r="F73" s="248">
        <f t="shared" si="10"/>
        <v>0</v>
      </c>
      <c r="G73" s="249">
        <v>0</v>
      </c>
      <c r="H73" s="248">
        <f t="shared" si="11"/>
        <v>0</v>
      </c>
      <c r="I73" s="250">
        <f t="shared" si="12"/>
        <v>0</v>
      </c>
      <c r="J73" s="340"/>
    </row>
    <row r="74" spans="1:10" s="325" customFormat="1" ht="20.45" customHeight="1">
      <c r="A74" s="347"/>
      <c r="B74" s="346" t="s">
        <v>430</v>
      </c>
      <c r="C74" s="247">
        <f>(410+1280)*1.07*0.499</f>
        <v>902.34</v>
      </c>
      <c r="D74" s="345" t="s">
        <v>125</v>
      </c>
      <c r="E74" s="247">
        <v>0</v>
      </c>
      <c r="F74" s="248">
        <f t="shared" si="10"/>
        <v>0</v>
      </c>
      <c r="G74" s="249">
        <v>0</v>
      </c>
      <c r="H74" s="248">
        <f t="shared" si="11"/>
        <v>0</v>
      </c>
      <c r="I74" s="250">
        <f t="shared" si="12"/>
        <v>0</v>
      </c>
      <c r="J74" s="388" t="s">
        <v>72</v>
      </c>
    </row>
    <row r="75" spans="1:10" s="325" customFormat="1" ht="20.45" customHeight="1">
      <c r="A75" s="347"/>
      <c r="B75" s="346" t="s">
        <v>432</v>
      </c>
      <c r="C75" s="247">
        <f>(256+960)*1.11*1.578</f>
        <v>2129.92</v>
      </c>
      <c r="D75" s="345" t="s">
        <v>125</v>
      </c>
      <c r="E75" s="247">
        <v>0</v>
      </c>
      <c r="F75" s="248">
        <f t="shared" si="10"/>
        <v>0</v>
      </c>
      <c r="G75" s="249">
        <v>0</v>
      </c>
      <c r="H75" s="248">
        <f t="shared" si="11"/>
        <v>0</v>
      </c>
      <c r="I75" s="250">
        <f t="shared" si="12"/>
        <v>0</v>
      </c>
      <c r="J75" s="388" t="s">
        <v>72</v>
      </c>
    </row>
    <row r="76" spans="1:10" s="325" customFormat="1" ht="20.45" customHeight="1">
      <c r="A76" s="347"/>
      <c r="B76" s="346" t="s">
        <v>434</v>
      </c>
      <c r="C76" s="247">
        <f>(SUM(C74:C75)/1000)*30</f>
        <v>90.97</v>
      </c>
      <c r="D76" s="345" t="s">
        <v>125</v>
      </c>
      <c r="E76" s="247">
        <v>0</v>
      </c>
      <c r="F76" s="248">
        <f t="shared" si="10"/>
        <v>0</v>
      </c>
      <c r="G76" s="249">
        <v>0</v>
      </c>
      <c r="H76" s="248">
        <f t="shared" si="11"/>
        <v>0</v>
      </c>
      <c r="I76" s="250">
        <f t="shared" si="12"/>
        <v>0</v>
      </c>
      <c r="J76" s="388" t="s">
        <v>72</v>
      </c>
    </row>
    <row r="77" spans="1:10" s="325" customFormat="1" ht="20.45" customHeight="1">
      <c r="A77" s="347"/>
      <c r="B77" s="346" t="s">
        <v>435</v>
      </c>
      <c r="C77" s="251">
        <f>ROUND(C78*0.912,0)</f>
        <v>98</v>
      </c>
      <c r="D77" s="243" t="s">
        <v>436</v>
      </c>
      <c r="E77" s="247">
        <v>0</v>
      </c>
      <c r="F77" s="248">
        <f t="shared" si="10"/>
        <v>0</v>
      </c>
      <c r="G77" s="249">
        <v>0</v>
      </c>
      <c r="H77" s="248">
        <f t="shared" si="11"/>
        <v>0</v>
      </c>
      <c r="I77" s="250">
        <f t="shared" si="12"/>
        <v>0</v>
      </c>
      <c r="J77" s="388" t="s">
        <v>72</v>
      </c>
    </row>
    <row r="78" spans="1:10" s="325" customFormat="1" ht="20.45" customHeight="1">
      <c r="A78" s="347"/>
      <c r="B78" s="346" t="s">
        <v>437</v>
      </c>
      <c r="C78" s="251">
        <f>31+77</f>
        <v>108</v>
      </c>
      <c r="D78" s="243" t="s">
        <v>10</v>
      </c>
      <c r="E78" s="247">
        <v>0</v>
      </c>
      <c r="F78" s="248">
        <f t="shared" si="10"/>
        <v>0</v>
      </c>
      <c r="G78" s="249">
        <v>0</v>
      </c>
      <c r="H78" s="248">
        <f t="shared" si="11"/>
        <v>0</v>
      </c>
      <c r="I78" s="250">
        <f t="shared" si="12"/>
        <v>0</v>
      </c>
      <c r="J78" s="388" t="s">
        <v>72</v>
      </c>
    </row>
    <row r="79" spans="1:10" s="325" customFormat="1" ht="20.45" customHeight="1">
      <c r="A79" s="347"/>
      <c r="B79" s="346" t="s">
        <v>438</v>
      </c>
      <c r="C79" s="251">
        <f>ROUND(0.25*C78,0)</f>
        <v>27</v>
      </c>
      <c r="D79" s="243" t="s">
        <v>125</v>
      </c>
      <c r="E79" s="247">
        <v>0</v>
      </c>
      <c r="F79" s="248">
        <f t="shared" si="10"/>
        <v>0</v>
      </c>
      <c r="G79" s="249">
        <v>0</v>
      </c>
      <c r="H79" s="248">
        <f t="shared" si="11"/>
        <v>0</v>
      </c>
      <c r="I79" s="250">
        <f t="shared" si="12"/>
        <v>0</v>
      </c>
      <c r="J79" s="388" t="s">
        <v>72</v>
      </c>
    </row>
    <row r="80" spans="1:10" s="325" customFormat="1" ht="20.45" customHeight="1">
      <c r="A80" s="347">
        <v>2.5</v>
      </c>
      <c r="B80" s="246" t="s">
        <v>446</v>
      </c>
      <c r="C80" s="242"/>
      <c r="D80" s="245"/>
      <c r="E80" s="247">
        <v>0</v>
      </c>
      <c r="F80" s="253"/>
      <c r="G80" s="249">
        <v>0</v>
      </c>
      <c r="H80" s="253"/>
      <c r="I80" s="253"/>
      <c r="J80" s="340"/>
    </row>
    <row r="81" spans="1:10" s="325" customFormat="1" ht="20.45" customHeight="1">
      <c r="A81" s="347"/>
      <c r="B81" s="346" t="s">
        <v>428</v>
      </c>
      <c r="C81" s="247">
        <f>(1.5+10.5+3+6+9)*1.1</f>
        <v>33</v>
      </c>
      <c r="D81" s="345" t="s">
        <v>9</v>
      </c>
      <c r="E81" s="247">
        <v>0</v>
      </c>
      <c r="F81" s="248">
        <f t="shared" ref="F81:F94" si="13">C81*E81</f>
        <v>0</v>
      </c>
      <c r="G81" s="249">
        <v>0</v>
      </c>
      <c r="H81" s="248">
        <f t="shared" ref="H81:H94" si="14">C81*G81</f>
        <v>0</v>
      </c>
      <c r="I81" s="250">
        <f t="shared" ref="I81:I94" si="15">F81+H81</f>
        <v>0</v>
      </c>
      <c r="J81" s="388" t="s">
        <v>72</v>
      </c>
    </row>
    <row r="82" spans="1:10" s="325" customFormat="1" ht="20.45" customHeight="1">
      <c r="A82" s="347"/>
      <c r="B82" s="346" t="s">
        <v>429</v>
      </c>
      <c r="C82" s="247"/>
      <c r="D82" s="345"/>
      <c r="E82" s="247">
        <v>0</v>
      </c>
      <c r="F82" s="248">
        <f t="shared" si="13"/>
        <v>0</v>
      </c>
      <c r="G82" s="249">
        <v>0</v>
      </c>
      <c r="H82" s="248">
        <f t="shared" si="14"/>
        <v>0</v>
      </c>
      <c r="I82" s="250">
        <f t="shared" si="15"/>
        <v>0</v>
      </c>
      <c r="J82" s="340"/>
    </row>
    <row r="83" spans="1:10" s="325" customFormat="1" ht="20.45" customHeight="1">
      <c r="A83" s="347"/>
      <c r="B83" s="346" t="s">
        <v>430</v>
      </c>
      <c r="C83" s="247">
        <f>(66+1050+256+935+1120)*1.07*0.499</f>
        <v>1829.78</v>
      </c>
      <c r="D83" s="345" t="s">
        <v>125</v>
      </c>
      <c r="E83" s="247">
        <v>0</v>
      </c>
      <c r="F83" s="248">
        <f t="shared" si="13"/>
        <v>0</v>
      </c>
      <c r="G83" s="249">
        <v>0</v>
      </c>
      <c r="H83" s="248">
        <f t="shared" si="14"/>
        <v>0</v>
      </c>
      <c r="I83" s="250">
        <f t="shared" si="15"/>
        <v>0</v>
      </c>
      <c r="J83" s="388" t="s">
        <v>72</v>
      </c>
    </row>
    <row r="84" spans="1:10" s="325" customFormat="1" ht="20.45" customHeight="1">
      <c r="A84" s="347"/>
      <c r="B84" s="346" t="s">
        <v>431</v>
      </c>
      <c r="C84" s="247">
        <f>(160+80+80)*1.09*0.888</f>
        <v>309.73</v>
      </c>
      <c r="D84" s="345" t="s">
        <v>125</v>
      </c>
      <c r="E84" s="247">
        <v>0</v>
      </c>
      <c r="F84" s="248">
        <f t="shared" si="13"/>
        <v>0</v>
      </c>
      <c r="G84" s="249">
        <v>0</v>
      </c>
      <c r="H84" s="248">
        <f t="shared" si="14"/>
        <v>0</v>
      </c>
      <c r="I84" s="250">
        <f t="shared" si="15"/>
        <v>0</v>
      </c>
      <c r="J84" s="388" t="s">
        <v>72</v>
      </c>
    </row>
    <row r="85" spans="1:10" s="325" customFormat="1" ht="20.45" customHeight="1">
      <c r="A85" s="347"/>
      <c r="B85" s="346" t="s">
        <v>432</v>
      </c>
      <c r="C85" s="247">
        <f>(835+115+480)*1.11*1.578</f>
        <v>2504.7600000000002</v>
      </c>
      <c r="D85" s="345" t="s">
        <v>125</v>
      </c>
      <c r="E85" s="247">
        <v>0</v>
      </c>
      <c r="F85" s="248">
        <f t="shared" si="13"/>
        <v>0</v>
      </c>
      <c r="G85" s="249">
        <v>0</v>
      </c>
      <c r="H85" s="248">
        <f t="shared" si="14"/>
        <v>0</v>
      </c>
      <c r="I85" s="250">
        <f t="shared" si="15"/>
        <v>0</v>
      </c>
      <c r="J85" s="388" t="s">
        <v>72</v>
      </c>
    </row>
    <row r="86" spans="1:10" s="325" customFormat="1" ht="20.45" customHeight="1">
      <c r="A86" s="347"/>
      <c r="B86" s="346" t="s">
        <v>433</v>
      </c>
      <c r="C86" s="247">
        <f>(540)*1.13*2.466</f>
        <v>1504.75</v>
      </c>
      <c r="D86" s="345" t="s">
        <v>125</v>
      </c>
      <c r="E86" s="247">
        <v>0</v>
      </c>
      <c r="F86" s="248">
        <f t="shared" si="13"/>
        <v>0</v>
      </c>
      <c r="G86" s="249">
        <v>0</v>
      </c>
      <c r="H86" s="248">
        <f t="shared" si="14"/>
        <v>0</v>
      </c>
      <c r="I86" s="250">
        <f t="shared" si="15"/>
        <v>0</v>
      </c>
      <c r="J86" s="388" t="s">
        <v>72</v>
      </c>
    </row>
    <row r="87" spans="1:10" s="325" customFormat="1" ht="20.45" customHeight="1">
      <c r="A87" s="347"/>
      <c r="B87" s="346" t="s">
        <v>434</v>
      </c>
      <c r="C87" s="247">
        <f>(SUM(C83:C86)/1000)*30</f>
        <v>184.47</v>
      </c>
      <c r="D87" s="345" t="s">
        <v>125</v>
      </c>
      <c r="E87" s="247">
        <v>0</v>
      </c>
      <c r="F87" s="248">
        <f t="shared" si="13"/>
        <v>0</v>
      </c>
      <c r="G87" s="249">
        <v>0</v>
      </c>
      <c r="H87" s="248">
        <f t="shared" si="14"/>
        <v>0</v>
      </c>
      <c r="I87" s="250">
        <f t="shared" si="15"/>
        <v>0</v>
      </c>
      <c r="J87" s="388" t="s">
        <v>72</v>
      </c>
    </row>
    <row r="88" spans="1:10" s="325" customFormat="1" ht="20.45" customHeight="1">
      <c r="A88" s="347"/>
      <c r="B88" s="346" t="s">
        <v>435</v>
      </c>
      <c r="C88" s="251">
        <f>ROUND(C89*0.912,0)</f>
        <v>268</v>
      </c>
      <c r="D88" s="243" t="s">
        <v>436</v>
      </c>
      <c r="E88" s="247">
        <v>0</v>
      </c>
      <c r="F88" s="248">
        <f t="shared" si="13"/>
        <v>0</v>
      </c>
      <c r="G88" s="249">
        <v>0</v>
      </c>
      <c r="H88" s="248">
        <f t="shared" si="14"/>
        <v>0</v>
      </c>
      <c r="I88" s="250">
        <f t="shared" si="15"/>
        <v>0</v>
      </c>
      <c r="J88" s="388" t="s">
        <v>185</v>
      </c>
    </row>
    <row r="89" spans="1:10" s="325" customFormat="1" ht="20.45" customHeight="1">
      <c r="A89" s="347"/>
      <c r="B89" s="346" t="s">
        <v>437</v>
      </c>
      <c r="C89" s="251">
        <f>9+125+30+58+72</f>
        <v>294</v>
      </c>
      <c r="D89" s="243" t="s">
        <v>10</v>
      </c>
      <c r="E89" s="247">
        <v>0</v>
      </c>
      <c r="F89" s="248">
        <f t="shared" si="13"/>
        <v>0</v>
      </c>
      <c r="G89" s="249">
        <v>0</v>
      </c>
      <c r="H89" s="248">
        <f t="shared" si="14"/>
        <v>0</v>
      </c>
      <c r="I89" s="250">
        <f t="shared" si="15"/>
        <v>0</v>
      </c>
      <c r="J89" s="388" t="s">
        <v>185</v>
      </c>
    </row>
    <row r="90" spans="1:10" s="325" customFormat="1" ht="20.45" customHeight="1">
      <c r="A90" s="347"/>
      <c r="B90" s="346" t="s">
        <v>438</v>
      </c>
      <c r="C90" s="251">
        <f>ROUND(0.25*C89,0)</f>
        <v>74</v>
      </c>
      <c r="D90" s="243" t="s">
        <v>125</v>
      </c>
      <c r="E90" s="247">
        <v>0</v>
      </c>
      <c r="F90" s="248">
        <f t="shared" si="13"/>
        <v>0</v>
      </c>
      <c r="G90" s="249">
        <v>0</v>
      </c>
      <c r="H90" s="248">
        <f t="shared" si="14"/>
        <v>0</v>
      </c>
      <c r="I90" s="250">
        <f t="shared" si="15"/>
        <v>0</v>
      </c>
      <c r="J90" s="388" t="s">
        <v>72</v>
      </c>
    </row>
    <row r="91" spans="1:10" s="325" customFormat="1" ht="20.45" customHeight="1">
      <c r="A91" s="347"/>
      <c r="B91" s="348" t="s">
        <v>447</v>
      </c>
      <c r="C91" s="251">
        <v>253</v>
      </c>
      <c r="D91" s="243" t="s">
        <v>10</v>
      </c>
      <c r="E91" s="247">
        <v>0</v>
      </c>
      <c r="F91" s="248">
        <f t="shared" si="13"/>
        <v>0</v>
      </c>
      <c r="G91" s="249">
        <v>0</v>
      </c>
      <c r="H91" s="248">
        <f t="shared" si="14"/>
        <v>0</v>
      </c>
      <c r="I91" s="250">
        <f t="shared" si="15"/>
        <v>0</v>
      </c>
      <c r="J91" s="388" t="s">
        <v>72</v>
      </c>
    </row>
    <row r="92" spans="1:10" s="325" customFormat="1" ht="20.45" customHeight="1">
      <c r="A92" s="347"/>
      <c r="B92" s="346" t="s">
        <v>430</v>
      </c>
      <c r="C92" s="247">
        <f>1640*1.07*0.499</f>
        <v>875.65</v>
      </c>
      <c r="D92" s="345" t="s">
        <v>125</v>
      </c>
      <c r="E92" s="247">
        <v>0</v>
      </c>
      <c r="F92" s="248">
        <f t="shared" si="13"/>
        <v>0</v>
      </c>
      <c r="G92" s="249">
        <v>0</v>
      </c>
      <c r="H92" s="248">
        <f t="shared" si="14"/>
        <v>0</v>
      </c>
      <c r="I92" s="250">
        <f t="shared" si="15"/>
        <v>0</v>
      </c>
      <c r="J92" s="388" t="s">
        <v>72</v>
      </c>
    </row>
    <row r="93" spans="1:10" s="325" customFormat="1" ht="20.45" customHeight="1">
      <c r="A93" s="347"/>
      <c r="B93" s="348" t="s">
        <v>443</v>
      </c>
      <c r="C93" s="251">
        <v>253</v>
      </c>
      <c r="D93" s="243" t="s">
        <v>10</v>
      </c>
      <c r="E93" s="247">
        <v>0</v>
      </c>
      <c r="F93" s="248">
        <f t="shared" si="13"/>
        <v>0</v>
      </c>
      <c r="G93" s="249">
        <v>0</v>
      </c>
      <c r="H93" s="248">
        <f t="shared" si="14"/>
        <v>0</v>
      </c>
      <c r="I93" s="250">
        <f t="shared" si="15"/>
        <v>0</v>
      </c>
      <c r="J93" s="388" t="s">
        <v>72</v>
      </c>
    </row>
    <row r="94" spans="1:10" s="325" customFormat="1" ht="20.45" customHeight="1">
      <c r="A94" s="347"/>
      <c r="B94" s="348" t="s">
        <v>444</v>
      </c>
      <c r="C94" s="247">
        <v>15</v>
      </c>
      <c r="D94" s="345" t="s">
        <v>9</v>
      </c>
      <c r="E94" s="247">
        <v>0</v>
      </c>
      <c r="F94" s="248">
        <f t="shared" si="13"/>
        <v>0</v>
      </c>
      <c r="G94" s="249">
        <v>0</v>
      </c>
      <c r="H94" s="248">
        <f t="shared" si="14"/>
        <v>0</v>
      </c>
      <c r="I94" s="250">
        <f t="shared" si="15"/>
        <v>0</v>
      </c>
      <c r="J94" s="388" t="s">
        <v>72</v>
      </c>
    </row>
    <row r="95" spans="1:10" s="325" customFormat="1" ht="20.45" customHeight="1">
      <c r="A95" s="347">
        <v>2.6</v>
      </c>
      <c r="B95" s="246" t="s">
        <v>448</v>
      </c>
      <c r="C95" s="242"/>
      <c r="D95" s="245"/>
      <c r="E95" s="247">
        <v>0</v>
      </c>
      <c r="F95" s="253"/>
      <c r="G95" s="249">
        <v>0</v>
      </c>
      <c r="H95" s="253"/>
      <c r="I95" s="253"/>
      <c r="J95" s="340"/>
    </row>
    <row r="96" spans="1:10" s="325" customFormat="1" ht="20.45" customHeight="1">
      <c r="A96" s="374" t="s">
        <v>490</v>
      </c>
      <c r="B96" s="373" t="s">
        <v>449</v>
      </c>
      <c r="C96" s="247"/>
      <c r="D96" s="345"/>
      <c r="E96" s="247">
        <v>0</v>
      </c>
      <c r="F96" s="244"/>
      <c r="G96" s="249">
        <v>0</v>
      </c>
      <c r="H96" s="244"/>
      <c r="I96" s="244"/>
      <c r="J96" s="340"/>
    </row>
    <row r="97" spans="1:10" s="325" customFormat="1" ht="20.45" customHeight="1">
      <c r="A97" s="347"/>
      <c r="B97" s="346" t="s">
        <v>426</v>
      </c>
      <c r="C97" s="247">
        <f>44*0.1</f>
        <v>4.4000000000000004</v>
      </c>
      <c r="D97" s="345" t="s">
        <v>9</v>
      </c>
      <c r="E97" s="247">
        <v>0</v>
      </c>
      <c r="F97" s="248">
        <f>C97*E97</f>
        <v>0</v>
      </c>
      <c r="G97" s="249">
        <v>0</v>
      </c>
      <c r="H97" s="248">
        <f>C97*G97</f>
        <v>0</v>
      </c>
      <c r="I97" s="250">
        <f>F97+H97</f>
        <v>0</v>
      </c>
      <c r="J97" s="388" t="s">
        <v>72</v>
      </c>
    </row>
    <row r="98" spans="1:10" s="325" customFormat="1" ht="20.45" customHeight="1">
      <c r="A98" s="347"/>
      <c r="B98" s="346" t="s">
        <v>450</v>
      </c>
      <c r="C98" s="247">
        <f>44*0.3</f>
        <v>13.2</v>
      </c>
      <c r="D98" s="345" t="s">
        <v>9</v>
      </c>
      <c r="E98" s="247">
        <v>0</v>
      </c>
      <c r="F98" s="248">
        <f>C98*E98</f>
        <v>0</v>
      </c>
      <c r="G98" s="249">
        <v>0</v>
      </c>
      <c r="H98" s="248">
        <f>C98*G98</f>
        <v>0</v>
      </c>
      <c r="I98" s="250">
        <f>F98+H98</f>
        <v>0</v>
      </c>
      <c r="J98" s="388" t="s">
        <v>72</v>
      </c>
    </row>
    <row r="99" spans="1:10" s="325" customFormat="1" ht="20.45" customHeight="1">
      <c r="A99" s="347"/>
      <c r="B99" s="346" t="s">
        <v>428</v>
      </c>
      <c r="C99" s="247">
        <f>(44*0.1)*1.1</f>
        <v>4.84</v>
      </c>
      <c r="D99" s="345" t="s">
        <v>9</v>
      </c>
      <c r="E99" s="247">
        <v>0</v>
      </c>
      <c r="F99" s="248">
        <f>C99*E99</f>
        <v>0</v>
      </c>
      <c r="G99" s="249">
        <v>0</v>
      </c>
      <c r="H99" s="248">
        <f>C99*G99</f>
        <v>0</v>
      </c>
      <c r="I99" s="250">
        <f>F99+H99</f>
        <v>0</v>
      </c>
      <c r="J99" s="388" t="s">
        <v>72</v>
      </c>
    </row>
    <row r="100" spans="1:10" s="325" customFormat="1" ht="20.45" customHeight="1">
      <c r="A100" s="347"/>
      <c r="B100" s="348" t="s">
        <v>443</v>
      </c>
      <c r="C100" s="251">
        <v>44</v>
      </c>
      <c r="D100" s="243" t="s">
        <v>10</v>
      </c>
      <c r="E100" s="247">
        <v>0</v>
      </c>
      <c r="F100" s="248">
        <f>C100*E100</f>
        <v>0</v>
      </c>
      <c r="G100" s="249">
        <v>0</v>
      </c>
      <c r="H100" s="248">
        <f>C100*G100</f>
        <v>0</v>
      </c>
      <c r="I100" s="250">
        <f>F100+H100</f>
        <v>0</v>
      </c>
      <c r="J100" s="388" t="s">
        <v>72</v>
      </c>
    </row>
    <row r="101" spans="1:10" s="325" customFormat="1" ht="20.45" customHeight="1">
      <c r="A101" s="347"/>
      <c r="B101" s="348" t="s">
        <v>441</v>
      </c>
      <c r="C101" s="251">
        <v>44</v>
      </c>
      <c r="D101" s="243" t="s">
        <v>10</v>
      </c>
      <c r="E101" s="247">
        <v>0</v>
      </c>
      <c r="F101" s="248">
        <f>C101*E101</f>
        <v>0</v>
      </c>
      <c r="G101" s="249">
        <v>0</v>
      </c>
      <c r="H101" s="248">
        <f>C101*G101</f>
        <v>0</v>
      </c>
      <c r="I101" s="250">
        <f>F101+H101</f>
        <v>0</v>
      </c>
      <c r="J101" s="388" t="s">
        <v>72</v>
      </c>
    </row>
    <row r="102" spans="1:10" s="325" customFormat="1" ht="20.45" customHeight="1">
      <c r="A102" s="374" t="s">
        <v>491</v>
      </c>
      <c r="B102" s="373" t="s">
        <v>451</v>
      </c>
      <c r="C102" s="247"/>
      <c r="D102" s="345"/>
      <c r="E102" s="247">
        <v>0</v>
      </c>
      <c r="F102" s="244"/>
      <c r="G102" s="249">
        <v>0</v>
      </c>
      <c r="H102" s="244"/>
      <c r="I102" s="244"/>
      <c r="J102" s="340"/>
    </row>
    <row r="103" spans="1:10" s="325" customFormat="1" ht="20.45" customHeight="1">
      <c r="A103" s="347"/>
      <c r="B103" s="346" t="s">
        <v>428</v>
      </c>
      <c r="C103" s="247">
        <v>7</v>
      </c>
      <c r="D103" s="345" t="s">
        <v>9</v>
      </c>
      <c r="E103" s="247">
        <v>0</v>
      </c>
      <c r="F103" s="248">
        <f t="shared" ref="F103:F109" si="16">C103*E103</f>
        <v>0</v>
      </c>
      <c r="G103" s="249">
        <v>0</v>
      </c>
      <c r="H103" s="248">
        <f t="shared" ref="H103:H109" si="17">C103*G103</f>
        <v>0</v>
      </c>
      <c r="I103" s="250">
        <f t="shared" ref="I103:I109" si="18">F103+H103</f>
        <v>0</v>
      </c>
      <c r="J103" s="388" t="s">
        <v>72</v>
      </c>
    </row>
    <row r="104" spans="1:10" s="325" customFormat="1" ht="20.45" customHeight="1">
      <c r="A104" s="347"/>
      <c r="B104" s="346" t="s">
        <v>429</v>
      </c>
      <c r="C104" s="247"/>
      <c r="D104" s="345"/>
      <c r="E104" s="247">
        <v>0</v>
      </c>
      <c r="F104" s="248">
        <f t="shared" si="16"/>
        <v>0</v>
      </c>
      <c r="G104" s="249">
        <v>0</v>
      </c>
      <c r="H104" s="248">
        <f t="shared" si="17"/>
        <v>0</v>
      </c>
      <c r="I104" s="250">
        <f t="shared" si="18"/>
        <v>0</v>
      </c>
      <c r="J104" s="340"/>
    </row>
    <row r="105" spans="1:10" s="325" customFormat="1" ht="20.45" customHeight="1">
      <c r="A105" s="347"/>
      <c r="B105" s="346" t="s">
        <v>430</v>
      </c>
      <c r="C105" s="247">
        <f>(560+400)*1.07*0.499</f>
        <v>512.57000000000005</v>
      </c>
      <c r="D105" s="345" t="s">
        <v>125</v>
      </c>
      <c r="E105" s="247">
        <v>0</v>
      </c>
      <c r="F105" s="248">
        <f t="shared" si="16"/>
        <v>0</v>
      </c>
      <c r="G105" s="249">
        <v>0</v>
      </c>
      <c r="H105" s="248">
        <f t="shared" si="17"/>
        <v>0</v>
      </c>
      <c r="I105" s="250">
        <f t="shared" si="18"/>
        <v>0</v>
      </c>
      <c r="J105" s="388" t="s">
        <v>72</v>
      </c>
    </row>
    <row r="106" spans="1:10" s="325" customFormat="1" ht="20.45" customHeight="1">
      <c r="A106" s="347"/>
      <c r="B106" s="346" t="s">
        <v>434</v>
      </c>
      <c r="C106" s="247">
        <f>(SUM(C105)/1000)*30</f>
        <v>15.38</v>
      </c>
      <c r="D106" s="345" t="s">
        <v>125</v>
      </c>
      <c r="E106" s="247">
        <v>0</v>
      </c>
      <c r="F106" s="248">
        <f t="shared" si="16"/>
        <v>0</v>
      </c>
      <c r="G106" s="249">
        <v>0</v>
      </c>
      <c r="H106" s="248">
        <f t="shared" si="17"/>
        <v>0</v>
      </c>
      <c r="I106" s="250">
        <f t="shared" si="18"/>
        <v>0</v>
      </c>
      <c r="J106" s="388" t="s">
        <v>72</v>
      </c>
    </row>
    <row r="107" spans="1:10" s="325" customFormat="1" ht="20.45" customHeight="1">
      <c r="A107" s="347"/>
      <c r="B107" s="346" t="s">
        <v>435</v>
      </c>
      <c r="C107" s="251">
        <f>ROUND(C108*0.912,0)</f>
        <v>51</v>
      </c>
      <c r="D107" s="243" t="s">
        <v>436</v>
      </c>
      <c r="E107" s="247">
        <v>0</v>
      </c>
      <c r="F107" s="248">
        <f t="shared" si="16"/>
        <v>0</v>
      </c>
      <c r="G107" s="249">
        <v>0</v>
      </c>
      <c r="H107" s="248">
        <f t="shared" si="17"/>
        <v>0</v>
      </c>
      <c r="I107" s="250">
        <f t="shared" si="18"/>
        <v>0</v>
      </c>
      <c r="J107" s="388" t="s">
        <v>72</v>
      </c>
    </row>
    <row r="108" spans="1:10" s="325" customFormat="1" ht="20.45" customHeight="1">
      <c r="A108" s="347"/>
      <c r="B108" s="346" t="s">
        <v>437</v>
      </c>
      <c r="C108" s="251">
        <f>56</f>
        <v>56</v>
      </c>
      <c r="D108" s="243" t="s">
        <v>10</v>
      </c>
      <c r="E108" s="247">
        <v>0</v>
      </c>
      <c r="F108" s="248">
        <f t="shared" si="16"/>
        <v>0</v>
      </c>
      <c r="G108" s="249">
        <v>0</v>
      </c>
      <c r="H108" s="248">
        <f t="shared" si="17"/>
        <v>0</v>
      </c>
      <c r="I108" s="250">
        <f t="shared" si="18"/>
        <v>0</v>
      </c>
      <c r="J108" s="388" t="s">
        <v>72</v>
      </c>
    </row>
    <row r="109" spans="1:10" s="325" customFormat="1" ht="20.45" customHeight="1">
      <c r="A109" s="347"/>
      <c r="B109" s="346" t="s">
        <v>438</v>
      </c>
      <c r="C109" s="251">
        <f>ROUND(0.25*C108,0)</f>
        <v>14</v>
      </c>
      <c r="D109" s="243" t="s">
        <v>125</v>
      </c>
      <c r="E109" s="247">
        <v>0</v>
      </c>
      <c r="F109" s="248">
        <f t="shared" si="16"/>
        <v>0</v>
      </c>
      <c r="G109" s="249">
        <v>0</v>
      </c>
      <c r="H109" s="248">
        <f t="shared" si="17"/>
        <v>0</v>
      </c>
      <c r="I109" s="250">
        <f t="shared" si="18"/>
        <v>0</v>
      </c>
      <c r="J109" s="388" t="s">
        <v>72</v>
      </c>
    </row>
    <row r="110" spans="1:10" s="325" customFormat="1" ht="20.45" customHeight="1">
      <c r="A110" s="374" t="s">
        <v>492</v>
      </c>
      <c r="B110" s="373" t="s">
        <v>452</v>
      </c>
      <c r="C110" s="247"/>
      <c r="D110" s="345"/>
      <c r="E110" s="247">
        <v>0</v>
      </c>
      <c r="F110" s="244"/>
      <c r="G110" s="249">
        <v>0</v>
      </c>
      <c r="H110" s="244"/>
      <c r="I110" s="244"/>
      <c r="J110" s="340"/>
    </row>
    <row r="111" spans="1:10" s="325" customFormat="1" ht="20.45" customHeight="1">
      <c r="A111" s="347"/>
      <c r="B111" s="346" t="s">
        <v>453</v>
      </c>
      <c r="C111" s="247"/>
      <c r="D111" s="345"/>
      <c r="E111" s="247">
        <v>0</v>
      </c>
      <c r="F111" s="248">
        <f t="shared" ref="F111:F118" si="19">C111*E111</f>
        <v>0</v>
      </c>
      <c r="G111" s="249">
        <v>0</v>
      </c>
      <c r="H111" s="248">
        <f t="shared" ref="H111:H118" si="20">C111*G111</f>
        <v>0</v>
      </c>
      <c r="I111" s="250">
        <f t="shared" ref="I111:I118" si="21">F111+H111</f>
        <v>0</v>
      </c>
      <c r="J111" s="340"/>
    </row>
    <row r="112" spans="1:10" s="325" customFormat="1" ht="20.45" customHeight="1">
      <c r="A112" s="347"/>
      <c r="B112" s="348" t="s">
        <v>454</v>
      </c>
      <c r="C112" s="254">
        <f>20*6.48</f>
        <v>129.6</v>
      </c>
      <c r="D112" s="243" t="s">
        <v>125</v>
      </c>
      <c r="E112" s="247">
        <v>0</v>
      </c>
      <c r="F112" s="248">
        <f t="shared" si="19"/>
        <v>0</v>
      </c>
      <c r="G112" s="249">
        <v>0</v>
      </c>
      <c r="H112" s="248">
        <f t="shared" si="20"/>
        <v>0</v>
      </c>
      <c r="I112" s="250">
        <f t="shared" si="21"/>
        <v>0</v>
      </c>
      <c r="J112" s="388" t="s">
        <v>72</v>
      </c>
    </row>
    <row r="113" spans="1:10" s="325" customFormat="1" ht="20.45" customHeight="1">
      <c r="A113" s="347"/>
      <c r="B113" s="348" t="s">
        <v>455</v>
      </c>
      <c r="C113" s="254">
        <f>10*14</f>
        <v>140</v>
      </c>
      <c r="D113" s="243" t="s">
        <v>125</v>
      </c>
      <c r="E113" s="247">
        <v>0</v>
      </c>
      <c r="F113" s="248">
        <f t="shared" si="19"/>
        <v>0</v>
      </c>
      <c r="G113" s="249">
        <v>0</v>
      </c>
      <c r="H113" s="248">
        <f t="shared" si="20"/>
        <v>0</v>
      </c>
      <c r="I113" s="250">
        <f t="shared" si="21"/>
        <v>0</v>
      </c>
      <c r="J113" s="388" t="s">
        <v>72</v>
      </c>
    </row>
    <row r="114" spans="1:10" s="325" customFormat="1" ht="20.45" customHeight="1">
      <c r="A114" s="347"/>
      <c r="B114" s="348" t="s">
        <v>456</v>
      </c>
      <c r="C114" s="254">
        <f>28*20</f>
        <v>560</v>
      </c>
      <c r="D114" s="243" t="s">
        <v>125</v>
      </c>
      <c r="E114" s="247">
        <v>0</v>
      </c>
      <c r="F114" s="248">
        <f t="shared" si="19"/>
        <v>0</v>
      </c>
      <c r="G114" s="249">
        <v>0</v>
      </c>
      <c r="H114" s="248">
        <f t="shared" si="20"/>
        <v>0</v>
      </c>
      <c r="I114" s="250">
        <f t="shared" si="21"/>
        <v>0</v>
      </c>
      <c r="J114" s="388" t="s">
        <v>72</v>
      </c>
    </row>
    <row r="115" spans="1:10" s="325" customFormat="1" ht="20.45" customHeight="1">
      <c r="A115" s="347"/>
      <c r="B115" s="348" t="s">
        <v>457</v>
      </c>
      <c r="C115" s="251">
        <f>SUM(C112:C114)</f>
        <v>829.6</v>
      </c>
      <c r="D115" s="243" t="s">
        <v>125</v>
      </c>
      <c r="E115" s="247">
        <v>0</v>
      </c>
      <c r="F115" s="248">
        <f t="shared" si="19"/>
        <v>0</v>
      </c>
      <c r="G115" s="249">
        <v>0</v>
      </c>
      <c r="H115" s="248">
        <f t="shared" si="20"/>
        <v>0</v>
      </c>
      <c r="I115" s="250">
        <f t="shared" si="21"/>
        <v>0</v>
      </c>
      <c r="J115" s="388" t="s">
        <v>185</v>
      </c>
    </row>
    <row r="116" spans="1:10" s="325" customFormat="1" ht="20.45" customHeight="1">
      <c r="A116" s="347"/>
      <c r="B116" s="346" t="s">
        <v>458</v>
      </c>
      <c r="C116" s="247">
        <v>24</v>
      </c>
      <c r="D116" s="345" t="s">
        <v>204</v>
      </c>
      <c r="E116" s="247">
        <v>0</v>
      </c>
      <c r="F116" s="248">
        <f t="shared" si="19"/>
        <v>0</v>
      </c>
      <c r="G116" s="249">
        <v>0</v>
      </c>
      <c r="H116" s="248">
        <f t="shared" si="20"/>
        <v>0</v>
      </c>
      <c r="I116" s="250">
        <f t="shared" si="21"/>
        <v>0</v>
      </c>
      <c r="J116" s="388" t="s">
        <v>72</v>
      </c>
    </row>
    <row r="117" spans="1:10" s="325" customFormat="1" ht="20.45" customHeight="1">
      <c r="A117" s="347"/>
      <c r="B117" s="346" t="s">
        <v>459</v>
      </c>
      <c r="C117" s="247">
        <v>4</v>
      </c>
      <c r="D117" s="345" t="s">
        <v>460</v>
      </c>
      <c r="E117" s="247">
        <v>0</v>
      </c>
      <c r="F117" s="248">
        <f t="shared" si="19"/>
        <v>0</v>
      </c>
      <c r="G117" s="249">
        <v>0</v>
      </c>
      <c r="H117" s="248">
        <f t="shared" si="20"/>
        <v>0</v>
      </c>
      <c r="I117" s="250">
        <f t="shared" si="21"/>
        <v>0</v>
      </c>
      <c r="J117" s="388" t="s">
        <v>72</v>
      </c>
    </row>
    <row r="118" spans="1:10" s="325" customFormat="1" ht="20.45" customHeight="1">
      <c r="A118" s="347"/>
      <c r="B118" s="351" t="s">
        <v>461</v>
      </c>
      <c r="C118" s="254">
        <v>4</v>
      </c>
      <c r="D118" s="350" t="s">
        <v>462</v>
      </c>
      <c r="E118" s="247">
        <v>0</v>
      </c>
      <c r="F118" s="248">
        <f t="shared" si="19"/>
        <v>0</v>
      </c>
      <c r="G118" s="249">
        <v>0</v>
      </c>
      <c r="H118" s="248">
        <f t="shared" si="20"/>
        <v>0</v>
      </c>
      <c r="I118" s="250">
        <f t="shared" si="21"/>
        <v>0</v>
      </c>
      <c r="J118" s="388" t="s">
        <v>72</v>
      </c>
    </row>
    <row r="119" spans="1:10" s="325" customFormat="1" ht="20.45" customHeight="1">
      <c r="A119" s="347">
        <v>2.7</v>
      </c>
      <c r="B119" s="246" t="s">
        <v>463</v>
      </c>
      <c r="C119" s="242"/>
      <c r="D119" s="245"/>
      <c r="E119" s="247">
        <v>0</v>
      </c>
      <c r="F119" s="253"/>
      <c r="G119" s="249">
        <v>0</v>
      </c>
      <c r="H119" s="253"/>
      <c r="I119" s="253"/>
      <c r="J119" s="340"/>
    </row>
    <row r="120" spans="1:10" s="325" customFormat="1" ht="20.45" customHeight="1">
      <c r="A120" s="347"/>
      <c r="B120" s="346" t="s">
        <v>453</v>
      </c>
      <c r="C120" s="247"/>
      <c r="D120" s="345"/>
      <c r="E120" s="247">
        <v>0</v>
      </c>
      <c r="F120" s="248">
        <f t="shared" ref="F120:F128" si="22">C120*E120</f>
        <v>0</v>
      </c>
      <c r="G120" s="249">
        <v>0</v>
      </c>
      <c r="H120" s="248">
        <f t="shared" ref="H120:H128" si="23">C120*G120</f>
        <v>0</v>
      </c>
      <c r="I120" s="250">
        <f t="shared" ref="I120:I128" si="24">F120+H120</f>
        <v>0</v>
      </c>
      <c r="J120" s="340"/>
    </row>
    <row r="121" spans="1:10" s="325" customFormat="1" ht="20.45" customHeight="1">
      <c r="A121" s="347"/>
      <c r="B121" s="348" t="s">
        <v>464</v>
      </c>
      <c r="C121" s="254">
        <f>345*7.485</f>
        <v>2582.33</v>
      </c>
      <c r="D121" s="243" t="s">
        <v>125</v>
      </c>
      <c r="E121" s="247">
        <v>0</v>
      </c>
      <c r="F121" s="248">
        <f t="shared" si="22"/>
        <v>0</v>
      </c>
      <c r="G121" s="249">
        <v>0</v>
      </c>
      <c r="H121" s="248">
        <f t="shared" si="23"/>
        <v>0</v>
      </c>
      <c r="I121" s="250">
        <f t="shared" si="24"/>
        <v>0</v>
      </c>
      <c r="J121" s="388" t="s">
        <v>72</v>
      </c>
    </row>
    <row r="122" spans="1:10" s="325" customFormat="1" ht="20.45" customHeight="1">
      <c r="A122" s="347"/>
      <c r="B122" s="348" t="s">
        <v>465</v>
      </c>
      <c r="C122" s="254">
        <f>1040*1.333</f>
        <v>1386.32</v>
      </c>
      <c r="D122" s="243" t="s">
        <v>125</v>
      </c>
      <c r="E122" s="247">
        <v>0</v>
      </c>
      <c r="F122" s="248">
        <f t="shared" si="22"/>
        <v>0</v>
      </c>
      <c r="G122" s="249">
        <v>0</v>
      </c>
      <c r="H122" s="248">
        <f t="shared" si="23"/>
        <v>0</v>
      </c>
      <c r="I122" s="250">
        <f t="shared" si="24"/>
        <v>0</v>
      </c>
      <c r="J122" s="388" t="s">
        <v>72</v>
      </c>
    </row>
    <row r="123" spans="1:10" s="325" customFormat="1" ht="20.45" customHeight="1">
      <c r="A123" s="347"/>
      <c r="B123" s="348" t="s">
        <v>466</v>
      </c>
      <c r="C123" s="254">
        <f>670*3.58</f>
        <v>2398.6</v>
      </c>
      <c r="D123" s="243" t="s">
        <v>125</v>
      </c>
      <c r="E123" s="247">
        <v>0</v>
      </c>
      <c r="F123" s="248">
        <f t="shared" si="22"/>
        <v>0</v>
      </c>
      <c r="G123" s="249">
        <v>0</v>
      </c>
      <c r="H123" s="248">
        <f t="shared" si="23"/>
        <v>0</v>
      </c>
      <c r="I123" s="250">
        <f t="shared" si="24"/>
        <v>0</v>
      </c>
      <c r="J123" s="388" t="s">
        <v>72</v>
      </c>
    </row>
    <row r="124" spans="1:10" s="325" customFormat="1" ht="20.45" customHeight="1">
      <c r="A124" s="347"/>
      <c r="B124" s="348" t="s">
        <v>467</v>
      </c>
      <c r="C124" s="254">
        <f>280*7.13</f>
        <v>1996.4</v>
      </c>
      <c r="D124" s="243" t="s">
        <v>125</v>
      </c>
      <c r="E124" s="247">
        <v>0</v>
      </c>
      <c r="F124" s="248">
        <f t="shared" si="22"/>
        <v>0</v>
      </c>
      <c r="G124" s="249">
        <v>0</v>
      </c>
      <c r="H124" s="248">
        <f t="shared" si="23"/>
        <v>0</v>
      </c>
      <c r="I124" s="250">
        <f t="shared" si="24"/>
        <v>0</v>
      </c>
      <c r="J124" s="388" t="s">
        <v>72</v>
      </c>
    </row>
    <row r="125" spans="1:10" s="325" customFormat="1" ht="20.45" customHeight="1">
      <c r="A125" s="347"/>
      <c r="B125" s="348" t="s">
        <v>468</v>
      </c>
      <c r="C125" s="251">
        <f>SUM(C121:C124)</f>
        <v>8363.65</v>
      </c>
      <c r="D125" s="243" t="s">
        <v>125</v>
      </c>
      <c r="E125" s="247">
        <v>0</v>
      </c>
      <c r="F125" s="248">
        <f t="shared" si="22"/>
        <v>0</v>
      </c>
      <c r="G125" s="249">
        <v>0</v>
      </c>
      <c r="H125" s="248">
        <f t="shared" si="23"/>
        <v>0</v>
      </c>
      <c r="I125" s="250">
        <f t="shared" si="24"/>
        <v>0</v>
      </c>
      <c r="J125" s="388" t="s">
        <v>185</v>
      </c>
    </row>
    <row r="126" spans="1:10" s="325" customFormat="1" ht="20.45" customHeight="1">
      <c r="A126" s="347"/>
      <c r="B126" s="346" t="s">
        <v>458</v>
      </c>
      <c r="C126" s="247">
        <f>38*4</f>
        <v>152</v>
      </c>
      <c r="D126" s="345" t="s">
        <v>204</v>
      </c>
      <c r="E126" s="247">
        <v>0</v>
      </c>
      <c r="F126" s="248">
        <f t="shared" si="22"/>
        <v>0</v>
      </c>
      <c r="G126" s="249">
        <v>0</v>
      </c>
      <c r="H126" s="248">
        <f t="shared" si="23"/>
        <v>0</v>
      </c>
      <c r="I126" s="250">
        <f t="shared" si="24"/>
        <v>0</v>
      </c>
      <c r="J126" s="388" t="s">
        <v>72</v>
      </c>
    </row>
    <row r="127" spans="1:10" s="325" customFormat="1" ht="20.45" customHeight="1">
      <c r="A127" s="347"/>
      <c r="B127" s="346" t="s">
        <v>469</v>
      </c>
      <c r="C127" s="247">
        <f>38+8</f>
        <v>46</v>
      </c>
      <c r="D127" s="345" t="s">
        <v>460</v>
      </c>
      <c r="E127" s="247">
        <v>0</v>
      </c>
      <c r="F127" s="248">
        <f t="shared" si="22"/>
        <v>0</v>
      </c>
      <c r="G127" s="249">
        <v>0</v>
      </c>
      <c r="H127" s="248">
        <f t="shared" si="23"/>
        <v>0</v>
      </c>
      <c r="I127" s="250">
        <f t="shared" si="24"/>
        <v>0</v>
      </c>
      <c r="J127" s="388" t="s">
        <v>72</v>
      </c>
    </row>
    <row r="128" spans="1:10" s="325" customFormat="1" ht="20.45" customHeight="1">
      <c r="A128" s="347"/>
      <c r="B128" s="351" t="s">
        <v>461</v>
      </c>
      <c r="C128" s="254">
        <f>38/6</f>
        <v>6.33</v>
      </c>
      <c r="D128" s="350" t="s">
        <v>462</v>
      </c>
      <c r="E128" s="247">
        <v>0</v>
      </c>
      <c r="F128" s="248">
        <f t="shared" si="22"/>
        <v>0</v>
      </c>
      <c r="G128" s="249">
        <v>0</v>
      </c>
      <c r="H128" s="248">
        <f t="shared" si="23"/>
        <v>0</v>
      </c>
      <c r="I128" s="250">
        <f t="shared" si="24"/>
        <v>0</v>
      </c>
      <c r="J128" s="388" t="s">
        <v>72</v>
      </c>
    </row>
    <row r="129" spans="1:11" s="325" customFormat="1" ht="20.45" customHeight="1">
      <c r="A129" s="347">
        <v>2.8</v>
      </c>
      <c r="B129" s="246" t="s">
        <v>470</v>
      </c>
      <c r="C129" s="242"/>
      <c r="D129" s="245"/>
      <c r="E129" s="247">
        <v>0</v>
      </c>
      <c r="F129" s="253"/>
      <c r="G129" s="249">
        <v>0</v>
      </c>
      <c r="H129" s="253"/>
      <c r="I129" s="253"/>
      <c r="J129" s="340"/>
    </row>
    <row r="130" spans="1:11" s="325" customFormat="1" ht="20.45" customHeight="1">
      <c r="A130" s="347"/>
      <c r="B130" s="346" t="s">
        <v>428</v>
      </c>
      <c r="C130" s="247">
        <f>200*0.15</f>
        <v>30</v>
      </c>
      <c r="D130" s="345" t="s">
        <v>9</v>
      </c>
      <c r="E130" s="247">
        <v>0</v>
      </c>
      <c r="F130" s="248">
        <f>C130*E130</f>
        <v>0</v>
      </c>
      <c r="G130" s="249">
        <v>0</v>
      </c>
      <c r="H130" s="248">
        <f>C130*G130</f>
        <v>0</v>
      </c>
      <c r="I130" s="250">
        <f>F130+H130</f>
        <v>0</v>
      </c>
      <c r="J130" s="388" t="s">
        <v>72</v>
      </c>
    </row>
    <row r="131" spans="1:11" s="325" customFormat="1" ht="20.45" customHeight="1">
      <c r="A131" s="349"/>
      <c r="B131" s="348" t="s">
        <v>443</v>
      </c>
      <c r="C131" s="251">
        <v>200</v>
      </c>
      <c r="D131" s="243" t="s">
        <v>10</v>
      </c>
      <c r="E131" s="247">
        <v>0</v>
      </c>
      <c r="F131" s="248">
        <f>C131*E131</f>
        <v>0</v>
      </c>
      <c r="G131" s="249">
        <v>0</v>
      </c>
      <c r="H131" s="248">
        <f>C131*G131</f>
        <v>0</v>
      </c>
      <c r="I131" s="250">
        <f>F131+H131</f>
        <v>0</v>
      </c>
      <c r="J131" s="388" t="s">
        <v>72</v>
      </c>
    </row>
    <row r="132" spans="1:11" s="325" customFormat="1" ht="20.45" customHeight="1">
      <c r="A132" s="347"/>
      <c r="B132" s="346" t="s">
        <v>471</v>
      </c>
      <c r="C132" s="247">
        <f>200*0.2</f>
        <v>40</v>
      </c>
      <c r="D132" s="345" t="s">
        <v>9</v>
      </c>
      <c r="E132" s="247">
        <v>0</v>
      </c>
      <c r="F132" s="248">
        <f>C132*E132</f>
        <v>0</v>
      </c>
      <c r="G132" s="249">
        <v>0</v>
      </c>
      <c r="H132" s="248">
        <f>C132*G132</f>
        <v>0</v>
      </c>
      <c r="I132" s="250">
        <f>F132+H132</f>
        <v>0</v>
      </c>
      <c r="J132" s="388" t="s">
        <v>72</v>
      </c>
    </row>
    <row r="133" spans="1:11" s="325" customFormat="1" ht="20.45" customHeight="1">
      <c r="A133" s="347"/>
      <c r="B133" s="346" t="s">
        <v>426</v>
      </c>
      <c r="C133" s="247">
        <f>200*0.05</f>
        <v>10</v>
      </c>
      <c r="D133" s="345" t="s">
        <v>9</v>
      </c>
      <c r="E133" s="247">
        <v>0</v>
      </c>
      <c r="F133" s="248">
        <f>C133*E133</f>
        <v>0</v>
      </c>
      <c r="G133" s="249">
        <v>0</v>
      </c>
      <c r="H133" s="248">
        <f>C133*G133</f>
        <v>0</v>
      </c>
      <c r="I133" s="250">
        <f>F133+H133</f>
        <v>0</v>
      </c>
      <c r="J133" s="388" t="s">
        <v>72</v>
      </c>
    </row>
    <row r="134" spans="1:11" s="316" customFormat="1" ht="20.25" customHeight="1">
      <c r="A134" s="323"/>
      <c r="B134" s="322" t="str">
        <f>"รวมราคา"&amp;B12</f>
        <v xml:space="preserve">รวมราคาหมวดงานโครงสร้าง </v>
      </c>
      <c r="C134" s="321"/>
      <c r="D134" s="320"/>
      <c r="E134" s="319"/>
      <c r="F134" s="230">
        <f>SUM(F25:F133)</f>
        <v>0</v>
      </c>
      <c r="G134" s="318"/>
      <c r="H134" s="230">
        <f>SUM(H25:H133)</f>
        <v>0</v>
      </c>
      <c r="I134" s="230">
        <f>F134+H134</f>
        <v>0</v>
      </c>
      <c r="J134" s="227"/>
      <c r="K134" s="317"/>
    </row>
    <row r="135" spans="1:11" s="325" customFormat="1" ht="20.45" customHeight="1">
      <c r="A135" s="163">
        <v>3</v>
      </c>
      <c r="B135" s="164" t="s">
        <v>84</v>
      </c>
      <c r="C135" s="165"/>
      <c r="D135" s="165"/>
      <c r="E135" s="166"/>
      <c r="F135" s="166"/>
      <c r="G135" s="166"/>
      <c r="H135" s="166"/>
      <c r="I135" s="167"/>
      <c r="J135" s="326"/>
    </row>
    <row r="136" spans="1:11" s="325" customFormat="1" ht="20.45" customHeight="1">
      <c r="A136" s="168">
        <v>3.1</v>
      </c>
      <c r="B136" s="169" t="s">
        <v>85</v>
      </c>
      <c r="C136" s="170"/>
      <c r="D136" s="170"/>
      <c r="E136" s="171"/>
      <c r="F136" s="171"/>
      <c r="G136" s="171"/>
      <c r="H136" s="171"/>
      <c r="I136" s="172"/>
      <c r="J136" s="340"/>
    </row>
    <row r="137" spans="1:11" s="270" customFormat="1" ht="20.45" customHeight="1">
      <c r="A137" s="173"/>
      <c r="B137" s="180" t="s">
        <v>141</v>
      </c>
      <c r="C137" s="174">
        <f>225+45</f>
        <v>270</v>
      </c>
      <c r="D137" s="175" t="s">
        <v>10</v>
      </c>
      <c r="E137" s="175">
        <v>0</v>
      </c>
      <c r="F137" s="175">
        <f t="shared" ref="F137:F147" si="25">C137*E137</f>
        <v>0</v>
      </c>
      <c r="G137" s="175">
        <v>0</v>
      </c>
      <c r="H137" s="175">
        <f t="shared" ref="H137:H147" si="26">C137*G137</f>
        <v>0</v>
      </c>
      <c r="I137" s="175">
        <f t="shared" ref="I137:I147" si="27">F137+H137</f>
        <v>0</v>
      </c>
      <c r="J137" s="339" t="s">
        <v>72</v>
      </c>
    </row>
    <row r="138" spans="1:11" s="270" customFormat="1" ht="20.45" customHeight="1">
      <c r="A138" s="168"/>
      <c r="B138" s="180" t="s">
        <v>142</v>
      </c>
      <c r="C138" s="174">
        <f>32+255</f>
        <v>287</v>
      </c>
      <c r="D138" s="175" t="s">
        <v>10</v>
      </c>
      <c r="E138" s="175">
        <v>0</v>
      </c>
      <c r="F138" s="175">
        <f t="shared" si="25"/>
        <v>0</v>
      </c>
      <c r="G138" s="175">
        <v>0</v>
      </c>
      <c r="H138" s="175">
        <f t="shared" si="26"/>
        <v>0</v>
      </c>
      <c r="I138" s="175">
        <f t="shared" si="27"/>
        <v>0</v>
      </c>
      <c r="J138" s="339" t="s">
        <v>108</v>
      </c>
    </row>
    <row r="139" spans="1:11" s="270" customFormat="1" ht="20.45" customHeight="1">
      <c r="A139" s="168"/>
      <c r="B139" s="180" t="s">
        <v>143</v>
      </c>
      <c r="C139" s="174">
        <v>35</v>
      </c>
      <c r="D139" s="175" t="s">
        <v>10</v>
      </c>
      <c r="E139" s="175">
        <v>0</v>
      </c>
      <c r="F139" s="175">
        <f t="shared" si="25"/>
        <v>0</v>
      </c>
      <c r="G139" s="175">
        <v>0</v>
      </c>
      <c r="H139" s="175">
        <f t="shared" si="26"/>
        <v>0</v>
      </c>
      <c r="I139" s="175">
        <f t="shared" si="27"/>
        <v>0</v>
      </c>
      <c r="J139" s="339" t="s">
        <v>108</v>
      </c>
    </row>
    <row r="140" spans="1:11" s="270" customFormat="1" ht="20.45" customHeight="1">
      <c r="A140" s="173"/>
      <c r="B140" s="180" t="s">
        <v>144</v>
      </c>
      <c r="C140" s="174">
        <v>130</v>
      </c>
      <c r="D140" s="175" t="s">
        <v>10</v>
      </c>
      <c r="E140" s="175">
        <v>0</v>
      </c>
      <c r="F140" s="175">
        <f t="shared" si="25"/>
        <v>0</v>
      </c>
      <c r="G140" s="175">
        <v>0</v>
      </c>
      <c r="H140" s="175">
        <f t="shared" si="26"/>
        <v>0</v>
      </c>
      <c r="I140" s="175">
        <f t="shared" si="27"/>
        <v>0</v>
      </c>
      <c r="J140" s="339" t="s">
        <v>108</v>
      </c>
    </row>
    <row r="141" spans="1:11" s="325" customFormat="1" ht="20.45" customHeight="1">
      <c r="A141" s="173"/>
      <c r="B141" s="180" t="s">
        <v>145</v>
      </c>
      <c r="C141" s="174">
        <v>150</v>
      </c>
      <c r="D141" s="175" t="s">
        <v>10</v>
      </c>
      <c r="E141" s="175">
        <v>0</v>
      </c>
      <c r="F141" s="175">
        <f t="shared" si="25"/>
        <v>0</v>
      </c>
      <c r="G141" s="175">
        <v>0</v>
      </c>
      <c r="H141" s="175">
        <f t="shared" si="26"/>
        <v>0</v>
      </c>
      <c r="I141" s="175">
        <f t="shared" si="27"/>
        <v>0</v>
      </c>
      <c r="J141" s="339" t="s">
        <v>72</v>
      </c>
    </row>
    <row r="142" spans="1:11" s="270" customFormat="1" ht="20.45" customHeight="1">
      <c r="A142" s="168"/>
      <c r="B142" s="180" t="s">
        <v>146</v>
      </c>
      <c r="C142" s="174">
        <v>45</v>
      </c>
      <c r="D142" s="175" t="s">
        <v>10</v>
      </c>
      <c r="E142" s="175">
        <v>0</v>
      </c>
      <c r="F142" s="175">
        <f t="shared" si="25"/>
        <v>0</v>
      </c>
      <c r="G142" s="175">
        <v>0</v>
      </c>
      <c r="H142" s="175">
        <f t="shared" si="26"/>
        <v>0</v>
      </c>
      <c r="I142" s="175">
        <f t="shared" si="27"/>
        <v>0</v>
      </c>
      <c r="J142" s="339" t="s">
        <v>72</v>
      </c>
    </row>
    <row r="143" spans="1:11" s="270" customFormat="1" ht="20.45" customHeight="1">
      <c r="A143" s="168"/>
      <c r="B143" s="180" t="s">
        <v>147</v>
      </c>
      <c r="C143" s="174">
        <v>20</v>
      </c>
      <c r="D143" s="175" t="s">
        <v>10</v>
      </c>
      <c r="E143" s="175">
        <v>0</v>
      </c>
      <c r="F143" s="175">
        <f t="shared" si="25"/>
        <v>0</v>
      </c>
      <c r="G143" s="175">
        <v>0</v>
      </c>
      <c r="H143" s="175">
        <f t="shared" si="26"/>
        <v>0</v>
      </c>
      <c r="I143" s="175">
        <f t="shared" si="27"/>
        <v>0</v>
      </c>
      <c r="J143" s="339" t="s">
        <v>72</v>
      </c>
    </row>
    <row r="144" spans="1:11" s="344" customFormat="1" ht="20.45" customHeight="1">
      <c r="A144" s="173"/>
      <c r="B144" s="180" t="s">
        <v>148</v>
      </c>
      <c r="C144" s="174">
        <v>80</v>
      </c>
      <c r="D144" s="175" t="s">
        <v>10</v>
      </c>
      <c r="E144" s="175">
        <v>0</v>
      </c>
      <c r="F144" s="175">
        <f t="shared" si="25"/>
        <v>0</v>
      </c>
      <c r="G144" s="175">
        <v>0</v>
      </c>
      <c r="H144" s="175">
        <f t="shared" si="26"/>
        <v>0</v>
      </c>
      <c r="I144" s="175">
        <f t="shared" si="27"/>
        <v>0</v>
      </c>
      <c r="J144" s="339" t="s">
        <v>72</v>
      </c>
    </row>
    <row r="145" spans="1:10" s="343" customFormat="1" ht="20.45" customHeight="1">
      <c r="A145" s="173"/>
      <c r="B145" s="180" t="s">
        <v>149</v>
      </c>
      <c r="C145" s="174">
        <v>100</v>
      </c>
      <c r="D145" s="175" t="s">
        <v>10</v>
      </c>
      <c r="E145" s="175">
        <v>0</v>
      </c>
      <c r="F145" s="175">
        <f t="shared" si="25"/>
        <v>0</v>
      </c>
      <c r="G145" s="175">
        <v>0</v>
      </c>
      <c r="H145" s="175">
        <f t="shared" si="26"/>
        <v>0</v>
      </c>
      <c r="I145" s="175">
        <f t="shared" si="27"/>
        <v>0</v>
      </c>
      <c r="J145" s="339" t="s">
        <v>72</v>
      </c>
    </row>
    <row r="146" spans="1:10" s="343" customFormat="1" ht="20.45" customHeight="1">
      <c r="A146" s="173"/>
      <c r="B146" s="180" t="s">
        <v>250</v>
      </c>
      <c r="C146" s="174">
        <v>32</v>
      </c>
      <c r="D146" s="175" t="s">
        <v>10</v>
      </c>
      <c r="E146" s="175">
        <v>0</v>
      </c>
      <c r="F146" s="175">
        <f t="shared" si="25"/>
        <v>0</v>
      </c>
      <c r="G146" s="175">
        <v>0</v>
      </c>
      <c r="H146" s="175">
        <f t="shared" si="26"/>
        <v>0</v>
      </c>
      <c r="I146" s="175">
        <f t="shared" si="27"/>
        <v>0</v>
      </c>
      <c r="J146" s="339" t="s">
        <v>72</v>
      </c>
    </row>
    <row r="147" spans="1:10" s="343" customFormat="1" ht="20.45" customHeight="1">
      <c r="A147" s="173"/>
      <c r="B147" s="180" t="s">
        <v>137</v>
      </c>
      <c r="C147" s="174">
        <f>6+25+22+20+7</f>
        <v>80</v>
      </c>
      <c r="D147" s="175" t="s">
        <v>95</v>
      </c>
      <c r="E147" s="175">
        <v>0</v>
      </c>
      <c r="F147" s="175">
        <f t="shared" si="25"/>
        <v>0</v>
      </c>
      <c r="G147" s="175">
        <v>0</v>
      </c>
      <c r="H147" s="175">
        <f t="shared" si="26"/>
        <v>0</v>
      </c>
      <c r="I147" s="175">
        <f t="shared" si="27"/>
        <v>0</v>
      </c>
      <c r="J147" s="339" t="s">
        <v>72</v>
      </c>
    </row>
    <row r="148" spans="1:10" s="343" customFormat="1" ht="20.45" customHeight="1">
      <c r="A148" s="168">
        <v>3.2</v>
      </c>
      <c r="B148" s="169" t="s">
        <v>86</v>
      </c>
      <c r="C148" s="170"/>
      <c r="D148" s="170"/>
      <c r="E148" s="175">
        <v>0</v>
      </c>
      <c r="F148" s="171"/>
      <c r="G148" s="175">
        <v>0</v>
      </c>
      <c r="H148" s="171"/>
      <c r="I148" s="172"/>
      <c r="J148" s="340"/>
    </row>
    <row r="149" spans="1:10" s="343" customFormat="1" ht="20.45" customHeight="1">
      <c r="A149" s="173"/>
      <c r="B149" s="180" t="s">
        <v>90</v>
      </c>
      <c r="C149" s="174">
        <f>55+155+122</f>
        <v>332</v>
      </c>
      <c r="D149" s="175" t="s">
        <v>10</v>
      </c>
      <c r="E149" s="175">
        <v>0</v>
      </c>
      <c r="F149" s="175">
        <f t="shared" ref="F149:F156" si="28">C149*E149</f>
        <v>0</v>
      </c>
      <c r="G149" s="175">
        <v>0</v>
      </c>
      <c r="H149" s="175">
        <f t="shared" ref="H149:H156" si="29">C149*G149</f>
        <v>0</v>
      </c>
      <c r="I149" s="175">
        <f t="shared" ref="I149:I156" si="30">F149+H149</f>
        <v>0</v>
      </c>
      <c r="J149" s="339" t="s">
        <v>72</v>
      </c>
    </row>
    <row r="150" spans="1:10" s="270" customFormat="1" ht="20.45" customHeight="1">
      <c r="A150" s="173"/>
      <c r="B150" s="180" t="s">
        <v>389</v>
      </c>
      <c r="C150" s="174">
        <v>12</v>
      </c>
      <c r="D150" s="175" t="s">
        <v>10</v>
      </c>
      <c r="E150" s="175">
        <v>0</v>
      </c>
      <c r="F150" s="175">
        <f t="shared" si="28"/>
        <v>0</v>
      </c>
      <c r="G150" s="175">
        <v>0</v>
      </c>
      <c r="H150" s="175">
        <f t="shared" si="29"/>
        <v>0</v>
      </c>
      <c r="I150" s="175">
        <f t="shared" si="30"/>
        <v>0</v>
      </c>
      <c r="J150" s="339" t="s">
        <v>72</v>
      </c>
    </row>
    <row r="151" spans="1:10" s="343" customFormat="1" ht="20.45" customHeight="1">
      <c r="A151" s="173"/>
      <c r="B151" s="180" t="s">
        <v>191</v>
      </c>
      <c r="C151" s="174">
        <f>52+8</f>
        <v>60</v>
      </c>
      <c r="D151" s="175" t="s">
        <v>10</v>
      </c>
      <c r="E151" s="175">
        <v>0</v>
      </c>
      <c r="F151" s="175">
        <f t="shared" si="28"/>
        <v>0</v>
      </c>
      <c r="G151" s="175">
        <v>0</v>
      </c>
      <c r="H151" s="175">
        <f t="shared" si="29"/>
        <v>0</v>
      </c>
      <c r="I151" s="175">
        <f t="shared" si="30"/>
        <v>0</v>
      </c>
      <c r="J151" s="339" t="s">
        <v>108</v>
      </c>
    </row>
    <row r="152" spans="1:10" s="343" customFormat="1" ht="20.45" customHeight="1">
      <c r="A152" s="173"/>
      <c r="B152" s="180" t="s">
        <v>91</v>
      </c>
      <c r="C152" s="174">
        <v>75</v>
      </c>
      <c r="D152" s="175" t="s">
        <v>10</v>
      </c>
      <c r="E152" s="175">
        <v>0</v>
      </c>
      <c r="F152" s="175">
        <f t="shared" si="28"/>
        <v>0</v>
      </c>
      <c r="G152" s="175">
        <v>0</v>
      </c>
      <c r="H152" s="175">
        <f t="shared" si="29"/>
        <v>0</v>
      </c>
      <c r="I152" s="175">
        <f t="shared" si="30"/>
        <v>0</v>
      </c>
      <c r="J152" s="339" t="s">
        <v>72</v>
      </c>
    </row>
    <row r="153" spans="1:10" s="343" customFormat="1" ht="20.45" customHeight="1">
      <c r="A153" s="173"/>
      <c r="B153" s="180" t="s">
        <v>92</v>
      </c>
      <c r="C153" s="174">
        <v>85</v>
      </c>
      <c r="D153" s="175" t="s">
        <v>10</v>
      </c>
      <c r="E153" s="175">
        <v>0</v>
      </c>
      <c r="F153" s="175">
        <f t="shared" si="28"/>
        <v>0</v>
      </c>
      <c r="G153" s="175">
        <v>0</v>
      </c>
      <c r="H153" s="175">
        <f t="shared" si="29"/>
        <v>0</v>
      </c>
      <c r="I153" s="175">
        <f t="shared" si="30"/>
        <v>0</v>
      </c>
      <c r="J153" s="339" t="s">
        <v>72</v>
      </c>
    </row>
    <row r="154" spans="1:10" s="343" customFormat="1" ht="20.45" customHeight="1">
      <c r="A154" s="173"/>
      <c r="B154" s="180" t="s">
        <v>152</v>
      </c>
      <c r="C154" s="174">
        <v>160</v>
      </c>
      <c r="D154" s="175" t="s">
        <v>10</v>
      </c>
      <c r="E154" s="175">
        <v>0</v>
      </c>
      <c r="F154" s="175">
        <f t="shared" si="28"/>
        <v>0</v>
      </c>
      <c r="G154" s="175">
        <v>0</v>
      </c>
      <c r="H154" s="175">
        <f t="shared" si="29"/>
        <v>0</v>
      </c>
      <c r="I154" s="175">
        <f t="shared" si="30"/>
        <v>0</v>
      </c>
      <c r="J154" s="339" t="s">
        <v>72</v>
      </c>
    </row>
    <row r="155" spans="1:10" s="343" customFormat="1" ht="20.45" customHeight="1">
      <c r="A155" s="173"/>
      <c r="B155" s="180" t="s">
        <v>93</v>
      </c>
      <c r="C155" s="174">
        <v>20</v>
      </c>
      <c r="D155" s="175" t="s">
        <v>10</v>
      </c>
      <c r="E155" s="175">
        <v>0</v>
      </c>
      <c r="F155" s="175">
        <f t="shared" si="28"/>
        <v>0</v>
      </c>
      <c r="G155" s="175">
        <v>0</v>
      </c>
      <c r="H155" s="175">
        <f t="shared" si="29"/>
        <v>0</v>
      </c>
      <c r="I155" s="175">
        <f t="shared" si="30"/>
        <v>0</v>
      </c>
      <c r="J155" s="339" t="s">
        <v>72</v>
      </c>
    </row>
    <row r="156" spans="1:10" s="343" customFormat="1" ht="20.45" customHeight="1">
      <c r="A156" s="173"/>
      <c r="B156" s="180" t="s">
        <v>153</v>
      </c>
      <c r="C156" s="174">
        <v>70</v>
      </c>
      <c r="D156" s="175" t="s">
        <v>10</v>
      </c>
      <c r="E156" s="175">
        <v>0</v>
      </c>
      <c r="F156" s="175">
        <f t="shared" si="28"/>
        <v>0</v>
      </c>
      <c r="G156" s="175">
        <v>0</v>
      </c>
      <c r="H156" s="175">
        <f t="shared" si="29"/>
        <v>0</v>
      </c>
      <c r="I156" s="175">
        <f t="shared" si="30"/>
        <v>0</v>
      </c>
      <c r="J156" s="339" t="s">
        <v>72</v>
      </c>
    </row>
    <row r="157" spans="1:10" s="270" customFormat="1" ht="20.45" customHeight="1">
      <c r="A157" s="173"/>
      <c r="B157" s="180" t="s">
        <v>151</v>
      </c>
      <c r="C157" s="174"/>
      <c r="D157" s="175"/>
      <c r="E157" s="175">
        <v>0</v>
      </c>
      <c r="F157" s="175"/>
      <c r="G157" s="175">
        <v>0</v>
      </c>
      <c r="H157" s="175"/>
      <c r="I157" s="175"/>
      <c r="J157" s="339"/>
    </row>
    <row r="158" spans="1:10" s="270" customFormat="1" ht="20.45" customHeight="1">
      <c r="A158" s="173"/>
      <c r="B158" s="180" t="s">
        <v>194</v>
      </c>
      <c r="C158" s="174">
        <f>7.3*5</f>
        <v>36.5</v>
      </c>
      <c r="D158" s="175" t="s">
        <v>10</v>
      </c>
      <c r="E158" s="175">
        <v>0</v>
      </c>
      <c r="F158" s="175">
        <f>C158*E158</f>
        <v>0</v>
      </c>
      <c r="G158" s="175">
        <v>0</v>
      </c>
      <c r="H158" s="175">
        <f>C158*G158</f>
        <v>0</v>
      </c>
      <c r="I158" s="175">
        <f>F158+H158</f>
        <v>0</v>
      </c>
      <c r="J158" s="339" t="s">
        <v>72</v>
      </c>
    </row>
    <row r="159" spans="1:10" s="270" customFormat="1" ht="20.45" customHeight="1">
      <c r="A159" s="173"/>
      <c r="B159" s="180" t="s">
        <v>150</v>
      </c>
      <c r="C159" s="174">
        <v>325</v>
      </c>
      <c r="D159" s="175" t="s">
        <v>10</v>
      </c>
      <c r="E159" s="175">
        <v>0</v>
      </c>
      <c r="F159" s="175">
        <f>C159*E159</f>
        <v>0</v>
      </c>
      <c r="G159" s="175">
        <v>0</v>
      </c>
      <c r="H159" s="175">
        <f>C159*G159</f>
        <v>0</v>
      </c>
      <c r="I159" s="175">
        <f>F159+H159</f>
        <v>0</v>
      </c>
      <c r="J159" s="339" t="s">
        <v>108</v>
      </c>
    </row>
    <row r="160" spans="1:10" s="325" customFormat="1" ht="20.45" customHeight="1">
      <c r="A160" s="173"/>
      <c r="B160" s="180" t="s">
        <v>252</v>
      </c>
      <c r="C160" s="174">
        <v>10</v>
      </c>
      <c r="D160" s="175" t="s">
        <v>10</v>
      </c>
      <c r="E160" s="175">
        <v>0</v>
      </c>
      <c r="F160" s="175">
        <f>C160*E160</f>
        <v>0</v>
      </c>
      <c r="G160" s="175">
        <v>0</v>
      </c>
      <c r="H160" s="175">
        <f>C160*G160</f>
        <v>0</v>
      </c>
      <c r="I160" s="175">
        <f>F160+H160</f>
        <v>0</v>
      </c>
      <c r="J160" s="339" t="s">
        <v>72</v>
      </c>
    </row>
    <row r="161" spans="1:10" s="270" customFormat="1" ht="20.45" customHeight="1">
      <c r="A161" s="173"/>
      <c r="B161" s="180" t="s">
        <v>181</v>
      </c>
      <c r="C161" s="174">
        <v>110</v>
      </c>
      <c r="D161" s="175" t="s">
        <v>10</v>
      </c>
      <c r="E161" s="175">
        <v>0</v>
      </c>
      <c r="F161" s="175">
        <f>C161*E161</f>
        <v>0</v>
      </c>
      <c r="G161" s="175">
        <v>0</v>
      </c>
      <c r="H161" s="175">
        <f>C161*G161</f>
        <v>0</v>
      </c>
      <c r="I161" s="175">
        <f>F161+H161</f>
        <v>0</v>
      </c>
      <c r="J161" s="339" t="s">
        <v>72</v>
      </c>
    </row>
    <row r="162" spans="1:10" s="270" customFormat="1" ht="20.45" customHeight="1">
      <c r="A162" s="173"/>
      <c r="B162" s="180" t="s">
        <v>235</v>
      </c>
      <c r="C162" s="174">
        <v>135</v>
      </c>
      <c r="D162" s="175" t="s">
        <v>10</v>
      </c>
      <c r="E162" s="175">
        <v>0</v>
      </c>
      <c r="F162" s="175">
        <f>C162*E162</f>
        <v>0</v>
      </c>
      <c r="G162" s="175">
        <v>0</v>
      </c>
      <c r="H162" s="175">
        <f>C162*G162</f>
        <v>0</v>
      </c>
      <c r="I162" s="175">
        <f>F162+H162</f>
        <v>0</v>
      </c>
      <c r="J162" s="339" t="s">
        <v>72</v>
      </c>
    </row>
    <row r="163" spans="1:10" s="270" customFormat="1" ht="20.45" customHeight="1">
      <c r="A163" s="173"/>
      <c r="B163" s="180" t="s">
        <v>240</v>
      </c>
      <c r="C163" s="174"/>
      <c r="D163" s="175"/>
      <c r="E163" s="175">
        <v>0</v>
      </c>
      <c r="F163" s="175"/>
      <c r="G163" s="175">
        <v>0</v>
      </c>
      <c r="H163" s="175"/>
      <c r="I163" s="175"/>
      <c r="J163" s="339"/>
    </row>
    <row r="164" spans="1:10" s="325" customFormat="1" ht="20.45" customHeight="1">
      <c r="A164" s="173"/>
      <c r="B164" s="180" t="s">
        <v>106</v>
      </c>
      <c r="C164" s="174">
        <f>260+105</f>
        <v>365</v>
      </c>
      <c r="D164" s="175" t="s">
        <v>10</v>
      </c>
      <c r="E164" s="175">
        <v>0</v>
      </c>
      <c r="F164" s="175">
        <f>C164*E164</f>
        <v>0</v>
      </c>
      <c r="G164" s="175">
        <v>0</v>
      </c>
      <c r="H164" s="175">
        <f>C164*G164</f>
        <v>0</v>
      </c>
      <c r="I164" s="175">
        <f>F164+H164</f>
        <v>0</v>
      </c>
      <c r="J164" s="339" t="s">
        <v>72</v>
      </c>
    </row>
    <row r="165" spans="1:10" s="270" customFormat="1" ht="20.45" customHeight="1">
      <c r="A165" s="173"/>
      <c r="B165" s="180" t="s">
        <v>107</v>
      </c>
      <c r="C165" s="174">
        <f>C179</f>
        <v>275</v>
      </c>
      <c r="D165" s="175" t="s">
        <v>10</v>
      </c>
      <c r="E165" s="175">
        <v>0</v>
      </c>
      <c r="F165" s="175">
        <f>C165*E165</f>
        <v>0</v>
      </c>
      <c r="G165" s="175">
        <v>0</v>
      </c>
      <c r="H165" s="175">
        <f>C165*G165</f>
        <v>0</v>
      </c>
      <c r="I165" s="175">
        <f>F165+H165</f>
        <v>0</v>
      </c>
      <c r="J165" s="339" t="s">
        <v>72</v>
      </c>
    </row>
    <row r="166" spans="1:10" s="270" customFormat="1" ht="20.45" customHeight="1">
      <c r="A166" s="173"/>
      <c r="B166" s="180" t="s">
        <v>94</v>
      </c>
      <c r="C166" s="174">
        <f>86+82</f>
        <v>168</v>
      </c>
      <c r="D166" s="175" t="s">
        <v>95</v>
      </c>
      <c r="E166" s="175">
        <v>0</v>
      </c>
      <c r="F166" s="175">
        <f>C166*E166</f>
        <v>0</v>
      </c>
      <c r="G166" s="175">
        <v>0</v>
      </c>
      <c r="H166" s="175">
        <f>C166*G166</f>
        <v>0</v>
      </c>
      <c r="I166" s="175">
        <f>F166+H166</f>
        <v>0</v>
      </c>
      <c r="J166" s="339" t="s">
        <v>72</v>
      </c>
    </row>
    <row r="167" spans="1:10" s="270" customFormat="1" ht="20.45" customHeight="1">
      <c r="A167" s="168">
        <v>3.3</v>
      </c>
      <c r="B167" s="169" t="s">
        <v>102</v>
      </c>
      <c r="C167" s="170"/>
      <c r="D167" s="170"/>
      <c r="E167" s="175">
        <v>0</v>
      </c>
      <c r="F167" s="171"/>
      <c r="G167" s="175">
        <v>0</v>
      </c>
      <c r="H167" s="171"/>
      <c r="I167" s="172"/>
      <c r="J167" s="340"/>
    </row>
    <row r="168" spans="1:10" s="270" customFormat="1" ht="20.45" customHeight="1">
      <c r="A168" s="173"/>
      <c r="B168" s="180" t="s">
        <v>103</v>
      </c>
      <c r="C168" s="174">
        <f>350+170</f>
        <v>520</v>
      </c>
      <c r="D168" s="175" t="s">
        <v>10</v>
      </c>
      <c r="E168" s="175">
        <v>0</v>
      </c>
      <c r="F168" s="175">
        <f>C168*E168</f>
        <v>0</v>
      </c>
      <c r="G168" s="175">
        <v>0</v>
      </c>
      <c r="H168" s="175">
        <f>C168*G168</f>
        <v>0</v>
      </c>
      <c r="I168" s="175">
        <f>F168+H168</f>
        <v>0</v>
      </c>
      <c r="J168" s="339" t="s">
        <v>72</v>
      </c>
    </row>
    <row r="169" spans="1:10" s="325" customFormat="1" ht="20.45" customHeight="1">
      <c r="A169" s="173"/>
      <c r="B169" s="180" t="s">
        <v>104</v>
      </c>
      <c r="C169" s="174">
        <f>31+15</f>
        <v>46</v>
      </c>
      <c r="D169" s="175" t="s">
        <v>10</v>
      </c>
      <c r="E169" s="175">
        <v>0</v>
      </c>
      <c r="F169" s="175">
        <f>C169*E169</f>
        <v>0</v>
      </c>
      <c r="G169" s="175">
        <v>0</v>
      </c>
      <c r="H169" s="175">
        <f>C169*G169</f>
        <v>0</v>
      </c>
      <c r="I169" s="175">
        <f>F169+H169</f>
        <v>0</v>
      </c>
      <c r="J169" s="339" t="s">
        <v>72</v>
      </c>
    </row>
    <row r="170" spans="1:10" s="270" customFormat="1" ht="20.45" customHeight="1">
      <c r="A170" s="173"/>
      <c r="B170" s="180" t="s">
        <v>105</v>
      </c>
      <c r="C170" s="174">
        <v>160</v>
      </c>
      <c r="D170" s="175" t="s">
        <v>10</v>
      </c>
      <c r="E170" s="175">
        <v>0</v>
      </c>
      <c r="F170" s="175">
        <f>C170*E170</f>
        <v>0</v>
      </c>
      <c r="G170" s="175">
        <v>0</v>
      </c>
      <c r="H170" s="175">
        <f>C170*G170</f>
        <v>0</v>
      </c>
      <c r="I170" s="175">
        <f>F170+H170</f>
        <v>0</v>
      </c>
      <c r="J170" s="339" t="s">
        <v>72</v>
      </c>
    </row>
    <row r="171" spans="1:10" s="270" customFormat="1" ht="20.45" customHeight="1">
      <c r="A171" s="168">
        <v>3.4</v>
      </c>
      <c r="B171" s="169" t="s">
        <v>87</v>
      </c>
      <c r="C171" s="170"/>
      <c r="D171" s="170"/>
      <c r="E171" s="175">
        <v>0</v>
      </c>
      <c r="F171" s="171"/>
      <c r="G171" s="175">
        <v>0</v>
      </c>
      <c r="H171" s="171"/>
      <c r="I171" s="172"/>
      <c r="J171" s="340"/>
    </row>
    <row r="172" spans="1:10" s="270" customFormat="1" ht="20.45" customHeight="1">
      <c r="A172" s="173"/>
      <c r="B172" s="180" t="s">
        <v>88</v>
      </c>
      <c r="C172" s="174">
        <f>575</f>
        <v>575</v>
      </c>
      <c r="D172" s="175" t="s">
        <v>10</v>
      </c>
      <c r="E172" s="175">
        <v>0</v>
      </c>
      <c r="F172" s="175">
        <f>C172*E172</f>
        <v>0</v>
      </c>
      <c r="G172" s="175">
        <v>0</v>
      </c>
      <c r="H172" s="175">
        <f>C172*G172</f>
        <v>0</v>
      </c>
      <c r="I172" s="175">
        <f>F172+H172</f>
        <v>0</v>
      </c>
      <c r="J172" s="339" t="s">
        <v>72</v>
      </c>
    </row>
    <row r="173" spans="1:10" s="270" customFormat="1" ht="20.45" customHeight="1">
      <c r="A173" s="173"/>
      <c r="B173" s="180" t="s">
        <v>130</v>
      </c>
      <c r="C173" s="174">
        <f>22+11+8</f>
        <v>41</v>
      </c>
      <c r="D173" s="175" t="s">
        <v>95</v>
      </c>
      <c r="E173" s="175">
        <v>0</v>
      </c>
      <c r="F173" s="175">
        <f>C173*E173</f>
        <v>0</v>
      </c>
      <c r="G173" s="175">
        <v>0</v>
      </c>
      <c r="H173" s="175">
        <f>C173*G173</f>
        <v>0</v>
      </c>
      <c r="I173" s="175">
        <f>F173+H173</f>
        <v>0</v>
      </c>
      <c r="J173" s="339" t="s">
        <v>72</v>
      </c>
    </row>
    <row r="174" spans="1:10" s="270" customFormat="1" ht="20.45" customHeight="1">
      <c r="A174" s="173"/>
      <c r="B174" s="180" t="s">
        <v>193</v>
      </c>
      <c r="C174" s="174">
        <v>12</v>
      </c>
      <c r="D174" s="175" t="s">
        <v>95</v>
      </c>
      <c r="E174" s="175">
        <v>0</v>
      </c>
      <c r="F174" s="175">
        <f>C174*E174</f>
        <v>0</v>
      </c>
      <c r="G174" s="175">
        <v>0</v>
      </c>
      <c r="H174" s="175">
        <f>C174*G174</f>
        <v>0</v>
      </c>
      <c r="I174" s="175">
        <f>F174+H174</f>
        <v>0</v>
      </c>
      <c r="J174" s="339" t="s">
        <v>72</v>
      </c>
    </row>
    <row r="175" spans="1:10" s="270" customFormat="1" ht="20.45" customHeight="1">
      <c r="A175" s="173"/>
      <c r="B175" s="180" t="s">
        <v>116</v>
      </c>
      <c r="C175" s="174">
        <v>1</v>
      </c>
      <c r="D175" s="175" t="s">
        <v>117</v>
      </c>
      <c r="E175" s="175">
        <v>0</v>
      </c>
      <c r="F175" s="175">
        <f>C175*E175</f>
        <v>0</v>
      </c>
      <c r="G175" s="175">
        <v>0</v>
      </c>
      <c r="H175" s="175">
        <f>C175*G175</f>
        <v>0</v>
      </c>
      <c r="I175" s="175">
        <f>F175+H175</f>
        <v>0</v>
      </c>
      <c r="J175" s="339" t="s">
        <v>72</v>
      </c>
    </row>
    <row r="176" spans="1:10" s="270" customFormat="1" ht="20.45" customHeight="1">
      <c r="A176" s="168">
        <v>3.5</v>
      </c>
      <c r="B176" s="169" t="s">
        <v>89</v>
      </c>
      <c r="C176" s="170"/>
      <c r="D176" s="170"/>
      <c r="E176" s="175">
        <v>0</v>
      </c>
      <c r="F176" s="171"/>
      <c r="G176" s="175">
        <v>0</v>
      </c>
      <c r="H176" s="171"/>
      <c r="I176" s="172"/>
      <c r="J176" s="340"/>
    </row>
    <row r="177" spans="1:10" s="325" customFormat="1" ht="20.45" customHeight="1">
      <c r="A177" s="173"/>
      <c r="B177" s="180" t="s">
        <v>96</v>
      </c>
      <c r="C177" s="174">
        <f>260+105+62</f>
        <v>427</v>
      </c>
      <c r="D177" s="175" t="s">
        <v>10</v>
      </c>
      <c r="E177" s="175">
        <v>0</v>
      </c>
      <c r="F177" s="175">
        <f>C177*E177</f>
        <v>0</v>
      </c>
      <c r="G177" s="175">
        <v>0</v>
      </c>
      <c r="H177" s="175">
        <f>C177*G177</f>
        <v>0</v>
      </c>
      <c r="I177" s="175">
        <f>F177+H177</f>
        <v>0</v>
      </c>
      <c r="J177" s="339" t="s">
        <v>72</v>
      </c>
    </row>
    <row r="178" spans="1:10" s="270" customFormat="1" ht="20.45" customHeight="1">
      <c r="A178" s="173"/>
      <c r="B178" s="176" t="s">
        <v>97</v>
      </c>
      <c r="C178" s="174"/>
      <c r="D178" s="175"/>
      <c r="E178" s="175">
        <v>0</v>
      </c>
      <c r="F178" s="175"/>
      <c r="G178" s="175">
        <v>0</v>
      </c>
      <c r="H178" s="175"/>
      <c r="I178" s="175"/>
      <c r="J178" s="339"/>
    </row>
    <row r="179" spans="1:10" s="270" customFormat="1" ht="20.45" customHeight="1">
      <c r="A179" s="173"/>
      <c r="B179" s="180" t="s">
        <v>98</v>
      </c>
      <c r="C179" s="174">
        <f>130+145</f>
        <v>275</v>
      </c>
      <c r="D179" s="175" t="s">
        <v>10</v>
      </c>
      <c r="E179" s="175">
        <v>0</v>
      </c>
      <c r="F179" s="175">
        <f>C179*E179</f>
        <v>0</v>
      </c>
      <c r="G179" s="175">
        <v>0</v>
      </c>
      <c r="H179" s="175">
        <f>C179*G179</f>
        <v>0</v>
      </c>
      <c r="I179" s="175">
        <f>F179+H179</f>
        <v>0</v>
      </c>
      <c r="J179" s="339" t="s">
        <v>72</v>
      </c>
    </row>
    <row r="180" spans="1:10" s="270" customFormat="1" ht="20.45" customHeight="1">
      <c r="A180" s="173"/>
      <c r="B180" s="176" t="s">
        <v>97</v>
      </c>
      <c r="C180" s="174"/>
      <c r="D180" s="175"/>
      <c r="E180" s="175">
        <v>0</v>
      </c>
      <c r="F180" s="175"/>
      <c r="G180" s="175">
        <v>0</v>
      </c>
      <c r="H180" s="175"/>
      <c r="I180" s="175"/>
      <c r="J180" s="339"/>
    </row>
    <row r="181" spans="1:10" s="270" customFormat="1" ht="20.45" customHeight="1">
      <c r="A181" s="173"/>
      <c r="B181" s="180" t="s">
        <v>99</v>
      </c>
      <c r="C181" s="174">
        <f>C168+C169</f>
        <v>566</v>
      </c>
      <c r="D181" s="175" t="s">
        <v>10</v>
      </c>
      <c r="E181" s="175">
        <v>0</v>
      </c>
      <c r="F181" s="175">
        <f>C181*E181</f>
        <v>0</v>
      </c>
      <c r="G181" s="175">
        <v>0</v>
      </c>
      <c r="H181" s="175">
        <f>C181*G181</f>
        <v>0</v>
      </c>
      <c r="I181" s="175">
        <f>F181+H181</f>
        <v>0</v>
      </c>
      <c r="J181" s="339" t="s">
        <v>72</v>
      </c>
    </row>
    <row r="182" spans="1:10" s="270" customFormat="1" ht="20.45" customHeight="1">
      <c r="A182" s="173"/>
      <c r="B182" s="176" t="s">
        <v>100</v>
      </c>
      <c r="C182" s="174"/>
      <c r="D182" s="175"/>
      <c r="E182" s="175">
        <v>0</v>
      </c>
      <c r="F182" s="175"/>
      <c r="G182" s="175">
        <v>0</v>
      </c>
      <c r="H182" s="175"/>
      <c r="I182" s="175"/>
      <c r="J182" s="339"/>
    </row>
    <row r="183" spans="1:10" s="270" customFormat="1" ht="20.45" customHeight="1">
      <c r="A183" s="173"/>
      <c r="B183" s="180" t="s">
        <v>101</v>
      </c>
      <c r="C183" s="174">
        <f>C170+C156</f>
        <v>230</v>
      </c>
      <c r="D183" s="175" t="s">
        <v>10</v>
      </c>
      <c r="E183" s="175">
        <v>0</v>
      </c>
      <c r="F183" s="175">
        <f>C183*E183</f>
        <v>0</v>
      </c>
      <c r="G183" s="175">
        <v>0</v>
      </c>
      <c r="H183" s="175">
        <f>C183*G183</f>
        <v>0</v>
      </c>
      <c r="I183" s="175">
        <f>F183+H183</f>
        <v>0</v>
      </c>
      <c r="J183" s="339" t="s">
        <v>72</v>
      </c>
    </row>
    <row r="184" spans="1:10" s="270" customFormat="1" ht="20.45" customHeight="1">
      <c r="A184" s="173"/>
      <c r="B184" s="180"/>
      <c r="C184" s="175"/>
      <c r="D184" s="175"/>
      <c r="E184" s="175">
        <v>0</v>
      </c>
      <c r="F184" s="175"/>
      <c r="G184" s="175">
        <v>0</v>
      </c>
      <c r="H184" s="175"/>
      <c r="I184" s="392"/>
      <c r="J184" s="339"/>
    </row>
    <row r="185" spans="1:10" s="270" customFormat="1" ht="20.45" customHeight="1">
      <c r="A185" s="168">
        <v>3.6</v>
      </c>
      <c r="B185" s="169" t="s">
        <v>109</v>
      </c>
      <c r="C185" s="170"/>
      <c r="D185" s="170"/>
      <c r="E185" s="175">
        <v>0</v>
      </c>
      <c r="F185" s="171"/>
      <c r="G185" s="175">
        <v>0</v>
      </c>
      <c r="H185" s="171"/>
      <c r="I185" s="172"/>
      <c r="J185" s="340"/>
    </row>
    <row r="186" spans="1:10" s="270" customFormat="1" ht="20.45" customHeight="1">
      <c r="A186" s="173"/>
      <c r="B186" s="180" t="s">
        <v>110</v>
      </c>
      <c r="C186" s="174">
        <v>7</v>
      </c>
      <c r="D186" s="175" t="s">
        <v>71</v>
      </c>
      <c r="E186" s="175">
        <v>0</v>
      </c>
      <c r="F186" s="175">
        <f>C186*E186</f>
        <v>0</v>
      </c>
      <c r="G186" s="175">
        <v>0</v>
      </c>
      <c r="H186" s="175">
        <f t="shared" ref="H186:H203" si="31">C186*G186</f>
        <v>0</v>
      </c>
      <c r="I186" s="175">
        <f t="shared" ref="I186:I203" si="32">F186+H186</f>
        <v>0</v>
      </c>
      <c r="J186" s="339" t="s">
        <v>72</v>
      </c>
    </row>
    <row r="187" spans="1:10" s="270" customFormat="1" ht="20.45" customHeight="1">
      <c r="A187" s="173"/>
      <c r="B187" s="180" t="s">
        <v>112</v>
      </c>
      <c r="C187" s="174">
        <v>7</v>
      </c>
      <c r="D187" s="175" t="s">
        <v>71</v>
      </c>
      <c r="E187" s="175">
        <v>0</v>
      </c>
      <c r="F187" s="175">
        <f>C187*E187</f>
        <v>0</v>
      </c>
      <c r="G187" s="175">
        <v>0</v>
      </c>
      <c r="H187" s="175">
        <f t="shared" si="31"/>
        <v>0</v>
      </c>
      <c r="I187" s="175">
        <f t="shared" si="32"/>
        <v>0</v>
      </c>
      <c r="J187" s="339" t="s">
        <v>72</v>
      </c>
    </row>
    <row r="188" spans="1:10" s="270" customFormat="1" ht="20.45" customHeight="1">
      <c r="A188" s="173"/>
      <c r="B188" s="180" t="s">
        <v>247</v>
      </c>
      <c r="C188" s="174">
        <v>5</v>
      </c>
      <c r="D188" s="175" t="s">
        <v>71</v>
      </c>
      <c r="E188" s="175">
        <v>0</v>
      </c>
      <c r="F188" s="175">
        <f>C188*E188</f>
        <v>0</v>
      </c>
      <c r="G188" s="175">
        <v>0</v>
      </c>
      <c r="H188" s="175">
        <f t="shared" si="31"/>
        <v>0</v>
      </c>
      <c r="I188" s="175">
        <f t="shared" si="32"/>
        <v>0</v>
      </c>
      <c r="J188" s="339" t="s">
        <v>72</v>
      </c>
    </row>
    <row r="189" spans="1:10" s="270" customFormat="1" ht="20.45" customHeight="1">
      <c r="A189" s="173"/>
      <c r="B189" s="180" t="s">
        <v>111</v>
      </c>
      <c r="C189" s="174">
        <v>1</v>
      </c>
      <c r="D189" s="175" t="s">
        <v>71</v>
      </c>
      <c r="E189" s="175">
        <v>0</v>
      </c>
      <c r="F189" s="175">
        <f>C189*E189</f>
        <v>0</v>
      </c>
      <c r="G189" s="175">
        <v>0</v>
      </c>
      <c r="H189" s="175">
        <f t="shared" si="31"/>
        <v>0</v>
      </c>
      <c r="I189" s="175">
        <f t="shared" si="32"/>
        <v>0</v>
      </c>
      <c r="J189" s="339" t="s">
        <v>72</v>
      </c>
    </row>
    <row r="190" spans="1:10" s="270" customFormat="1" ht="20.45" customHeight="1">
      <c r="A190" s="173"/>
      <c r="B190" s="180" t="s">
        <v>248</v>
      </c>
      <c r="C190" s="174">
        <v>6</v>
      </c>
      <c r="D190" s="175" t="s">
        <v>71</v>
      </c>
      <c r="E190" s="175">
        <v>0</v>
      </c>
      <c r="F190" s="175">
        <f>C190*E190</f>
        <v>0</v>
      </c>
      <c r="G190" s="175">
        <v>0</v>
      </c>
      <c r="H190" s="175">
        <f t="shared" si="31"/>
        <v>0</v>
      </c>
      <c r="I190" s="175">
        <f t="shared" si="32"/>
        <v>0</v>
      </c>
      <c r="J190" s="339" t="s">
        <v>72</v>
      </c>
    </row>
    <row r="191" spans="1:10" s="270" customFormat="1" ht="20.45" customHeight="1">
      <c r="A191" s="173"/>
      <c r="B191" s="180" t="s">
        <v>246</v>
      </c>
      <c r="C191" s="174">
        <v>3</v>
      </c>
      <c r="D191" s="175" t="s">
        <v>71</v>
      </c>
      <c r="E191" s="175">
        <v>0</v>
      </c>
      <c r="F191" s="175">
        <f t="shared" ref="F191:F203" si="33">C191*E191</f>
        <v>0</v>
      </c>
      <c r="G191" s="175">
        <v>0</v>
      </c>
      <c r="H191" s="175">
        <f t="shared" si="31"/>
        <v>0</v>
      </c>
      <c r="I191" s="175">
        <f t="shared" si="32"/>
        <v>0</v>
      </c>
      <c r="J191" s="339" t="s">
        <v>72</v>
      </c>
    </row>
    <row r="192" spans="1:10" s="270" customFormat="1" ht="20.45" customHeight="1">
      <c r="A192" s="173"/>
      <c r="B192" s="180" t="s">
        <v>118</v>
      </c>
      <c r="C192" s="174">
        <v>3</v>
      </c>
      <c r="D192" s="175" t="s">
        <v>71</v>
      </c>
      <c r="E192" s="175">
        <v>0</v>
      </c>
      <c r="F192" s="175">
        <f t="shared" si="33"/>
        <v>0</v>
      </c>
      <c r="G192" s="175">
        <v>0</v>
      </c>
      <c r="H192" s="175">
        <f t="shared" si="31"/>
        <v>0</v>
      </c>
      <c r="I192" s="175">
        <f t="shared" si="32"/>
        <v>0</v>
      </c>
      <c r="J192" s="339" t="s">
        <v>72</v>
      </c>
    </row>
    <row r="193" spans="1:10" s="270" customFormat="1" ht="20.45" customHeight="1">
      <c r="A193" s="173"/>
      <c r="B193" s="180" t="s">
        <v>243</v>
      </c>
      <c r="C193" s="174">
        <v>1</v>
      </c>
      <c r="D193" s="175" t="s">
        <v>71</v>
      </c>
      <c r="E193" s="175">
        <v>0</v>
      </c>
      <c r="F193" s="175">
        <f t="shared" si="33"/>
        <v>0</v>
      </c>
      <c r="G193" s="175">
        <v>0</v>
      </c>
      <c r="H193" s="175">
        <f t="shared" si="31"/>
        <v>0</v>
      </c>
      <c r="I193" s="175">
        <f t="shared" si="32"/>
        <v>0</v>
      </c>
      <c r="J193" s="339" t="s">
        <v>72</v>
      </c>
    </row>
    <row r="194" spans="1:10" s="270" customFormat="1" ht="20.45" customHeight="1">
      <c r="A194" s="173"/>
      <c r="B194" s="180" t="s">
        <v>244</v>
      </c>
      <c r="C194" s="174">
        <v>1</v>
      </c>
      <c r="D194" s="175" t="s">
        <v>71</v>
      </c>
      <c r="E194" s="175">
        <v>0</v>
      </c>
      <c r="F194" s="175">
        <f t="shared" si="33"/>
        <v>0</v>
      </c>
      <c r="G194" s="175">
        <v>0</v>
      </c>
      <c r="H194" s="175">
        <f t="shared" si="31"/>
        <v>0</v>
      </c>
      <c r="I194" s="175">
        <f t="shared" si="32"/>
        <v>0</v>
      </c>
      <c r="J194" s="339" t="s">
        <v>72</v>
      </c>
    </row>
    <row r="195" spans="1:10" s="270" customFormat="1" ht="20.45" customHeight="1">
      <c r="A195" s="173"/>
      <c r="B195" s="180" t="s">
        <v>245</v>
      </c>
      <c r="C195" s="174">
        <v>1</v>
      </c>
      <c r="D195" s="175" t="s">
        <v>71</v>
      </c>
      <c r="E195" s="175">
        <v>0</v>
      </c>
      <c r="F195" s="175">
        <f t="shared" si="33"/>
        <v>0</v>
      </c>
      <c r="G195" s="175">
        <v>0</v>
      </c>
      <c r="H195" s="175">
        <f t="shared" si="31"/>
        <v>0</v>
      </c>
      <c r="I195" s="175">
        <f t="shared" si="32"/>
        <v>0</v>
      </c>
      <c r="J195" s="339" t="s">
        <v>72</v>
      </c>
    </row>
    <row r="196" spans="1:10" s="270" customFormat="1" ht="20.45" customHeight="1">
      <c r="A196" s="173"/>
      <c r="B196" s="180" t="s">
        <v>113</v>
      </c>
      <c r="C196" s="174">
        <v>3</v>
      </c>
      <c r="D196" s="175" t="s">
        <v>114</v>
      </c>
      <c r="E196" s="175">
        <v>0</v>
      </c>
      <c r="F196" s="175">
        <f t="shared" si="33"/>
        <v>0</v>
      </c>
      <c r="G196" s="175">
        <v>0</v>
      </c>
      <c r="H196" s="175">
        <f t="shared" si="31"/>
        <v>0</v>
      </c>
      <c r="I196" s="175">
        <f t="shared" si="32"/>
        <v>0</v>
      </c>
      <c r="J196" s="339" t="s">
        <v>72</v>
      </c>
    </row>
    <row r="197" spans="1:10" s="342" customFormat="1" ht="20.45" customHeight="1">
      <c r="A197" s="173"/>
      <c r="B197" s="180" t="s">
        <v>115</v>
      </c>
      <c r="C197" s="174">
        <v>3</v>
      </c>
      <c r="D197" s="175" t="s">
        <v>114</v>
      </c>
      <c r="E197" s="175">
        <v>0</v>
      </c>
      <c r="F197" s="175">
        <f t="shared" si="33"/>
        <v>0</v>
      </c>
      <c r="G197" s="175">
        <v>0</v>
      </c>
      <c r="H197" s="175">
        <f t="shared" si="31"/>
        <v>0</v>
      </c>
      <c r="I197" s="175">
        <f t="shared" si="32"/>
        <v>0</v>
      </c>
      <c r="J197" s="339" t="s">
        <v>108</v>
      </c>
    </row>
    <row r="198" spans="1:10" s="270" customFormat="1" ht="20.45" customHeight="1">
      <c r="A198" s="173"/>
      <c r="B198" s="180" t="s">
        <v>119</v>
      </c>
      <c r="C198" s="174">
        <v>6</v>
      </c>
      <c r="D198" s="175" t="s">
        <v>71</v>
      </c>
      <c r="E198" s="175">
        <v>0</v>
      </c>
      <c r="F198" s="175">
        <f t="shared" si="33"/>
        <v>0</v>
      </c>
      <c r="G198" s="175">
        <v>0</v>
      </c>
      <c r="H198" s="175">
        <f t="shared" si="31"/>
        <v>0</v>
      </c>
      <c r="I198" s="175">
        <f t="shared" si="32"/>
        <v>0</v>
      </c>
      <c r="J198" s="339" t="s">
        <v>72</v>
      </c>
    </row>
    <row r="199" spans="1:10" s="270" customFormat="1" ht="20.45" customHeight="1">
      <c r="A199" s="173"/>
      <c r="B199" s="180" t="s">
        <v>237</v>
      </c>
      <c r="C199" s="174">
        <v>1</v>
      </c>
      <c r="D199" s="175" t="s">
        <v>71</v>
      </c>
      <c r="E199" s="175">
        <v>0</v>
      </c>
      <c r="F199" s="175">
        <f t="shared" si="33"/>
        <v>0</v>
      </c>
      <c r="G199" s="175">
        <v>0</v>
      </c>
      <c r="H199" s="175">
        <f t="shared" si="31"/>
        <v>0</v>
      </c>
      <c r="I199" s="175">
        <f t="shared" si="32"/>
        <v>0</v>
      </c>
      <c r="J199" s="339" t="s">
        <v>108</v>
      </c>
    </row>
    <row r="200" spans="1:10" s="270" customFormat="1" ht="20.45" customHeight="1">
      <c r="A200" s="173"/>
      <c r="B200" s="180" t="s">
        <v>236</v>
      </c>
      <c r="C200" s="174">
        <v>1</v>
      </c>
      <c r="D200" s="175" t="s">
        <v>71</v>
      </c>
      <c r="E200" s="175">
        <v>0</v>
      </c>
      <c r="F200" s="175">
        <f t="shared" si="33"/>
        <v>0</v>
      </c>
      <c r="G200" s="175">
        <v>0</v>
      </c>
      <c r="H200" s="175">
        <f t="shared" si="31"/>
        <v>0</v>
      </c>
      <c r="I200" s="175">
        <f t="shared" si="32"/>
        <v>0</v>
      </c>
      <c r="J200" s="339" t="s">
        <v>108</v>
      </c>
    </row>
    <row r="201" spans="1:10" s="270" customFormat="1" ht="20.45" customHeight="1">
      <c r="A201" s="173"/>
      <c r="B201" s="180" t="s">
        <v>239</v>
      </c>
      <c r="C201" s="174">
        <v>1</v>
      </c>
      <c r="D201" s="175" t="s">
        <v>117</v>
      </c>
      <c r="E201" s="175">
        <v>0</v>
      </c>
      <c r="F201" s="175">
        <f t="shared" si="33"/>
        <v>0</v>
      </c>
      <c r="G201" s="175">
        <v>0</v>
      </c>
      <c r="H201" s="175">
        <f t="shared" si="31"/>
        <v>0</v>
      </c>
      <c r="I201" s="175">
        <f t="shared" si="32"/>
        <v>0</v>
      </c>
      <c r="J201" s="339" t="s">
        <v>108</v>
      </c>
    </row>
    <row r="202" spans="1:10" s="270" customFormat="1" ht="20.45" customHeight="1">
      <c r="A202" s="173"/>
      <c r="B202" s="180" t="s">
        <v>238</v>
      </c>
      <c r="C202" s="174">
        <v>1</v>
      </c>
      <c r="D202" s="175" t="s">
        <v>117</v>
      </c>
      <c r="E202" s="175">
        <v>0</v>
      </c>
      <c r="F202" s="175">
        <f t="shared" si="33"/>
        <v>0</v>
      </c>
      <c r="G202" s="175">
        <v>0</v>
      </c>
      <c r="H202" s="175">
        <f t="shared" si="31"/>
        <v>0</v>
      </c>
      <c r="I202" s="175">
        <f t="shared" si="32"/>
        <v>0</v>
      </c>
      <c r="J202" s="339" t="s">
        <v>108</v>
      </c>
    </row>
    <row r="203" spans="1:10" s="270" customFormat="1" ht="20.45" customHeight="1">
      <c r="A203" s="173"/>
      <c r="B203" s="180" t="s">
        <v>116</v>
      </c>
      <c r="C203" s="174">
        <v>1</v>
      </c>
      <c r="D203" s="175" t="s">
        <v>117</v>
      </c>
      <c r="E203" s="175">
        <v>0</v>
      </c>
      <c r="F203" s="175">
        <f t="shared" si="33"/>
        <v>0</v>
      </c>
      <c r="G203" s="175">
        <v>0</v>
      </c>
      <c r="H203" s="175">
        <f t="shared" si="31"/>
        <v>0</v>
      </c>
      <c r="I203" s="175">
        <f t="shared" si="32"/>
        <v>0</v>
      </c>
      <c r="J203" s="339" t="s">
        <v>108</v>
      </c>
    </row>
    <row r="204" spans="1:10" s="270" customFormat="1" ht="20.45" customHeight="1">
      <c r="A204" s="168">
        <v>3.7</v>
      </c>
      <c r="B204" s="169" t="s">
        <v>120</v>
      </c>
      <c r="C204" s="170"/>
      <c r="D204" s="170"/>
      <c r="E204" s="175">
        <v>0</v>
      </c>
      <c r="F204" s="171"/>
      <c r="G204" s="175">
        <v>0</v>
      </c>
      <c r="H204" s="171"/>
      <c r="I204" s="172"/>
      <c r="J204" s="340"/>
    </row>
    <row r="205" spans="1:10" s="270" customFormat="1" ht="20.45" customHeight="1">
      <c r="A205" s="173"/>
      <c r="B205" s="180" t="s">
        <v>154</v>
      </c>
      <c r="C205" s="174">
        <v>1</v>
      </c>
      <c r="D205" s="175" t="s">
        <v>71</v>
      </c>
      <c r="E205" s="175">
        <v>0</v>
      </c>
      <c r="F205" s="175">
        <f t="shared" ref="F205:F234" si="34">C205*E205</f>
        <v>0</v>
      </c>
      <c r="G205" s="175">
        <v>0</v>
      </c>
      <c r="H205" s="175">
        <f t="shared" ref="H205:H234" si="35">C205*G205</f>
        <v>0</v>
      </c>
      <c r="I205" s="175">
        <f t="shared" ref="I205:I234" si="36">F205+H205</f>
        <v>0</v>
      </c>
      <c r="J205" s="339" t="s">
        <v>108</v>
      </c>
    </row>
    <row r="206" spans="1:10" s="270" customFormat="1" ht="20.45" customHeight="1">
      <c r="A206" s="173"/>
      <c r="B206" s="180" t="s">
        <v>155</v>
      </c>
      <c r="C206" s="174">
        <v>1</v>
      </c>
      <c r="D206" s="175" t="s">
        <v>71</v>
      </c>
      <c r="E206" s="175">
        <v>0</v>
      </c>
      <c r="F206" s="175">
        <f t="shared" si="34"/>
        <v>0</v>
      </c>
      <c r="G206" s="175">
        <v>0</v>
      </c>
      <c r="H206" s="175">
        <f t="shared" si="35"/>
        <v>0</v>
      </c>
      <c r="I206" s="175">
        <f t="shared" si="36"/>
        <v>0</v>
      </c>
      <c r="J206" s="339" t="s">
        <v>108</v>
      </c>
    </row>
    <row r="207" spans="1:10" s="270" customFormat="1" ht="20.45" customHeight="1">
      <c r="A207" s="173"/>
      <c r="B207" s="180" t="s">
        <v>156</v>
      </c>
      <c r="C207" s="174">
        <v>1</v>
      </c>
      <c r="D207" s="175" t="s">
        <v>71</v>
      </c>
      <c r="E207" s="175">
        <v>0</v>
      </c>
      <c r="F207" s="175">
        <f t="shared" si="34"/>
        <v>0</v>
      </c>
      <c r="G207" s="175">
        <v>0</v>
      </c>
      <c r="H207" s="175">
        <f t="shared" si="35"/>
        <v>0</v>
      </c>
      <c r="I207" s="175">
        <f t="shared" si="36"/>
        <v>0</v>
      </c>
      <c r="J207" s="339" t="s">
        <v>108</v>
      </c>
    </row>
    <row r="208" spans="1:10" s="270" customFormat="1" ht="20.45" customHeight="1">
      <c r="A208" s="173"/>
      <c r="B208" s="180" t="s">
        <v>168</v>
      </c>
      <c r="C208" s="174">
        <v>2</v>
      </c>
      <c r="D208" s="175" t="s">
        <v>71</v>
      </c>
      <c r="E208" s="175">
        <v>0</v>
      </c>
      <c r="F208" s="175">
        <f t="shared" si="34"/>
        <v>0</v>
      </c>
      <c r="G208" s="175">
        <v>0</v>
      </c>
      <c r="H208" s="175">
        <f t="shared" si="35"/>
        <v>0</v>
      </c>
      <c r="I208" s="175">
        <f t="shared" si="36"/>
        <v>0</v>
      </c>
      <c r="J208" s="339" t="s">
        <v>108</v>
      </c>
    </row>
    <row r="209" spans="1:10" s="270" customFormat="1" ht="20.45" customHeight="1">
      <c r="A209" s="173"/>
      <c r="B209" s="180" t="s">
        <v>169</v>
      </c>
      <c r="C209" s="174">
        <v>3</v>
      </c>
      <c r="D209" s="175" t="s">
        <v>71</v>
      </c>
      <c r="E209" s="175">
        <v>0</v>
      </c>
      <c r="F209" s="175">
        <f t="shared" si="34"/>
        <v>0</v>
      </c>
      <c r="G209" s="175">
        <v>0</v>
      </c>
      <c r="H209" s="175">
        <f t="shared" si="35"/>
        <v>0</v>
      </c>
      <c r="I209" s="175">
        <f t="shared" si="36"/>
        <v>0</v>
      </c>
      <c r="J209" s="339" t="s">
        <v>108</v>
      </c>
    </row>
    <row r="210" spans="1:10" s="270" customFormat="1" ht="20.45" customHeight="1">
      <c r="A210" s="173"/>
      <c r="B210" s="180" t="s">
        <v>170</v>
      </c>
      <c r="C210" s="174">
        <v>2</v>
      </c>
      <c r="D210" s="175" t="s">
        <v>71</v>
      </c>
      <c r="E210" s="175">
        <v>0</v>
      </c>
      <c r="F210" s="175">
        <f t="shared" si="34"/>
        <v>0</v>
      </c>
      <c r="G210" s="175">
        <v>0</v>
      </c>
      <c r="H210" s="175">
        <f t="shared" si="35"/>
        <v>0</v>
      </c>
      <c r="I210" s="175">
        <f t="shared" si="36"/>
        <v>0</v>
      </c>
      <c r="J210" s="339" t="s">
        <v>108</v>
      </c>
    </row>
    <row r="211" spans="1:10" s="270" customFormat="1" ht="20.45" customHeight="1">
      <c r="A211" s="173"/>
      <c r="B211" s="180" t="s">
        <v>175</v>
      </c>
      <c r="C211" s="174">
        <v>1</v>
      </c>
      <c r="D211" s="175" t="s">
        <v>71</v>
      </c>
      <c r="E211" s="175">
        <v>0</v>
      </c>
      <c r="F211" s="175">
        <f t="shared" si="34"/>
        <v>0</v>
      </c>
      <c r="G211" s="175">
        <v>0</v>
      </c>
      <c r="H211" s="175">
        <f t="shared" si="35"/>
        <v>0</v>
      </c>
      <c r="I211" s="175">
        <f t="shared" si="36"/>
        <v>0</v>
      </c>
      <c r="J211" s="339" t="s">
        <v>108</v>
      </c>
    </row>
    <row r="212" spans="1:10" s="270" customFormat="1" ht="20.45" customHeight="1">
      <c r="A212" s="173"/>
      <c r="B212" s="180" t="s">
        <v>171</v>
      </c>
      <c r="C212" s="174">
        <v>2</v>
      </c>
      <c r="D212" s="175" t="s">
        <v>71</v>
      </c>
      <c r="E212" s="175">
        <v>0</v>
      </c>
      <c r="F212" s="175">
        <f t="shared" si="34"/>
        <v>0</v>
      </c>
      <c r="G212" s="175">
        <v>0</v>
      </c>
      <c r="H212" s="175">
        <f t="shared" si="35"/>
        <v>0</v>
      </c>
      <c r="I212" s="175">
        <f t="shared" si="36"/>
        <v>0</v>
      </c>
      <c r="J212" s="339" t="s">
        <v>108</v>
      </c>
    </row>
    <row r="213" spans="1:10" s="270" customFormat="1" ht="20.45" customHeight="1">
      <c r="A213" s="173"/>
      <c r="B213" s="180" t="s">
        <v>172</v>
      </c>
      <c r="C213" s="174">
        <v>1</v>
      </c>
      <c r="D213" s="175" t="s">
        <v>71</v>
      </c>
      <c r="E213" s="175">
        <v>0</v>
      </c>
      <c r="F213" s="175">
        <f t="shared" si="34"/>
        <v>0</v>
      </c>
      <c r="G213" s="175">
        <v>0</v>
      </c>
      <c r="H213" s="175">
        <f t="shared" si="35"/>
        <v>0</v>
      </c>
      <c r="I213" s="175">
        <f t="shared" si="36"/>
        <v>0</v>
      </c>
      <c r="J213" s="339" t="s">
        <v>108</v>
      </c>
    </row>
    <row r="214" spans="1:10" s="270" customFormat="1" ht="20.45" customHeight="1">
      <c r="A214" s="173"/>
      <c r="B214" s="180" t="s">
        <v>157</v>
      </c>
      <c r="C214" s="174">
        <v>1</v>
      </c>
      <c r="D214" s="175" t="s">
        <v>71</v>
      </c>
      <c r="E214" s="175">
        <v>0</v>
      </c>
      <c r="F214" s="175">
        <f t="shared" si="34"/>
        <v>0</v>
      </c>
      <c r="G214" s="175">
        <v>0</v>
      </c>
      <c r="H214" s="175">
        <f t="shared" si="35"/>
        <v>0</v>
      </c>
      <c r="I214" s="175">
        <f t="shared" si="36"/>
        <v>0</v>
      </c>
      <c r="J214" s="339" t="s">
        <v>108</v>
      </c>
    </row>
    <row r="215" spans="1:10" s="270" customFormat="1" ht="20.45" customHeight="1">
      <c r="A215" s="173"/>
      <c r="B215" s="180" t="s">
        <v>173</v>
      </c>
      <c r="C215" s="174">
        <v>1</v>
      </c>
      <c r="D215" s="175" t="s">
        <v>71</v>
      </c>
      <c r="E215" s="175">
        <v>0</v>
      </c>
      <c r="F215" s="175">
        <f t="shared" si="34"/>
        <v>0</v>
      </c>
      <c r="G215" s="175">
        <v>0</v>
      </c>
      <c r="H215" s="175">
        <f t="shared" si="35"/>
        <v>0</v>
      </c>
      <c r="I215" s="175">
        <f t="shared" si="36"/>
        <v>0</v>
      </c>
      <c r="J215" s="339" t="s">
        <v>108</v>
      </c>
    </row>
    <row r="216" spans="1:10" s="270" customFormat="1" ht="20.45" customHeight="1">
      <c r="A216" s="173"/>
      <c r="B216" s="180" t="s">
        <v>174</v>
      </c>
      <c r="C216" s="174">
        <v>1</v>
      </c>
      <c r="D216" s="175" t="s">
        <v>71</v>
      </c>
      <c r="E216" s="175">
        <v>0</v>
      </c>
      <c r="F216" s="175">
        <f t="shared" si="34"/>
        <v>0</v>
      </c>
      <c r="G216" s="175">
        <v>0</v>
      </c>
      <c r="H216" s="175">
        <f t="shared" si="35"/>
        <v>0</v>
      </c>
      <c r="I216" s="175">
        <f t="shared" si="36"/>
        <v>0</v>
      </c>
      <c r="J216" s="339" t="s">
        <v>108</v>
      </c>
    </row>
    <row r="217" spans="1:10" s="270" customFormat="1" ht="20.45" customHeight="1">
      <c r="A217" s="173"/>
      <c r="B217" s="180" t="s">
        <v>158</v>
      </c>
      <c r="C217" s="174">
        <v>1</v>
      </c>
      <c r="D217" s="175" t="s">
        <v>71</v>
      </c>
      <c r="E217" s="175">
        <v>0</v>
      </c>
      <c r="F217" s="175">
        <f t="shared" si="34"/>
        <v>0</v>
      </c>
      <c r="G217" s="175">
        <v>0</v>
      </c>
      <c r="H217" s="175">
        <f t="shared" si="35"/>
        <v>0</v>
      </c>
      <c r="I217" s="175">
        <f t="shared" si="36"/>
        <v>0</v>
      </c>
      <c r="J217" s="339" t="s">
        <v>108</v>
      </c>
    </row>
    <row r="218" spans="1:10" s="270" customFormat="1" ht="20.45" customHeight="1">
      <c r="A218" s="173"/>
      <c r="B218" s="180" t="s">
        <v>249</v>
      </c>
      <c r="C218" s="174">
        <v>1</v>
      </c>
      <c r="D218" s="175" t="s">
        <v>71</v>
      </c>
      <c r="E218" s="175">
        <v>0</v>
      </c>
      <c r="F218" s="175">
        <f t="shared" si="34"/>
        <v>0</v>
      </c>
      <c r="G218" s="175">
        <v>0</v>
      </c>
      <c r="H218" s="175">
        <f t="shared" si="35"/>
        <v>0</v>
      </c>
      <c r="I218" s="175">
        <f t="shared" si="36"/>
        <v>0</v>
      </c>
      <c r="J218" s="339" t="s">
        <v>108</v>
      </c>
    </row>
    <row r="219" spans="1:10" s="270" customFormat="1" ht="20.45" customHeight="1">
      <c r="A219" s="173"/>
      <c r="B219" s="180" t="s">
        <v>251</v>
      </c>
      <c r="C219" s="174">
        <v>1</v>
      </c>
      <c r="D219" s="175" t="s">
        <v>71</v>
      </c>
      <c r="E219" s="175">
        <v>0</v>
      </c>
      <c r="F219" s="175">
        <f t="shared" si="34"/>
        <v>0</v>
      </c>
      <c r="G219" s="175">
        <v>0</v>
      </c>
      <c r="H219" s="175">
        <f t="shared" si="35"/>
        <v>0</v>
      </c>
      <c r="I219" s="175">
        <f t="shared" si="36"/>
        <v>0</v>
      </c>
      <c r="J219" s="339" t="s">
        <v>108</v>
      </c>
    </row>
    <row r="220" spans="1:10" s="270" customFormat="1" ht="20.45" customHeight="1">
      <c r="A220" s="173"/>
      <c r="B220" s="180" t="s">
        <v>159</v>
      </c>
      <c r="C220" s="174">
        <v>2</v>
      </c>
      <c r="D220" s="175" t="s">
        <v>71</v>
      </c>
      <c r="E220" s="175">
        <v>0</v>
      </c>
      <c r="F220" s="175">
        <f t="shared" si="34"/>
        <v>0</v>
      </c>
      <c r="G220" s="175">
        <v>0</v>
      </c>
      <c r="H220" s="175">
        <f t="shared" si="35"/>
        <v>0</v>
      </c>
      <c r="I220" s="175">
        <f t="shared" si="36"/>
        <v>0</v>
      </c>
      <c r="J220" s="339" t="s">
        <v>108</v>
      </c>
    </row>
    <row r="221" spans="1:10" s="270" customFormat="1" ht="20.45" customHeight="1">
      <c r="A221" s="173"/>
      <c r="B221" s="180" t="s">
        <v>176</v>
      </c>
      <c r="C221" s="174">
        <v>2</v>
      </c>
      <c r="D221" s="175" t="s">
        <v>71</v>
      </c>
      <c r="E221" s="175">
        <v>0</v>
      </c>
      <c r="F221" s="175">
        <f t="shared" si="34"/>
        <v>0</v>
      </c>
      <c r="G221" s="175">
        <v>0</v>
      </c>
      <c r="H221" s="175">
        <f t="shared" si="35"/>
        <v>0</v>
      </c>
      <c r="I221" s="175">
        <f t="shared" si="36"/>
        <v>0</v>
      </c>
      <c r="J221" s="339" t="s">
        <v>108</v>
      </c>
    </row>
    <row r="222" spans="1:10" s="341" customFormat="1" ht="20.45" customHeight="1">
      <c r="A222" s="173"/>
      <c r="B222" s="180" t="s">
        <v>177</v>
      </c>
      <c r="C222" s="174">
        <v>1</v>
      </c>
      <c r="D222" s="175" t="s">
        <v>71</v>
      </c>
      <c r="E222" s="175">
        <v>0</v>
      </c>
      <c r="F222" s="175">
        <f t="shared" si="34"/>
        <v>0</v>
      </c>
      <c r="G222" s="175">
        <v>0</v>
      </c>
      <c r="H222" s="175">
        <f t="shared" si="35"/>
        <v>0</v>
      </c>
      <c r="I222" s="175">
        <f t="shared" si="36"/>
        <v>0</v>
      </c>
      <c r="J222" s="339" t="s">
        <v>108</v>
      </c>
    </row>
    <row r="223" spans="1:10" s="270" customFormat="1" ht="20.45" customHeight="1">
      <c r="A223" s="173"/>
      <c r="B223" s="180" t="s">
        <v>178</v>
      </c>
      <c r="C223" s="174">
        <v>3</v>
      </c>
      <c r="D223" s="175" t="s">
        <v>71</v>
      </c>
      <c r="E223" s="175">
        <v>0</v>
      </c>
      <c r="F223" s="175">
        <f t="shared" si="34"/>
        <v>0</v>
      </c>
      <c r="G223" s="175">
        <v>0</v>
      </c>
      <c r="H223" s="175">
        <f t="shared" si="35"/>
        <v>0</v>
      </c>
      <c r="I223" s="175">
        <f t="shared" si="36"/>
        <v>0</v>
      </c>
      <c r="J223" s="339" t="s">
        <v>108</v>
      </c>
    </row>
    <row r="224" spans="1:10" s="270" customFormat="1" ht="20.45" customHeight="1">
      <c r="A224" s="173"/>
      <c r="B224" s="180" t="s">
        <v>179</v>
      </c>
      <c r="C224" s="174">
        <v>1</v>
      </c>
      <c r="D224" s="175" t="s">
        <v>71</v>
      </c>
      <c r="E224" s="175">
        <v>0</v>
      </c>
      <c r="F224" s="175">
        <f t="shared" si="34"/>
        <v>0</v>
      </c>
      <c r="G224" s="175">
        <v>0</v>
      </c>
      <c r="H224" s="175">
        <f t="shared" si="35"/>
        <v>0</v>
      </c>
      <c r="I224" s="175">
        <f t="shared" si="36"/>
        <v>0</v>
      </c>
      <c r="J224" s="339" t="s">
        <v>108</v>
      </c>
    </row>
    <row r="225" spans="1:10" s="270" customFormat="1" ht="20.45" customHeight="1">
      <c r="A225" s="173"/>
      <c r="B225" s="180" t="s">
        <v>180</v>
      </c>
      <c r="C225" s="174">
        <v>1</v>
      </c>
      <c r="D225" s="175" t="s">
        <v>71</v>
      </c>
      <c r="E225" s="175">
        <v>0</v>
      </c>
      <c r="F225" s="175">
        <f t="shared" si="34"/>
        <v>0</v>
      </c>
      <c r="G225" s="175">
        <v>0</v>
      </c>
      <c r="H225" s="175">
        <f t="shared" si="35"/>
        <v>0</v>
      </c>
      <c r="I225" s="175">
        <f t="shared" si="36"/>
        <v>0</v>
      </c>
      <c r="J225" s="339" t="s">
        <v>108</v>
      </c>
    </row>
    <row r="226" spans="1:10" s="270" customFormat="1" ht="20.45" customHeight="1">
      <c r="A226" s="173"/>
      <c r="B226" s="180" t="s">
        <v>160</v>
      </c>
      <c r="C226" s="174">
        <v>4</v>
      </c>
      <c r="D226" s="175" t="s">
        <v>71</v>
      </c>
      <c r="E226" s="175">
        <v>0</v>
      </c>
      <c r="F226" s="175">
        <f t="shared" si="34"/>
        <v>0</v>
      </c>
      <c r="G226" s="175">
        <v>0</v>
      </c>
      <c r="H226" s="175">
        <f t="shared" si="35"/>
        <v>0</v>
      </c>
      <c r="I226" s="175">
        <f t="shared" si="36"/>
        <v>0</v>
      </c>
      <c r="J226" s="339" t="s">
        <v>108</v>
      </c>
    </row>
    <row r="227" spans="1:10" s="270" customFormat="1" ht="20.45" customHeight="1">
      <c r="A227" s="173"/>
      <c r="B227" s="180" t="s">
        <v>161</v>
      </c>
      <c r="C227" s="174">
        <v>1</v>
      </c>
      <c r="D227" s="175" t="s">
        <v>71</v>
      </c>
      <c r="E227" s="175">
        <v>0</v>
      </c>
      <c r="F227" s="175">
        <f t="shared" si="34"/>
        <v>0</v>
      </c>
      <c r="G227" s="175">
        <v>0</v>
      </c>
      <c r="H227" s="175">
        <f t="shared" si="35"/>
        <v>0</v>
      </c>
      <c r="I227" s="175">
        <f t="shared" si="36"/>
        <v>0</v>
      </c>
      <c r="J227" s="339" t="s">
        <v>108</v>
      </c>
    </row>
    <row r="228" spans="1:10" s="325" customFormat="1" ht="20.45" customHeight="1">
      <c r="A228" s="173"/>
      <c r="B228" s="180" t="s">
        <v>162</v>
      </c>
      <c r="C228" s="174">
        <v>2</v>
      </c>
      <c r="D228" s="175" t="s">
        <v>71</v>
      </c>
      <c r="E228" s="175">
        <v>0</v>
      </c>
      <c r="F228" s="175">
        <f t="shared" si="34"/>
        <v>0</v>
      </c>
      <c r="G228" s="175">
        <v>0</v>
      </c>
      <c r="H228" s="175">
        <f t="shared" si="35"/>
        <v>0</v>
      </c>
      <c r="I228" s="175">
        <f t="shared" si="36"/>
        <v>0</v>
      </c>
      <c r="J228" s="339" t="s">
        <v>108</v>
      </c>
    </row>
    <row r="229" spans="1:10" s="270" customFormat="1" ht="20.45" customHeight="1">
      <c r="A229" s="183"/>
      <c r="B229" s="116" t="s">
        <v>163</v>
      </c>
      <c r="C229" s="114">
        <v>1</v>
      </c>
      <c r="D229" s="181" t="s">
        <v>71</v>
      </c>
      <c r="E229" s="175">
        <v>0</v>
      </c>
      <c r="F229" s="181">
        <f t="shared" si="34"/>
        <v>0</v>
      </c>
      <c r="G229" s="175">
        <v>0</v>
      </c>
      <c r="H229" s="181">
        <f t="shared" si="35"/>
        <v>0</v>
      </c>
      <c r="I229" s="181">
        <f t="shared" si="36"/>
        <v>0</v>
      </c>
      <c r="J229" s="339" t="s">
        <v>108</v>
      </c>
    </row>
    <row r="230" spans="1:10" s="270" customFormat="1" ht="20.45" customHeight="1">
      <c r="A230" s="173"/>
      <c r="B230" s="116" t="s">
        <v>164</v>
      </c>
      <c r="C230" s="174">
        <v>4</v>
      </c>
      <c r="D230" s="175" t="s">
        <v>71</v>
      </c>
      <c r="E230" s="175">
        <v>0</v>
      </c>
      <c r="F230" s="175">
        <f t="shared" si="34"/>
        <v>0</v>
      </c>
      <c r="G230" s="175">
        <v>0</v>
      </c>
      <c r="H230" s="175">
        <f t="shared" si="35"/>
        <v>0</v>
      </c>
      <c r="I230" s="175">
        <f t="shared" si="36"/>
        <v>0</v>
      </c>
      <c r="J230" s="339" t="s">
        <v>108</v>
      </c>
    </row>
    <row r="231" spans="1:10" s="270" customFormat="1" ht="20.45" customHeight="1">
      <c r="A231" s="173"/>
      <c r="B231" s="180" t="s">
        <v>165</v>
      </c>
      <c r="C231" s="174">
        <v>2</v>
      </c>
      <c r="D231" s="175" t="s">
        <v>71</v>
      </c>
      <c r="E231" s="175">
        <v>0</v>
      </c>
      <c r="F231" s="175">
        <f t="shared" si="34"/>
        <v>0</v>
      </c>
      <c r="G231" s="175">
        <v>0</v>
      </c>
      <c r="H231" s="175">
        <f t="shared" si="35"/>
        <v>0</v>
      </c>
      <c r="I231" s="175">
        <f t="shared" si="36"/>
        <v>0</v>
      </c>
      <c r="J231" s="339" t="s">
        <v>108</v>
      </c>
    </row>
    <row r="232" spans="1:10" s="270" customFormat="1" ht="20.45" customHeight="1">
      <c r="A232" s="173"/>
      <c r="B232" s="180" t="s">
        <v>166</v>
      </c>
      <c r="C232" s="174">
        <v>1</v>
      </c>
      <c r="D232" s="175" t="s">
        <v>71</v>
      </c>
      <c r="E232" s="175">
        <v>0</v>
      </c>
      <c r="F232" s="175">
        <f t="shared" si="34"/>
        <v>0</v>
      </c>
      <c r="G232" s="175">
        <v>0</v>
      </c>
      <c r="H232" s="175">
        <f t="shared" si="35"/>
        <v>0</v>
      </c>
      <c r="I232" s="175">
        <f t="shared" si="36"/>
        <v>0</v>
      </c>
      <c r="J232" s="339" t="s">
        <v>108</v>
      </c>
    </row>
    <row r="233" spans="1:10" s="270" customFormat="1" ht="20.45" customHeight="1">
      <c r="A233" s="173"/>
      <c r="B233" s="180" t="s">
        <v>167</v>
      </c>
      <c r="C233" s="174">
        <v>1</v>
      </c>
      <c r="D233" s="175" t="s">
        <v>71</v>
      </c>
      <c r="E233" s="175">
        <v>0</v>
      </c>
      <c r="F233" s="175">
        <f t="shared" si="34"/>
        <v>0</v>
      </c>
      <c r="G233" s="175">
        <v>0</v>
      </c>
      <c r="H233" s="175">
        <f t="shared" si="35"/>
        <v>0</v>
      </c>
      <c r="I233" s="175">
        <f t="shared" si="36"/>
        <v>0</v>
      </c>
      <c r="J233" s="339" t="s">
        <v>108</v>
      </c>
    </row>
    <row r="234" spans="1:10" s="270" customFormat="1" ht="20.45" customHeight="1">
      <c r="A234" s="173"/>
      <c r="B234" s="180" t="s">
        <v>241</v>
      </c>
      <c r="C234" s="174">
        <v>2</v>
      </c>
      <c r="D234" s="175" t="s">
        <v>71</v>
      </c>
      <c r="E234" s="175">
        <v>0</v>
      </c>
      <c r="F234" s="175">
        <f t="shared" si="34"/>
        <v>0</v>
      </c>
      <c r="G234" s="175">
        <v>0</v>
      </c>
      <c r="H234" s="175">
        <f t="shared" si="35"/>
        <v>0</v>
      </c>
      <c r="I234" s="175">
        <f t="shared" si="36"/>
        <v>0</v>
      </c>
      <c r="J234" s="339" t="s">
        <v>108</v>
      </c>
    </row>
    <row r="235" spans="1:10" s="270" customFormat="1" ht="20.45" customHeight="1">
      <c r="A235" s="168">
        <v>3.8</v>
      </c>
      <c r="B235" s="169" t="s">
        <v>123</v>
      </c>
      <c r="C235" s="170"/>
      <c r="D235" s="170"/>
      <c r="E235" s="175">
        <v>0</v>
      </c>
      <c r="F235" s="171"/>
      <c r="G235" s="175">
        <v>0</v>
      </c>
      <c r="H235" s="171"/>
      <c r="I235" s="172"/>
      <c r="J235" s="340"/>
    </row>
    <row r="236" spans="1:10" s="325" customFormat="1" ht="20.45" customHeight="1">
      <c r="A236" s="173"/>
      <c r="B236" s="180" t="s">
        <v>124</v>
      </c>
      <c r="C236" s="174">
        <f>10.6*28</f>
        <v>296.8</v>
      </c>
      <c r="D236" s="175" t="s">
        <v>125</v>
      </c>
      <c r="E236" s="175">
        <v>0</v>
      </c>
      <c r="F236" s="175">
        <f t="shared" ref="F236:F242" si="37">C236*E236</f>
        <v>0</v>
      </c>
      <c r="G236" s="175">
        <v>0</v>
      </c>
      <c r="H236" s="175">
        <f t="shared" ref="H236:H242" si="38">C236*G236</f>
        <v>0</v>
      </c>
      <c r="I236" s="175">
        <f t="shared" ref="I236:I242" si="39">F236+H236</f>
        <v>0</v>
      </c>
      <c r="J236" s="339" t="s">
        <v>72</v>
      </c>
    </row>
    <row r="237" spans="1:10" s="270" customFormat="1" ht="20.45" customHeight="1">
      <c r="A237" s="173"/>
      <c r="B237" s="180" t="s">
        <v>132</v>
      </c>
      <c r="C237" s="174">
        <f>5.88*22</f>
        <v>129.36000000000001</v>
      </c>
      <c r="D237" s="175" t="s">
        <v>125</v>
      </c>
      <c r="E237" s="175">
        <v>0</v>
      </c>
      <c r="F237" s="175">
        <f t="shared" si="37"/>
        <v>0</v>
      </c>
      <c r="G237" s="175">
        <v>0</v>
      </c>
      <c r="H237" s="175">
        <f t="shared" si="38"/>
        <v>0</v>
      </c>
      <c r="I237" s="175">
        <f t="shared" si="39"/>
        <v>0</v>
      </c>
      <c r="J237" s="339" t="s">
        <v>72</v>
      </c>
    </row>
    <row r="238" spans="1:10" s="270" customFormat="1" ht="20.45" customHeight="1">
      <c r="A238" s="173"/>
      <c r="B238" s="180" t="s">
        <v>126</v>
      </c>
      <c r="C238" s="174">
        <v>6</v>
      </c>
      <c r="D238" s="175" t="s">
        <v>125</v>
      </c>
      <c r="E238" s="175">
        <v>0</v>
      </c>
      <c r="F238" s="175">
        <f t="shared" si="37"/>
        <v>0</v>
      </c>
      <c r="G238" s="175">
        <v>0</v>
      </c>
      <c r="H238" s="175">
        <f t="shared" si="38"/>
        <v>0</v>
      </c>
      <c r="I238" s="175">
        <f t="shared" si="39"/>
        <v>0</v>
      </c>
      <c r="J238" s="339" t="s">
        <v>72</v>
      </c>
    </row>
    <row r="239" spans="1:10" s="270" customFormat="1" ht="20.45" customHeight="1">
      <c r="A239" s="173"/>
      <c r="B239" s="180" t="s">
        <v>127</v>
      </c>
      <c r="C239" s="174">
        <f>SUM(C236:C238)</f>
        <v>432.16</v>
      </c>
      <c r="D239" s="175" t="s">
        <v>125</v>
      </c>
      <c r="E239" s="175">
        <v>0</v>
      </c>
      <c r="F239" s="175">
        <f t="shared" si="37"/>
        <v>0</v>
      </c>
      <c r="G239" s="175">
        <v>0</v>
      </c>
      <c r="H239" s="175">
        <f t="shared" si="38"/>
        <v>0</v>
      </c>
      <c r="I239" s="175">
        <f t="shared" si="39"/>
        <v>0</v>
      </c>
      <c r="J239" s="339" t="s">
        <v>72</v>
      </c>
    </row>
    <row r="240" spans="1:10" s="270" customFormat="1" ht="20.45" customHeight="1">
      <c r="A240" s="173"/>
      <c r="B240" s="180" t="s">
        <v>128</v>
      </c>
      <c r="C240" s="174">
        <f>28*0.6</f>
        <v>16.8</v>
      </c>
      <c r="D240" s="175" t="s">
        <v>10</v>
      </c>
      <c r="E240" s="175">
        <v>0</v>
      </c>
      <c r="F240" s="175">
        <f t="shared" si="37"/>
        <v>0</v>
      </c>
      <c r="G240" s="175">
        <v>0</v>
      </c>
      <c r="H240" s="175">
        <f t="shared" si="38"/>
        <v>0</v>
      </c>
      <c r="I240" s="175">
        <f t="shared" si="39"/>
        <v>0</v>
      </c>
      <c r="J240" s="339" t="s">
        <v>72</v>
      </c>
    </row>
    <row r="241" spans="1:10" s="270" customFormat="1" ht="20.45" customHeight="1">
      <c r="A241" s="173"/>
      <c r="B241" s="180" t="s">
        <v>129</v>
      </c>
      <c r="C241" s="174">
        <v>11.7</v>
      </c>
      <c r="D241" s="175" t="s">
        <v>95</v>
      </c>
      <c r="E241" s="175">
        <v>0</v>
      </c>
      <c r="F241" s="175">
        <f t="shared" si="37"/>
        <v>0</v>
      </c>
      <c r="G241" s="175">
        <v>0</v>
      </c>
      <c r="H241" s="175">
        <f t="shared" si="38"/>
        <v>0</v>
      </c>
      <c r="I241" s="175">
        <f t="shared" si="39"/>
        <v>0</v>
      </c>
      <c r="J241" s="339" t="s">
        <v>72</v>
      </c>
    </row>
    <row r="242" spans="1:10" s="270" customFormat="1" ht="20.45" customHeight="1">
      <c r="A242" s="173"/>
      <c r="B242" s="180" t="s">
        <v>116</v>
      </c>
      <c r="C242" s="174">
        <v>1</v>
      </c>
      <c r="D242" s="175" t="s">
        <v>117</v>
      </c>
      <c r="E242" s="175">
        <v>0</v>
      </c>
      <c r="F242" s="175">
        <f t="shared" si="37"/>
        <v>0</v>
      </c>
      <c r="G242" s="175">
        <v>0</v>
      </c>
      <c r="H242" s="175">
        <f t="shared" si="38"/>
        <v>0</v>
      </c>
      <c r="I242" s="175">
        <f t="shared" si="39"/>
        <v>0</v>
      </c>
      <c r="J242" s="339" t="s">
        <v>72</v>
      </c>
    </row>
    <row r="243" spans="1:10" s="270" customFormat="1" ht="20.45" customHeight="1">
      <c r="A243" s="168">
        <v>3.9</v>
      </c>
      <c r="B243" s="169" t="s">
        <v>131</v>
      </c>
      <c r="C243" s="170"/>
      <c r="D243" s="170"/>
      <c r="E243" s="175">
        <v>0</v>
      </c>
      <c r="F243" s="171"/>
      <c r="G243" s="175">
        <v>0</v>
      </c>
      <c r="H243" s="171"/>
      <c r="I243" s="172"/>
      <c r="J243" s="340"/>
    </row>
    <row r="244" spans="1:10" s="270" customFormat="1" ht="20.45" customHeight="1">
      <c r="A244" s="173"/>
      <c r="B244" s="180" t="s">
        <v>134</v>
      </c>
      <c r="C244" s="174">
        <f>30*12</f>
        <v>360</v>
      </c>
      <c r="D244" s="175" t="s">
        <v>125</v>
      </c>
      <c r="E244" s="175">
        <v>0</v>
      </c>
      <c r="F244" s="175">
        <f t="shared" ref="F244:F254" si="40">C244*E244</f>
        <v>0</v>
      </c>
      <c r="G244" s="175">
        <v>0</v>
      </c>
      <c r="H244" s="175">
        <f t="shared" ref="H244:H254" si="41">C244*G244</f>
        <v>0</v>
      </c>
      <c r="I244" s="175">
        <f t="shared" ref="I244:I254" si="42">F244+H244</f>
        <v>0</v>
      </c>
      <c r="J244" s="339" t="s">
        <v>72</v>
      </c>
    </row>
    <row r="245" spans="1:10" s="270" customFormat="1" ht="20.45" customHeight="1">
      <c r="A245" s="173"/>
      <c r="B245" s="180" t="s">
        <v>133</v>
      </c>
      <c r="C245" s="174">
        <f>182.5*6</f>
        <v>1095</v>
      </c>
      <c r="D245" s="175" t="s">
        <v>125</v>
      </c>
      <c r="E245" s="175">
        <v>0</v>
      </c>
      <c r="F245" s="175">
        <f t="shared" si="40"/>
        <v>0</v>
      </c>
      <c r="G245" s="175">
        <v>0</v>
      </c>
      <c r="H245" s="175">
        <f t="shared" si="41"/>
        <v>0</v>
      </c>
      <c r="I245" s="175">
        <f t="shared" si="42"/>
        <v>0</v>
      </c>
      <c r="J245" s="339" t="s">
        <v>72</v>
      </c>
    </row>
    <row r="246" spans="1:10" s="270" customFormat="1" ht="20.45" customHeight="1">
      <c r="A246" s="173"/>
      <c r="B246" s="180" t="s">
        <v>135</v>
      </c>
      <c r="C246" s="174">
        <f>73*2</f>
        <v>146</v>
      </c>
      <c r="D246" s="175" t="s">
        <v>125</v>
      </c>
      <c r="E246" s="175">
        <v>0</v>
      </c>
      <c r="F246" s="175">
        <f t="shared" si="40"/>
        <v>0</v>
      </c>
      <c r="G246" s="175">
        <v>0</v>
      </c>
      <c r="H246" s="175">
        <f t="shared" si="41"/>
        <v>0</v>
      </c>
      <c r="I246" s="175">
        <f t="shared" si="42"/>
        <v>0</v>
      </c>
      <c r="J246" s="339" t="s">
        <v>72</v>
      </c>
    </row>
    <row r="247" spans="1:10" s="270" customFormat="1" ht="20.45" customHeight="1">
      <c r="A247" s="173"/>
      <c r="B247" s="180" t="s">
        <v>132</v>
      </c>
      <c r="C247" s="174">
        <f>5.88*3</f>
        <v>17.64</v>
      </c>
      <c r="D247" s="175" t="s">
        <v>125</v>
      </c>
      <c r="E247" s="175">
        <v>0</v>
      </c>
      <c r="F247" s="175">
        <f t="shared" si="40"/>
        <v>0</v>
      </c>
      <c r="G247" s="175">
        <v>0</v>
      </c>
      <c r="H247" s="175">
        <f t="shared" si="41"/>
        <v>0</v>
      </c>
      <c r="I247" s="175">
        <f t="shared" si="42"/>
        <v>0</v>
      </c>
      <c r="J247" s="339" t="s">
        <v>72</v>
      </c>
    </row>
    <row r="248" spans="1:10" s="325" customFormat="1" ht="20.45" customHeight="1">
      <c r="A248" s="173"/>
      <c r="B248" s="180" t="s">
        <v>127</v>
      </c>
      <c r="C248" s="174">
        <f>SUM(C244:C247)</f>
        <v>1618.64</v>
      </c>
      <c r="D248" s="175" t="s">
        <v>125</v>
      </c>
      <c r="E248" s="175">
        <v>0</v>
      </c>
      <c r="F248" s="175">
        <f t="shared" si="40"/>
        <v>0</v>
      </c>
      <c r="G248" s="175">
        <v>0</v>
      </c>
      <c r="H248" s="175">
        <f t="shared" si="41"/>
        <v>0</v>
      </c>
      <c r="I248" s="175">
        <f t="shared" si="42"/>
        <v>0</v>
      </c>
      <c r="J248" s="339" t="s">
        <v>72</v>
      </c>
    </row>
    <row r="249" spans="1:10" s="270" customFormat="1" ht="20.45" customHeight="1">
      <c r="A249" s="173"/>
      <c r="B249" s="180" t="s">
        <v>128</v>
      </c>
      <c r="C249" s="174">
        <f>50+(0.6*20)+30</f>
        <v>92</v>
      </c>
      <c r="D249" s="175" t="s">
        <v>10</v>
      </c>
      <c r="E249" s="175">
        <v>0</v>
      </c>
      <c r="F249" s="175">
        <f t="shared" si="40"/>
        <v>0</v>
      </c>
      <c r="G249" s="175">
        <v>0</v>
      </c>
      <c r="H249" s="175">
        <f t="shared" si="41"/>
        <v>0</v>
      </c>
      <c r="I249" s="175">
        <f t="shared" si="42"/>
        <v>0</v>
      </c>
      <c r="J249" s="339" t="s">
        <v>72</v>
      </c>
    </row>
    <row r="250" spans="1:10" s="270" customFormat="1" ht="20.45" customHeight="1">
      <c r="A250" s="173"/>
      <c r="B250" s="180" t="s">
        <v>136</v>
      </c>
      <c r="C250" s="174">
        <v>5.8</v>
      </c>
      <c r="D250" s="175" t="s">
        <v>10</v>
      </c>
      <c r="E250" s="175">
        <v>0</v>
      </c>
      <c r="F250" s="175">
        <f t="shared" si="40"/>
        <v>0</v>
      </c>
      <c r="G250" s="175">
        <v>0</v>
      </c>
      <c r="H250" s="175">
        <f t="shared" si="41"/>
        <v>0</v>
      </c>
      <c r="I250" s="175">
        <f t="shared" si="42"/>
        <v>0</v>
      </c>
      <c r="J250" s="339" t="s">
        <v>72</v>
      </c>
    </row>
    <row r="251" spans="1:10" s="270" customFormat="1" ht="20.45" customHeight="1">
      <c r="A251" s="173"/>
      <c r="B251" s="180" t="s">
        <v>138</v>
      </c>
      <c r="C251" s="174">
        <f>(0.5*19)+4.5</f>
        <v>14</v>
      </c>
      <c r="D251" s="175" t="s">
        <v>10</v>
      </c>
      <c r="E251" s="175">
        <v>0</v>
      </c>
      <c r="F251" s="175">
        <f t="shared" si="40"/>
        <v>0</v>
      </c>
      <c r="G251" s="175">
        <v>0</v>
      </c>
      <c r="H251" s="175">
        <f t="shared" si="41"/>
        <v>0</v>
      </c>
      <c r="I251" s="175">
        <f t="shared" si="42"/>
        <v>0</v>
      </c>
      <c r="J251" s="339" t="s">
        <v>72</v>
      </c>
    </row>
    <row r="252" spans="1:10" s="270" customFormat="1" ht="20.45" customHeight="1">
      <c r="A252" s="173"/>
      <c r="B252" s="180" t="s">
        <v>137</v>
      </c>
      <c r="C252" s="174">
        <v>30</v>
      </c>
      <c r="D252" s="175" t="s">
        <v>95</v>
      </c>
      <c r="E252" s="175">
        <v>0</v>
      </c>
      <c r="F252" s="175">
        <f t="shared" si="40"/>
        <v>0</v>
      </c>
      <c r="G252" s="175">
        <v>0</v>
      </c>
      <c r="H252" s="175">
        <f t="shared" si="41"/>
        <v>0</v>
      </c>
      <c r="I252" s="175">
        <f t="shared" si="42"/>
        <v>0</v>
      </c>
      <c r="J252" s="339" t="s">
        <v>72</v>
      </c>
    </row>
    <row r="253" spans="1:10" s="270" customFormat="1" ht="20.45" customHeight="1">
      <c r="A253" s="173"/>
      <c r="B253" s="180" t="s">
        <v>129</v>
      </c>
      <c r="C253" s="174">
        <v>18</v>
      </c>
      <c r="D253" s="175" t="s">
        <v>95</v>
      </c>
      <c r="E253" s="175">
        <v>0</v>
      </c>
      <c r="F253" s="175">
        <f t="shared" si="40"/>
        <v>0</v>
      </c>
      <c r="G253" s="175">
        <v>0</v>
      </c>
      <c r="H253" s="175">
        <f t="shared" si="41"/>
        <v>0</v>
      </c>
      <c r="I253" s="175">
        <f t="shared" si="42"/>
        <v>0</v>
      </c>
      <c r="J253" s="339" t="s">
        <v>72</v>
      </c>
    </row>
    <row r="254" spans="1:10" s="270" customFormat="1" ht="20.45" customHeight="1">
      <c r="A254" s="173"/>
      <c r="B254" s="180" t="s">
        <v>116</v>
      </c>
      <c r="C254" s="174">
        <v>1</v>
      </c>
      <c r="D254" s="175" t="s">
        <v>117</v>
      </c>
      <c r="E254" s="175">
        <v>0</v>
      </c>
      <c r="F254" s="175">
        <f t="shared" si="40"/>
        <v>0</v>
      </c>
      <c r="G254" s="175">
        <v>0</v>
      </c>
      <c r="H254" s="175">
        <f t="shared" si="41"/>
        <v>0</v>
      </c>
      <c r="I254" s="175">
        <f t="shared" si="42"/>
        <v>0</v>
      </c>
      <c r="J254" s="339" t="s">
        <v>72</v>
      </c>
    </row>
    <row r="255" spans="1:10" s="270" customFormat="1" ht="20.45" customHeight="1">
      <c r="A255" s="177">
        <v>3.1</v>
      </c>
      <c r="B255" s="169" t="s">
        <v>122</v>
      </c>
      <c r="C255" s="170"/>
      <c r="D255" s="170"/>
      <c r="E255" s="175">
        <v>0</v>
      </c>
      <c r="F255" s="171"/>
      <c r="G255" s="175">
        <v>0</v>
      </c>
      <c r="H255" s="171"/>
      <c r="I255" s="172"/>
      <c r="J255" s="340"/>
    </row>
    <row r="256" spans="1:10" s="270" customFormat="1" ht="20.45" customHeight="1">
      <c r="A256" s="173"/>
      <c r="B256" s="180" t="s">
        <v>192</v>
      </c>
      <c r="C256" s="174">
        <v>1</v>
      </c>
      <c r="D256" s="175" t="s">
        <v>117</v>
      </c>
      <c r="E256" s="175">
        <v>0</v>
      </c>
      <c r="F256" s="175">
        <f>C256*E256</f>
        <v>0</v>
      </c>
      <c r="G256" s="175">
        <v>0</v>
      </c>
      <c r="H256" s="175">
        <f>C256*G256</f>
        <v>0</v>
      </c>
      <c r="I256" s="175">
        <f>F256+H256</f>
        <v>0</v>
      </c>
      <c r="J256" s="339" t="s">
        <v>108</v>
      </c>
    </row>
    <row r="257" spans="1:11" s="270" customFormat="1" ht="20.45" customHeight="1">
      <c r="A257" s="173"/>
      <c r="B257" s="180" t="s">
        <v>254</v>
      </c>
      <c r="C257" s="174">
        <v>1</v>
      </c>
      <c r="D257" s="175" t="s">
        <v>117</v>
      </c>
      <c r="E257" s="175">
        <v>0</v>
      </c>
      <c r="F257" s="175">
        <f>C257*E257</f>
        <v>0</v>
      </c>
      <c r="G257" s="175">
        <v>0</v>
      </c>
      <c r="H257" s="175">
        <f>C257*G257</f>
        <v>0</v>
      </c>
      <c r="I257" s="175">
        <f>F257+H257</f>
        <v>0</v>
      </c>
      <c r="J257" s="339" t="s">
        <v>108</v>
      </c>
    </row>
    <row r="258" spans="1:11" s="270" customFormat="1" ht="20.45" customHeight="1">
      <c r="A258" s="173"/>
      <c r="B258" s="180" t="s">
        <v>242</v>
      </c>
      <c r="C258" s="174"/>
      <c r="D258" s="175"/>
      <c r="E258" s="175">
        <v>0</v>
      </c>
      <c r="F258" s="175"/>
      <c r="G258" s="175">
        <v>0</v>
      </c>
      <c r="H258" s="175"/>
      <c r="I258" s="175"/>
      <c r="J258" s="339"/>
    </row>
    <row r="259" spans="1:11" s="270" customFormat="1" ht="20.45" customHeight="1">
      <c r="A259" s="173"/>
      <c r="B259" s="180" t="s">
        <v>253</v>
      </c>
      <c r="C259" s="174">
        <v>1</v>
      </c>
      <c r="D259" s="175" t="s">
        <v>117</v>
      </c>
      <c r="E259" s="175">
        <v>0</v>
      </c>
      <c r="F259" s="175">
        <f>C259*E259</f>
        <v>0</v>
      </c>
      <c r="G259" s="175">
        <v>0</v>
      </c>
      <c r="H259" s="175">
        <f>C259*G259</f>
        <v>0</v>
      </c>
      <c r="I259" s="175">
        <f>F259+H259</f>
        <v>0</v>
      </c>
      <c r="J259" s="339" t="s">
        <v>108</v>
      </c>
    </row>
    <row r="260" spans="1:11" s="270" customFormat="1" ht="20.45" customHeight="1">
      <c r="A260" s="173"/>
      <c r="B260" s="180" t="s">
        <v>195</v>
      </c>
      <c r="C260" s="174">
        <v>60</v>
      </c>
      <c r="D260" s="175" t="s">
        <v>196</v>
      </c>
      <c r="E260" s="175">
        <v>0</v>
      </c>
      <c r="F260" s="175">
        <f>C260*E260</f>
        <v>0</v>
      </c>
      <c r="G260" s="175">
        <v>0</v>
      </c>
      <c r="H260" s="175">
        <f>C260*G260</f>
        <v>0</v>
      </c>
      <c r="I260" s="175">
        <f>F260+H260</f>
        <v>0</v>
      </c>
      <c r="J260" s="339" t="s">
        <v>72</v>
      </c>
    </row>
    <row r="261" spans="1:11" s="270" customFormat="1" ht="20.45" customHeight="1">
      <c r="A261" s="173"/>
      <c r="B261" s="180" t="s">
        <v>197</v>
      </c>
      <c r="C261" s="174">
        <v>5</v>
      </c>
      <c r="D261" s="175" t="s">
        <v>17</v>
      </c>
      <c r="E261" s="175">
        <v>0</v>
      </c>
      <c r="F261" s="175">
        <f>C261*E261</f>
        <v>0</v>
      </c>
      <c r="G261" s="175">
        <v>0</v>
      </c>
      <c r="H261" s="175">
        <f>C261*G261</f>
        <v>0</v>
      </c>
      <c r="I261" s="175">
        <f>F261+H261</f>
        <v>0</v>
      </c>
      <c r="J261" s="339" t="s">
        <v>72</v>
      </c>
    </row>
    <row r="262" spans="1:11" s="259" customFormat="1" ht="20.25" customHeight="1">
      <c r="A262" s="263"/>
      <c r="B262" s="262" t="str">
        <f>"รวมราคา"&amp;B13</f>
        <v xml:space="preserve">รวมราคาหมวดงานสถาปัตยกรรม </v>
      </c>
      <c r="C262" s="261"/>
      <c r="D262" s="228"/>
      <c r="E262" s="229"/>
      <c r="F262" s="230">
        <f>SUM(F137:F261)</f>
        <v>0</v>
      </c>
      <c r="G262" s="230"/>
      <c r="H262" s="230">
        <f>SUM(H137:H261)</f>
        <v>0</v>
      </c>
      <c r="I262" s="230">
        <f>F262+H262</f>
        <v>0</v>
      </c>
      <c r="J262" s="230"/>
      <c r="K262" s="260"/>
    </row>
    <row r="263" spans="1:11" s="264" customFormat="1" ht="23.1" customHeight="1">
      <c r="A263" s="163">
        <v>4</v>
      </c>
      <c r="B263" s="164" t="str">
        <f>B14</f>
        <v>หมวดงานปะปา-สุขาภิบาล</v>
      </c>
      <c r="C263" s="165"/>
      <c r="D263" s="165"/>
      <c r="E263" s="166"/>
      <c r="F263" s="166"/>
      <c r="G263" s="166"/>
      <c r="H263" s="166"/>
      <c r="I263" s="167"/>
      <c r="J263" s="326"/>
    </row>
    <row r="264" spans="1:11" s="264" customFormat="1" ht="23.1" customHeight="1">
      <c r="A264" s="337">
        <v>4.0999999999999996</v>
      </c>
      <c r="B264" s="246" t="s">
        <v>488</v>
      </c>
      <c r="C264" s="242"/>
      <c r="D264" s="245"/>
      <c r="E264" s="336"/>
      <c r="F264" s="335"/>
      <c r="G264" s="335"/>
      <c r="H264" s="335"/>
      <c r="I264" s="335"/>
      <c r="J264" s="327"/>
    </row>
    <row r="265" spans="1:11" s="264" customFormat="1" ht="23.1" customHeight="1">
      <c r="A265" s="338"/>
      <c r="B265" s="249" t="s">
        <v>487</v>
      </c>
      <c r="C265" s="182">
        <v>1</v>
      </c>
      <c r="D265" s="247" t="s">
        <v>204</v>
      </c>
      <c r="E265" s="184">
        <v>0</v>
      </c>
      <c r="F265" s="248">
        <f>C265*E265</f>
        <v>0</v>
      </c>
      <c r="G265" s="182">
        <v>0</v>
      </c>
      <c r="H265" s="248">
        <f>C265*G265</f>
        <v>0</v>
      </c>
      <c r="I265" s="334">
        <f>F265+H265</f>
        <v>0</v>
      </c>
      <c r="J265" s="327" t="s">
        <v>72</v>
      </c>
    </row>
    <row r="266" spans="1:11" s="264" customFormat="1" ht="23.1" customHeight="1">
      <c r="A266" s="338"/>
      <c r="B266" s="249" t="s">
        <v>183</v>
      </c>
      <c r="C266" s="182">
        <v>2</v>
      </c>
      <c r="D266" s="247" t="s">
        <v>182</v>
      </c>
      <c r="E266" s="184">
        <v>0</v>
      </c>
      <c r="F266" s="248">
        <f>C266*E266</f>
        <v>0</v>
      </c>
      <c r="G266" s="182">
        <v>0</v>
      </c>
      <c r="H266" s="248">
        <f>C266*G266</f>
        <v>0</v>
      </c>
      <c r="I266" s="334">
        <f>F266+H266</f>
        <v>0</v>
      </c>
      <c r="J266" s="327" t="s">
        <v>72</v>
      </c>
    </row>
    <row r="267" spans="1:11" s="264" customFormat="1" ht="23.1" customHeight="1">
      <c r="A267" s="338"/>
      <c r="B267" s="249" t="s">
        <v>486</v>
      </c>
      <c r="C267" s="182">
        <v>1</v>
      </c>
      <c r="D267" s="247" t="s">
        <v>117</v>
      </c>
      <c r="E267" s="184">
        <v>0</v>
      </c>
      <c r="F267" s="248">
        <f>C267*E267</f>
        <v>0</v>
      </c>
      <c r="G267" s="182">
        <v>0</v>
      </c>
      <c r="H267" s="248">
        <f>C267*G267</f>
        <v>0</v>
      </c>
      <c r="I267" s="334">
        <f>F267+H267</f>
        <v>0</v>
      </c>
      <c r="J267" s="327" t="s">
        <v>72</v>
      </c>
    </row>
    <row r="268" spans="1:11" s="264" customFormat="1" ht="23.1" customHeight="1">
      <c r="A268" s="185"/>
      <c r="B268" s="249" t="s">
        <v>485</v>
      </c>
      <c r="C268" s="182">
        <v>1</v>
      </c>
      <c r="D268" s="247" t="s">
        <v>188</v>
      </c>
      <c r="E268" s="184">
        <v>0</v>
      </c>
      <c r="F268" s="248">
        <f>C268*E268</f>
        <v>0</v>
      </c>
      <c r="G268" s="182">
        <v>0</v>
      </c>
      <c r="H268" s="248">
        <f>C268*G268</f>
        <v>0</v>
      </c>
      <c r="I268" s="334">
        <f>F268+H268</f>
        <v>0</v>
      </c>
      <c r="J268" s="327" t="s">
        <v>72</v>
      </c>
    </row>
    <row r="269" spans="1:11" s="264" customFormat="1" ht="23.1" customHeight="1">
      <c r="A269" s="338"/>
      <c r="B269" s="249" t="s">
        <v>484</v>
      </c>
      <c r="C269" s="182"/>
      <c r="D269" s="247"/>
      <c r="E269" s="184">
        <v>0</v>
      </c>
      <c r="F269" s="248"/>
      <c r="G269" s="182">
        <v>0</v>
      </c>
      <c r="H269" s="248"/>
      <c r="I269" s="334"/>
      <c r="J269" s="327"/>
    </row>
    <row r="270" spans="1:11" s="264" customFormat="1" ht="23.1" customHeight="1">
      <c r="A270" s="338"/>
      <c r="B270" s="255" t="s">
        <v>483</v>
      </c>
      <c r="C270" s="182">
        <v>36</v>
      </c>
      <c r="D270" s="247" t="s">
        <v>95</v>
      </c>
      <c r="E270" s="184">
        <v>0</v>
      </c>
      <c r="F270" s="248">
        <f>C270*E270</f>
        <v>0</v>
      </c>
      <c r="G270" s="182">
        <v>0</v>
      </c>
      <c r="H270" s="248">
        <f>C270*G270</f>
        <v>0</v>
      </c>
      <c r="I270" s="334">
        <f>F270+H270</f>
        <v>0</v>
      </c>
      <c r="J270" s="327" t="s">
        <v>72</v>
      </c>
    </row>
    <row r="271" spans="1:11" s="264" customFormat="1" ht="23.1" customHeight="1">
      <c r="A271" s="338"/>
      <c r="B271" s="255" t="s">
        <v>482</v>
      </c>
      <c r="C271" s="182">
        <v>90</v>
      </c>
      <c r="D271" s="247" t="s">
        <v>95</v>
      </c>
      <c r="E271" s="184">
        <v>0</v>
      </c>
      <c r="F271" s="248">
        <f>C271*E271</f>
        <v>0</v>
      </c>
      <c r="G271" s="182">
        <v>0</v>
      </c>
      <c r="H271" s="248">
        <f>C271*G271</f>
        <v>0</v>
      </c>
      <c r="I271" s="334">
        <f>F271+H271</f>
        <v>0</v>
      </c>
      <c r="J271" s="327" t="s">
        <v>72</v>
      </c>
    </row>
    <row r="272" spans="1:11" s="264" customFormat="1" ht="23.1" customHeight="1">
      <c r="A272" s="185"/>
      <c r="B272" s="333" t="s">
        <v>475</v>
      </c>
      <c r="C272" s="282">
        <v>1</v>
      </c>
      <c r="D272" s="332" t="s">
        <v>117</v>
      </c>
      <c r="E272" s="184">
        <v>0</v>
      </c>
      <c r="F272" s="331">
        <f>C272*E272</f>
        <v>0</v>
      </c>
      <c r="G272" s="182">
        <v>0</v>
      </c>
      <c r="H272" s="331">
        <f>C272*G272</f>
        <v>0</v>
      </c>
      <c r="I272" s="331">
        <f>F272+H272</f>
        <v>0</v>
      </c>
      <c r="J272" s="327" t="s">
        <v>72</v>
      </c>
    </row>
    <row r="273" spans="1:10" s="264" customFormat="1" ht="23.1" customHeight="1">
      <c r="A273" s="338"/>
      <c r="B273" s="333" t="s">
        <v>474</v>
      </c>
      <c r="C273" s="282">
        <v>1</v>
      </c>
      <c r="D273" s="332" t="s">
        <v>117</v>
      </c>
      <c r="E273" s="184">
        <v>0</v>
      </c>
      <c r="F273" s="331">
        <f>C273*E273</f>
        <v>0</v>
      </c>
      <c r="G273" s="182">
        <v>0</v>
      </c>
      <c r="H273" s="331">
        <f>C273*G273</f>
        <v>0</v>
      </c>
      <c r="I273" s="331">
        <f>F273+H273</f>
        <v>0</v>
      </c>
      <c r="J273" s="327" t="s">
        <v>72</v>
      </c>
    </row>
    <row r="274" spans="1:10" s="264" customFormat="1" ht="23.1" customHeight="1">
      <c r="A274" s="338"/>
      <c r="B274" s="333" t="s">
        <v>473</v>
      </c>
      <c r="C274" s="282">
        <v>1</v>
      </c>
      <c r="D274" s="332" t="s">
        <v>117</v>
      </c>
      <c r="E274" s="184">
        <v>0</v>
      </c>
      <c r="F274" s="331">
        <f>C274*E274</f>
        <v>0</v>
      </c>
      <c r="G274" s="182">
        <v>0</v>
      </c>
      <c r="H274" s="331">
        <f>C274*G274</f>
        <v>0</v>
      </c>
      <c r="I274" s="331">
        <f>F274+H274</f>
        <v>0</v>
      </c>
      <c r="J274" s="327" t="s">
        <v>72</v>
      </c>
    </row>
    <row r="275" spans="1:10" s="264" customFormat="1" ht="23.1" customHeight="1">
      <c r="A275" s="337">
        <v>4.2</v>
      </c>
      <c r="B275" s="246" t="s">
        <v>481</v>
      </c>
      <c r="C275" s="242"/>
      <c r="D275" s="245"/>
      <c r="E275" s="184">
        <v>0</v>
      </c>
      <c r="F275" s="335"/>
      <c r="G275" s="182">
        <v>0</v>
      </c>
      <c r="H275" s="335"/>
      <c r="I275" s="335"/>
      <c r="J275" s="327"/>
    </row>
    <row r="276" spans="1:10" s="264" customFormat="1" ht="23.1" customHeight="1">
      <c r="A276" s="179"/>
      <c r="B276" s="249" t="s">
        <v>480</v>
      </c>
      <c r="C276" s="182">
        <v>1</v>
      </c>
      <c r="D276" s="247" t="s">
        <v>71</v>
      </c>
      <c r="E276" s="184">
        <v>0</v>
      </c>
      <c r="F276" s="248">
        <f>C276*E276</f>
        <v>0</v>
      </c>
      <c r="G276" s="182">
        <v>0</v>
      </c>
      <c r="H276" s="248">
        <f>C276*G276</f>
        <v>0</v>
      </c>
      <c r="I276" s="334">
        <f>F276+H276</f>
        <v>0</v>
      </c>
      <c r="J276" s="327" t="s">
        <v>108</v>
      </c>
    </row>
    <row r="277" spans="1:10" s="264" customFormat="1" ht="23.1" customHeight="1">
      <c r="A277" s="179"/>
      <c r="B277" s="249" t="s">
        <v>187</v>
      </c>
      <c r="C277" s="182">
        <v>1</v>
      </c>
      <c r="D277" s="247" t="s">
        <v>117</v>
      </c>
      <c r="E277" s="184">
        <v>0</v>
      </c>
      <c r="F277" s="248">
        <f>C277*E277</f>
        <v>0</v>
      </c>
      <c r="G277" s="182">
        <v>0</v>
      </c>
      <c r="H277" s="248">
        <f>C277*G277</f>
        <v>0</v>
      </c>
      <c r="I277" s="334">
        <f>F277+H277</f>
        <v>0</v>
      </c>
      <c r="J277" s="327" t="s">
        <v>72</v>
      </c>
    </row>
    <row r="278" spans="1:10" s="264" customFormat="1" ht="23.1" customHeight="1">
      <c r="A278" s="179"/>
      <c r="B278" s="249" t="s">
        <v>189</v>
      </c>
      <c r="C278" s="182">
        <v>15</v>
      </c>
      <c r="D278" s="247" t="s">
        <v>71</v>
      </c>
      <c r="E278" s="184">
        <v>0</v>
      </c>
      <c r="F278" s="248">
        <f>C278*E278</f>
        <v>0</v>
      </c>
      <c r="G278" s="182">
        <v>0</v>
      </c>
      <c r="H278" s="248">
        <f>C278*G278</f>
        <v>0</v>
      </c>
      <c r="I278" s="334">
        <f>F278+H278</f>
        <v>0</v>
      </c>
      <c r="J278" s="327" t="s">
        <v>72</v>
      </c>
    </row>
    <row r="279" spans="1:10" s="264" customFormat="1" ht="23.1" customHeight="1">
      <c r="A279" s="179"/>
      <c r="B279" s="249" t="s">
        <v>190</v>
      </c>
      <c r="C279" s="182">
        <v>80</v>
      </c>
      <c r="D279" s="247" t="s">
        <v>95</v>
      </c>
      <c r="E279" s="184">
        <v>0</v>
      </c>
      <c r="F279" s="248">
        <f>C279*E279</f>
        <v>0</v>
      </c>
      <c r="G279" s="182">
        <v>0</v>
      </c>
      <c r="H279" s="248">
        <f>C279*G279</f>
        <v>0</v>
      </c>
      <c r="I279" s="334">
        <f>F279+H279</f>
        <v>0</v>
      </c>
      <c r="J279" s="327" t="s">
        <v>72</v>
      </c>
    </row>
    <row r="280" spans="1:10" s="264" customFormat="1" ht="23.1" customHeight="1">
      <c r="A280" s="179"/>
      <c r="B280" s="249" t="s">
        <v>479</v>
      </c>
      <c r="C280" s="182"/>
      <c r="D280" s="247"/>
      <c r="E280" s="184">
        <v>0</v>
      </c>
      <c r="F280" s="248"/>
      <c r="G280" s="182">
        <v>0</v>
      </c>
      <c r="H280" s="248"/>
      <c r="I280" s="334"/>
      <c r="J280" s="327"/>
    </row>
    <row r="281" spans="1:10" s="264" customFormat="1" ht="23.1" customHeight="1">
      <c r="A281" s="179"/>
      <c r="B281" s="255" t="s">
        <v>478</v>
      </c>
      <c r="C281" s="182">
        <v>12</v>
      </c>
      <c r="D281" s="247" t="s">
        <v>95</v>
      </c>
      <c r="E281" s="184">
        <v>0</v>
      </c>
      <c r="F281" s="248">
        <f t="shared" ref="F281:F286" si="43">C281*E281</f>
        <v>0</v>
      </c>
      <c r="G281" s="182">
        <v>0</v>
      </c>
      <c r="H281" s="248">
        <f t="shared" ref="H281:H286" si="44">C281*G281</f>
        <v>0</v>
      </c>
      <c r="I281" s="334">
        <f t="shared" ref="I281:I286" si="45">F281+H281</f>
        <v>0</v>
      </c>
      <c r="J281" s="327" t="s">
        <v>72</v>
      </c>
    </row>
    <row r="282" spans="1:10" s="264" customFormat="1" ht="23.1" customHeight="1">
      <c r="A282" s="185"/>
      <c r="B282" s="255" t="s">
        <v>477</v>
      </c>
      <c r="C282" s="182">
        <v>42</v>
      </c>
      <c r="D282" s="247" t="s">
        <v>95</v>
      </c>
      <c r="E282" s="184">
        <v>0</v>
      </c>
      <c r="F282" s="248">
        <f t="shared" si="43"/>
        <v>0</v>
      </c>
      <c r="G282" s="182">
        <v>0</v>
      </c>
      <c r="H282" s="248">
        <f t="shared" si="44"/>
        <v>0</v>
      </c>
      <c r="I282" s="334">
        <f t="shared" si="45"/>
        <v>0</v>
      </c>
      <c r="J282" s="327" t="s">
        <v>72</v>
      </c>
    </row>
    <row r="283" spans="1:10" s="264" customFormat="1" ht="23.1" customHeight="1">
      <c r="A283" s="179"/>
      <c r="B283" s="255" t="s">
        <v>476</v>
      </c>
      <c r="C283" s="182">
        <v>32</v>
      </c>
      <c r="D283" s="247" t="s">
        <v>95</v>
      </c>
      <c r="E283" s="184">
        <v>0</v>
      </c>
      <c r="F283" s="248">
        <f t="shared" si="43"/>
        <v>0</v>
      </c>
      <c r="G283" s="182">
        <v>0</v>
      </c>
      <c r="H283" s="248">
        <f t="shared" si="44"/>
        <v>0</v>
      </c>
      <c r="I283" s="334">
        <f t="shared" si="45"/>
        <v>0</v>
      </c>
      <c r="J283" s="327" t="s">
        <v>72</v>
      </c>
    </row>
    <row r="284" spans="1:10" s="264" customFormat="1" ht="23.1" customHeight="1">
      <c r="A284" s="179"/>
      <c r="B284" s="333" t="s">
        <v>475</v>
      </c>
      <c r="C284" s="282">
        <v>1</v>
      </c>
      <c r="D284" s="332" t="s">
        <v>117</v>
      </c>
      <c r="E284" s="184">
        <v>0</v>
      </c>
      <c r="F284" s="331">
        <f t="shared" si="43"/>
        <v>0</v>
      </c>
      <c r="G284" s="182">
        <v>0</v>
      </c>
      <c r="H284" s="331">
        <f t="shared" si="44"/>
        <v>0</v>
      </c>
      <c r="I284" s="331">
        <f t="shared" si="45"/>
        <v>0</v>
      </c>
      <c r="J284" s="327" t="s">
        <v>72</v>
      </c>
    </row>
    <row r="285" spans="1:10" s="264" customFormat="1" ht="23.1" customHeight="1">
      <c r="A285" s="179"/>
      <c r="B285" s="333" t="s">
        <v>474</v>
      </c>
      <c r="C285" s="282">
        <v>1</v>
      </c>
      <c r="D285" s="332" t="s">
        <v>117</v>
      </c>
      <c r="E285" s="184">
        <v>0</v>
      </c>
      <c r="F285" s="331">
        <f t="shared" si="43"/>
        <v>0</v>
      </c>
      <c r="G285" s="182">
        <v>0</v>
      </c>
      <c r="H285" s="331">
        <f t="shared" si="44"/>
        <v>0</v>
      </c>
      <c r="I285" s="331">
        <f t="shared" si="45"/>
        <v>0</v>
      </c>
      <c r="J285" s="327" t="s">
        <v>72</v>
      </c>
    </row>
    <row r="286" spans="1:10" s="264" customFormat="1" ht="23.1" customHeight="1">
      <c r="A286" s="185"/>
      <c r="B286" s="333" t="s">
        <v>473</v>
      </c>
      <c r="C286" s="282">
        <v>1</v>
      </c>
      <c r="D286" s="332" t="s">
        <v>117</v>
      </c>
      <c r="E286" s="184">
        <v>0</v>
      </c>
      <c r="F286" s="331">
        <f t="shared" si="43"/>
        <v>0</v>
      </c>
      <c r="G286" s="182">
        <v>0</v>
      </c>
      <c r="H286" s="331">
        <f t="shared" si="44"/>
        <v>0</v>
      </c>
      <c r="I286" s="331">
        <f t="shared" si="45"/>
        <v>0</v>
      </c>
      <c r="J286" s="327" t="s">
        <v>72</v>
      </c>
    </row>
    <row r="287" spans="1:10" s="264" customFormat="1" ht="23.1" customHeight="1">
      <c r="A287" s="179">
        <v>4.3</v>
      </c>
      <c r="B287" s="178" t="s">
        <v>186</v>
      </c>
      <c r="C287" s="330"/>
      <c r="D287" s="117"/>
      <c r="E287" s="184">
        <v>0</v>
      </c>
      <c r="F287" s="117"/>
      <c r="G287" s="182">
        <v>0</v>
      </c>
      <c r="H287" s="117"/>
      <c r="I287" s="119"/>
      <c r="J287" s="327"/>
    </row>
    <row r="288" spans="1:10" s="264" customFormat="1" ht="23.1" customHeight="1">
      <c r="A288" s="185"/>
      <c r="B288" s="118" t="s">
        <v>472</v>
      </c>
      <c r="C288" s="329">
        <v>24</v>
      </c>
      <c r="D288" s="117" t="s">
        <v>95</v>
      </c>
      <c r="E288" s="184">
        <v>0</v>
      </c>
      <c r="F288" s="117">
        <f>C288*E288</f>
        <v>0</v>
      </c>
      <c r="G288" s="182">
        <v>0</v>
      </c>
      <c r="H288" s="117">
        <f>C288*G288</f>
        <v>0</v>
      </c>
      <c r="I288" s="328">
        <f>SUM(,F288,H288)</f>
        <v>0</v>
      </c>
      <c r="J288" s="327" t="s">
        <v>72</v>
      </c>
    </row>
    <row r="289" spans="1:14" s="264" customFormat="1" ht="23.1" customHeight="1">
      <c r="A289" s="185"/>
      <c r="B289" s="118" t="s">
        <v>184</v>
      </c>
      <c r="C289" s="329">
        <v>1</v>
      </c>
      <c r="D289" s="117" t="s">
        <v>117</v>
      </c>
      <c r="E289" s="184">
        <v>0</v>
      </c>
      <c r="F289" s="117">
        <f>C289*E289</f>
        <v>0</v>
      </c>
      <c r="G289" s="182">
        <v>0</v>
      </c>
      <c r="H289" s="117">
        <f>C289*G289</f>
        <v>0</v>
      </c>
      <c r="I289" s="328">
        <f>SUM(,F289,H289)</f>
        <v>0</v>
      </c>
      <c r="J289" s="327" t="s">
        <v>185</v>
      </c>
    </row>
    <row r="290" spans="1:14" s="259" customFormat="1" ht="20.25" customHeight="1">
      <c r="A290" s="263"/>
      <c r="B290" s="262" t="str">
        <f>"รวมราคา"&amp;B14</f>
        <v>รวมราคาหมวดงานปะปา-สุขาภิบาล</v>
      </c>
      <c r="C290" s="261"/>
      <c r="D290" s="228"/>
      <c r="E290" s="229"/>
      <c r="F290" s="230">
        <f>SUM(F264:F289)</f>
        <v>0</v>
      </c>
      <c r="G290" s="230"/>
      <c r="H290" s="230">
        <f>SUM(H265:H289)</f>
        <v>0</v>
      </c>
      <c r="I290" s="230">
        <f>SUM(,F290,H290)</f>
        <v>0</v>
      </c>
      <c r="J290" s="230"/>
      <c r="K290" s="260"/>
    </row>
    <row r="291" spans="1:14" s="325" customFormat="1" ht="20.45" customHeight="1">
      <c r="A291" s="163">
        <v>5</v>
      </c>
      <c r="B291" s="164" t="str">
        <f>B15</f>
        <v>หมวดงานระบบปรับอากาศและระบายอากาศ</v>
      </c>
      <c r="C291" s="165"/>
      <c r="D291" s="165"/>
      <c r="E291" s="166"/>
      <c r="F291" s="166"/>
      <c r="G291" s="166"/>
      <c r="H291" s="166"/>
      <c r="I291" s="167"/>
      <c r="J291" s="326"/>
    </row>
    <row r="292" spans="1:14" s="325" customFormat="1" ht="20.45" customHeight="1">
      <c r="A292" s="173">
        <v>5.0999999999999996</v>
      </c>
      <c r="B292" s="191" t="s">
        <v>401</v>
      </c>
      <c r="C292" s="192"/>
      <c r="D292" s="188"/>
      <c r="E292" s="187"/>
      <c r="F292" s="188"/>
      <c r="G292" s="187"/>
      <c r="H292" s="188"/>
      <c r="I292" s="189"/>
      <c r="J292" s="190"/>
    </row>
    <row r="293" spans="1:14" s="270" customFormat="1" ht="20.45" customHeight="1">
      <c r="A293" s="173"/>
      <c r="B293" s="191" t="s">
        <v>390</v>
      </c>
      <c r="C293" s="192">
        <v>1</v>
      </c>
      <c r="D293" s="188" t="s">
        <v>188</v>
      </c>
      <c r="E293" s="187">
        <v>0</v>
      </c>
      <c r="F293" s="188">
        <f t="shared" ref="F293:F294" si="46">E293*C293</f>
        <v>0</v>
      </c>
      <c r="G293" s="187"/>
      <c r="H293" s="188">
        <f t="shared" ref="H293:H295" si="47">G293*C293</f>
        <v>0</v>
      </c>
      <c r="I293" s="189">
        <f t="shared" ref="I293:I294" si="48">H293+F293</f>
        <v>0</v>
      </c>
      <c r="J293" s="190" t="s">
        <v>108</v>
      </c>
    </row>
    <row r="294" spans="1:14" s="325" customFormat="1" ht="20.45" customHeight="1">
      <c r="A294" s="168"/>
      <c r="B294" s="191" t="s">
        <v>391</v>
      </c>
      <c r="C294" s="192">
        <v>1</v>
      </c>
      <c r="D294" s="188" t="s">
        <v>188</v>
      </c>
      <c r="E294" s="187">
        <v>0</v>
      </c>
      <c r="F294" s="188">
        <f t="shared" si="46"/>
        <v>0</v>
      </c>
      <c r="G294" s="187"/>
      <c r="H294" s="188">
        <f t="shared" si="47"/>
        <v>0</v>
      </c>
      <c r="I294" s="189">
        <f t="shared" si="48"/>
        <v>0</v>
      </c>
      <c r="J294" s="190" t="s">
        <v>108</v>
      </c>
      <c r="L294" s="324"/>
    </row>
    <row r="295" spans="1:14" s="270" customFormat="1" ht="20.45" customHeight="1">
      <c r="A295" s="310"/>
      <c r="B295" s="195" t="s">
        <v>207</v>
      </c>
      <c r="C295" s="309">
        <v>1</v>
      </c>
      <c r="D295" s="266" t="s">
        <v>208</v>
      </c>
      <c r="E295" s="187">
        <v>0</v>
      </c>
      <c r="F295" s="187">
        <f>ROUND(E295*C295,2)</f>
        <v>0</v>
      </c>
      <c r="G295" s="187"/>
      <c r="H295" s="188">
        <f t="shared" si="47"/>
        <v>0</v>
      </c>
      <c r="I295" s="265">
        <f>+F295+H295</f>
        <v>0</v>
      </c>
      <c r="J295" s="190" t="s">
        <v>108</v>
      </c>
      <c r="L295" s="324"/>
      <c r="N295" s="324"/>
    </row>
    <row r="296" spans="1:14" s="325" customFormat="1" ht="20.45" customHeight="1">
      <c r="A296" s="173">
        <v>5.2</v>
      </c>
      <c r="B296" s="191" t="s">
        <v>407</v>
      </c>
      <c r="C296" s="192"/>
      <c r="D296" s="188"/>
      <c r="E296" s="187">
        <v>0</v>
      </c>
      <c r="F296" s="188"/>
      <c r="G296" s="187"/>
      <c r="H296" s="188"/>
      <c r="I296" s="189"/>
      <c r="J296" s="190"/>
      <c r="L296" s="324"/>
    </row>
    <row r="297" spans="1:14" s="325" customFormat="1" ht="20.45" customHeight="1">
      <c r="A297" s="173"/>
      <c r="B297" s="191" t="s">
        <v>402</v>
      </c>
      <c r="C297" s="192">
        <f>1.5*20</f>
        <v>30</v>
      </c>
      <c r="D297" s="188" t="s">
        <v>11</v>
      </c>
      <c r="E297" s="187">
        <v>0</v>
      </c>
      <c r="F297" s="188">
        <f t="shared" ref="F297:F306" si="49">E297*C297</f>
        <v>0</v>
      </c>
      <c r="G297" s="187">
        <v>0</v>
      </c>
      <c r="H297" s="188">
        <f t="shared" ref="H297:H307" si="50">G297*C297</f>
        <v>0</v>
      </c>
      <c r="I297" s="189">
        <f t="shared" ref="I297:I306" si="51">H297+F297</f>
        <v>0</v>
      </c>
      <c r="J297" s="190" t="s">
        <v>108</v>
      </c>
    </row>
    <row r="298" spans="1:14" s="270" customFormat="1" ht="20.45" customHeight="1">
      <c r="A298" s="173"/>
      <c r="B298" s="191" t="s">
        <v>403</v>
      </c>
      <c r="C298" s="192">
        <f>1.5*130</f>
        <v>195</v>
      </c>
      <c r="D298" s="188" t="s">
        <v>11</v>
      </c>
      <c r="E298" s="187">
        <v>0</v>
      </c>
      <c r="F298" s="188">
        <f t="shared" si="49"/>
        <v>0</v>
      </c>
      <c r="G298" s="187">
        <v>0</v>
      </c>
      <c r="H298" s="188">
        <f t="shared" si="50"/>
        <v>0</v>
      </c>
      <c r="I298" s="189">
        <f t="shared" si="51"/>
        <v>0</v>
      </c>
      <c r="J298" s="190" t="s">
        <v>108</v>
      </c>
    </row>
    <row r="299" spans="1:14" s="325" customFormat="1" ht="20.45" customHeight="1">
      <c r="A299" s="173"/>
      <c r="B299" s="191" t="s">
        <v>404</v>
      </c>
      <c r="C299" s="192">
        <f>1.5*120</f>
        <v>180</v>
      </c>
      <c r="D299" s="188" t="s">
        <v>11</v>
      </c>
      <c r="E299" s="187">
        <v>0</v>
      </c>
      <c r="F299" s="188">
        <f t="shared" si="49"/>
        <v>0</v>
      </c>
      <c r="G299" s="187">
        <v>0</v>
      </c>
      <c r="H299" s="188">
        <f t="shared" si="50"/>
        <v>0</v>
      </c>
      <c r="I299" s="189">
        <f t="shared" si="51"/>
        <v>0</v>
      </c>
      <c r="J299" s="190" t="s">
        <v>108</v>
      </c>
    </row>
    <row r="300" spans="1:14" s="270" customFormat="1" ht="20.45" customHeight="1">
      <c r="A300" s="173"/>
      <c r="B300" s="191" t="s">
        <v>405</v>
      </c>
      <c r="C300" s="192">
        <f>1.5*20</f>
        <v>30</v>
      </c>
      <c r="D300" s="188" t="s">
        <v>11</v>
      </c>
      <c r="E300" s="187">
        <v>0</v>
      </c>
      <c r="F300" s="188">
        <f t="shared" si="49"/>
        <v>0</v>
      </c>
      <c r="G300" s="187">
        <v>0</v>
      </c>
      <c r="H300" s="188">
        <f t="shared" si="50"/>
        <v>0</v>
      </c>
      <c r="I300" s="189">
        <f t="shared" si="51"/>
        <v>0</v>
      </c>
      <c r="J300" s="190" t="s">
        <v>108</v>
      </c>
    </row>
    <row r="301" spans="1:14" s="325" customFormat="1" ht="20.45" customHeight="1">
      <c r="A301" s="173"/>
      <c r="B301" s="191" t="s">
        <v>406</v>
      </c>
      <c r="C301" s="192">
        <f>1.5*10</f>
        <v>15</v>
      </c>
      <c r="D301" s="188" t="s">
        <v>11</v>
      </c>
      <c r="E301" s="187">
        <v>0</v>
      </c>
      <c r="F301" s="188">
        <f t="shared" si="49"/>
        <v>0</v>
      </c>
      <c r="G301" s="187">
        <v>0</v>
      </c>
      <c r="H301" s="188">
        <f t="shared" si="50"/>
        <v>0</v>
      </c>
      <c r="I301" s="189">
        <f t="shared" si="51"/>
        <v>0</v>
      </c>
      <c r="J301" s="190" t="s">
        <v>108</v>
      </c>
    </row>
    <row r="302" spans="1:14" s="325" customFormat="1" ht="20.45" customHeight="1">
      <c r="A302" s="173"/>
      <c r="B302" s="191" t="s">
        <v>411</v>
      </c>
      <c r="C302" s="192">
        <f>1.5*80</f>
        <v>120</v>
      </c>
      <c r="D302" s="188" t="s">
        <v>11</v>
      </c>
      <c r="E302" s="187">
        <v>0</v>
      </c>
      <c r="F302" s="188">
        <f t="shared" si="49"/>
        <v>0</v>
      </c>
      <c r="G302" s="187">
        <v>0</v>
      </c>
      <c r="H302" s="188">
        <f t="shared" si="50"/>
        <v>0</v>
      </c>
      <c r="I302" s="189">
        <f t="shared" si="51"/>
        <v>0</v>
      </c>
      <c r="J302" s="190" t="s">
        <v>108</v>
      </c>
    </row>
    <row r="303" spans="1:14" s="325" customFormat="1" ht="20.45" customHeight="1">
      <c r="A303" s="173"/>
      <c r="B303" s="191" t="s">
        <v>410</v>
      </c>
      <c r="C303" s="192">
        <f>1.5*60</f>
        <v>90</v>
      </c>
      <c r="D303" s="188" t="s">
        <v>11</v>
      </c>
      <c r="E303" s="187">
        <v>0</v>
      </c>
      <c r="F303" s="188">
        <f t="shared" si="49"/>
        <v>0</v>
      </c>
      <c r="G303" s="187">
        <v>0</v>
      </c>
      <c r="H303" s="188">
        <f t="shared" si="50"/>
        <v>0</v>
      </c>
      <c r="I303" s="189">
        <f t="shared" si="51"/>
        <v>0</v>
      </c>
      <c r="J303" s="190" t="s">
        <v>108</v>
      </c>
    </row>
    <row r="304" spans="1:14" s="270" customFormat="1" ht="20.45" customHeight="1">
      <c r="A304" s="173"/>
      <c r="B304" s="191" t="s">
        <v>409</v>
      </c>
      <c r="C304" s="192">
        <f>1.5*150</f>
        <v>225</v>
      </c>
      <c r="D304" s="188" t="s">
        <v>11</v>
      </c>
      <c r="E304" s="187">
        <v>0</v>
      </c>
      <c r="F304" s="188">
        <f t="shared" si="49"/>
        <v>0</v>
      </c>
      <c r="G304" s="187">
        <v>0</v>
      </c>
      <c r="H304" s="188">
        <f t="shared" si="50"/>
        <v>0</v>
      </c>
      <c r="I304" s="189">
        <f t="shared" si="51"/>
        <v>0</v>
      </c>
      <c r="J304" s="190" t="s">
        <v>108</v>
      </c>
      <c r="L304" s="324"/>
    </row>
    <row r="305" spans="1:14" s="270" customFormat="1" ht="20.45" customHeight="1">
      <c r="A305" s="173"/>
      <c r="B305" s="191" t="s">
        <v>408</v>
      </c>
      <c r="C305" s="192">
        <f>1.5*150</f>
        <v>225</v>
      </c>
      <c r="D305" s="188" t="s">
        <v>11</v>
      </c>
      <c r="E305" s="187">
        <v>0</v>
      </c>
      <c r="F305" s="188">
        <f t="shared" si="49"/>
        <v>0</v>
      </c>
      <c r="G305" s="187">
        <v>0</v>
      </c>
      <c r="H305" s="188">
        <f t="shared" si="50"/>
        <v>0</v>
      </c>
      <c r="I305" s="189">
        <f t="shared" si="51"/>
        <v>0</v>
      </c>
      <c r="J305" s="190" t="s">
        <v>108</v>
      </c>
      <c r="L305" s="324"/>
    </row>
    <row r="306" spans="1:14" s="270" customFormat="1" ht="20.45" customHeight="1">
      <c r="A306" s="240"/>
      <c r="B306" s="191" t="s">
        <v>415</v>
      </c>
      <c r="C306" s="192">
        <f>13.6*3</f>
        <v>40.799999999999997</v>
      </c>
      <c r="D306" s="188" t="s">
        <v>125</v>
      </c>
      <c r="E306" s="187">
        <v>0</v>
      </c>
      <c r="F306" s="188">
        <f t="shared" si="49"/>
        <v>0</v>
      </c>
      <c r="G306" s="187">
        <v>0</v>
      </c>
      <c r="H306" s="188">
        <f t="shared" si="50"/>
        <v>0</v>
      </c>
      <c r="I306" s="189">
        <f t="shared" si="51"/>
        <v>0</v>
      </c>
      <c r="J306" s="190" t="s">
        <v>108</v>
      </c>
      <c r="L306" s="324"/>
    </row>
    <row r="307" spans="1:14" s="270" customFormat="1" ht="20.45" customHeight="1">
      <c r="A307" s="310"/>
      <c r="B307" s="195" t="s">
        <v>215</v>
      </c>
      <c r="C307" s="309">
        <v>1</v>
      </c>
      <c r="D307" s="266" t="s">
        <v>208</v>
      </c>
      <c r="E307" s="187">
        <v>0</v>
      </c>
      <c r="F307" s="187">
        <f>ROUND(E307*C307,2)</f>
        <v>0</v>
      </c>
      <c r="G307" s="187">
        <v>0</v>
      </c>
      <c r="H307" s="188">
        <f t="shared" si="50"/>
        <v>0</v>
      </c>
      <c r="I307" s="265">
        <f>+F307+H307</f>
        <v>0</v>
      </c>
      <c r="J307" s="190" t="s">
        <v>108</v>
      </c>
      <c r="L307" s="324">
        <f>SUM(I293:I307)</f>
        <v>0</v>
      </c>
    </row>
    <row r="308" spans="1:14" s="270" customFormat="1" ht="20.45" customHeight="1">
      <c r="A308" s="173">
        <v>5.3</v>
      </c>
      <c r="B308" s="191" t="s">
        <v>413</v>
      </c>
      <c r="C308" s="192"/>
      <c r="D308" s="188"/>
      <c r="E308" s="187">
        <v>0</v>
      </c>
      <c r="F308" s="188"/>
      <c r="G308" s="187">
        <v>0</v>
      </c>
      <c r="H308" s="188"/>
      <c r="I308" s="189"/>
      <c r="J308" s="190"/>
    </row>
    <row r="309" spans="1:14" s="270" customFormat="1" ht="20.45" customHeight="1">
      <c r="A309" s="191"/>
      <c r="B309" s="191" t="s">
        <v>414</v>
      </c>
      <c r="C309" s="192">
        <v>1</v>
      </c>
      <c r="D309" s="188" t="s">
        <v>200</v>
      </c>
      <c r="E309" s="187">
        <v>0</v>
      </c>
      <c r="F309" s="188">
        <f>E309*C309</f>
        <v>0</v>
      </c>
      <c r="G309" s="187">
        <v>0</v>
      </c>
      <c r="H309" s="188">
        <f t="shared" ref="H309:H317" si="52">G309*C309</f>
        <v>0</v>
      </c>
      <c r="I309" s="189">
        <f>H309+F309</f>
        <v>0</v>
      </c>
      <c r="J309" s="190" t="s">
        <v>108</v>
      </c>
    </row>
    <row r="310" spans="1:14" s="270" customFormat="1" ht="20.45" customHeight="1">
      <c r="A310" s="310"/>
      <c r="B310" s="194" t="s">
        <v>258</v>
      </c>
      <c r="C310" s="192">
        <v>1</v>
      </c>
      <c r="D310" s="188" t="s">
        <v>204</v>
      </c>
      <c r="E310" s="187">
        <v>0</v>
      </c>
      <c r="F310" s="188">
        <f>E310*C310</f>
        <v>0</v>
      </c>
      <c r="G310" s="187">
        <v>0</v>
      </c>
      <c r="H310" s="188">
        <f t="shared" si="52"/>
        <v>0</v>
      </c>
      <c r="I310" s="189">
        <f>H310+F310</f>
        <v>0</v>
      </c>
      <c r="J310" s="190" t="s">
        <v>108</v>
      </c>
    </row>
    <row r="311" spans="1:14" s="270" customFormat="1" ht="20.45" customHeight="1">
      <c r="A311" s="310"/>
      <c r="B311" s="194" t="s">
        <v>206</v>
      </c>
      <c r="C311" s="192">
        <v>7</v>
      </c>
      <c r="D311" s="188" t="s">
        <v>204</v>
      </c>
      <c r="E311" s="187">
        <v>0</v>
      </c>
      <c r="F311" s="188">
        <f>E311*C311</f>
        <v>0</v>
      </c>
      <c r="G311" s="187">
        <v>0</v>
      </c>
      <c r="H311" s="188">
        <f t="shared" si="52"/>
        <v>0</v>
      </c>
      <c r="I311" s="189">
        <f>H311+F311</f>
        <v>0</v>
      </c>
      <c r="J311" s="190" t="s">
        <v>108</v>
      </c>
    </row>
    <row r="312" spans="1:14" s="270" customFormat="1" ht="20.45" customHeight="1">
      <c r="A312" s="304"/>
      <c r="B312" s="200" t="s">
        <v>261</v>
      </c>
      <c r="C312" s="196">
        <f>(130*3)+140</f>
        <v>530</v>
      </c>
      <c r="D312" s="187" t="s">
        <v>11</v>
      </c>
      <c r="E312" s="187">
        <v>0</v>
      </c>
      <c r="F312" s="197">
        <f>E312*C312</f>
        <v>0</v>
      </c>
      <c r="G312" s="187">
        <v>0</v>
      </c>
      <c r="H312" s="198">
        <f t="shared" si="52"/>
        <v>0</v>
      </c>
      <c r="I312" s="197">
        <f>F312+H312</f>
        <v>0</v>
      </c>
      <c r="J312" s="187" t="s">
        <v>185</v>
      </c>
    </row>
    <row r="313" spans="1:14" s="270" customFormat="1" ht="20.45" customHeight="1">
      <c r="A313" s="304"/>
      <c r="B313" s="200" t="s">
        <v>263</v>
      </c>
      <c r="C313" s="196">
        <f>140*4</f>
        <v>560</v>
      </c>
      <c r="D313" s="196" t="s">
        <v>11</v>
      </c>
      <c r="E313" s="187">
        <v>0</v>
      </c>
      <c r="F313" s="197">
        <f>E313*C313</f>
        <v>0</v>
      </c>
      <c r="G313" s="187">
        <v>0</v>
      </c>
      <c r="H313" s="198">
        <f t="shared" si="52"/>
        <v>0</v>
      </c>
      <c r="I313" s="197">
        <f>F313+H313</f>
        <v>0</v>
      </c>
      <c r="J313" s="187" t="s">
        <v>185</v>
      </c>
    </row>
    <row r="314" spans="1:14" s="270" customFormat="1" ht="20.45" customHeight="1">
      <c r="A314" s="304"/>
      <c r="B314" s="203" t="s">
        <v>211</v>
      </c>
      <c r="C314" s="187">
        <v>450</v>
      </c>
      <c r="D314" s="187" t="s">
        <v>11</v>
      </c>
      <c r="E314" s="187">
        <v>0</v>
      </c>
      <c r="F314" s="198">
        <f>C314*E314</f>
        <v>0</v>
      </c>
      <c r="G314" s="187">
        <v>0</v>
      </c>
      <c r="H314" s="198">
        <f t="shared" si="52"/>
        <v>0</v>
      </c>
      <c r="I314" s="198">
        <f>H314+F314</f>
        <v>0</v>
      </c>
      <c r="J314" s="204" t="s">
        <v>185</v>
      </c>
    </row>
    <row r="315" spans="1:14" s="270" customFormat="1" ht="20.45" customHeight="1">
      <c r="A315" s="303"/>
      <c r="B315" s="203" t="s">
        <v>212</v>
      </c>
      <c r="C315" s="187">
        <v>140</v>
      </c>
      <c r="D315" s="187" t="s">
        <v>11</v>
      </c>
      <c r="E315" s="187">
        <v>0</v>
      </c>
      <c r="F315" s="198">
        <f>C315*E315</f>
        <v>0</v>
      </c>
      <c r="G315" s="187">
        <v>0</v>
      </c>
      <c r="H315" s="198">
        <f t="shared" si="52"/>
        <v>0</v>
      </c>
      <c r="I315" s="198">
        <f>H315+F315</f>
        <v>0</v>
      </c>
      <c r="J315" s="204" t="s">
        <v>185</v>
      </c>
    </row>
    <row r="316" spans="1:14" s="325" customFormat="1" ht="20.45" customHeight="1">
      <c r="A316" s="168"/>
      <c r="B316" s="191" t="s">
        <v>412</v>
      </c>
      <c r="C316" s="192">
        <v>330</v>
      </c>
      <c r="D316" s="188" t="s">
        <v>11</v>
      </c>
      <c r="E316" s="187">
        <v>0</v>
      </c>
      <c r="F316" s="198">
        <f>C316*E316</f>
        <v>0</v>
      </c>
      <c r="G316" s="187">
        <v>0</v>
      </c>
      <c r="H316" s="198">
        <f t="shared" si="52"/>
        <v>0</v>
      </c>
      <c r="I316" s="198">
        <f>H316+F316</f>
        <v>0</v>
      </c>
      <c r="J316" s="190" t="s">
        <v>108</v>
      </c>
    </row>
    <row r="317" spans="1:14" s="270" customFormat="1" ht="20.45" customHeight="1">
      <c r="A317" s="310"/>
      <c r="B317" s="195" t="s">
        <v>207</v>
      </c>
      <c r="C317" s="309">
        <v>1</v>
      </c>
      <c r="D317" s="266" t="s">
        <v>208</v>
      </c>
      <c r="E317" s="187">
        <v>0</v>
      </c>
      <c r="F317" s="187">
        <f>ROUND(E317*C317,2)</f>
        <v>0</v>
      </c>
      <c r="G317" s="187">
        <v>0</v>
      </c>
      <c r="H317" s="188">
        <f t="shared" si="52"/>
        <v>0</v>
      </c>
      <c r="I317" s="265">
        <f>F317+H317</f>
        <v>0</v>
      </c>
      <c r="J317" s="190"/>
      <c r="L317" s="324"/>
      <c r="N317" s="324"/>
    </row>
    <row r="318" spans="1:14" s="270" customFormat="1" ht="20.45" customHeight="1">
      <c r="A318" s="173"/>
      <c r="B318" s="191"/>
      <c r="C318" s="192"/>
      <c r="D318" s="188"/>
      <c r="E318" s="187">
        <v>0</v>
      </c>
      <c r="F318" s="188"/>
      <c r="G318" s="187">
        <v>0</v>
      </c>
      <c r="H318" s="188"/>
      <c r="I318" s="189"/>
      <c r="J318" s="190"/>
      <c r="L318" s="324"/>
    </row>
    <row r="319" spans="1:14" s="316" customFormat="1" ht="20.25" customHeight="1">
      <c r="A319" s="323"/>
      <c r="B319" s="322" t="str">
        <f>"รวมราคา"&amp;B291</f>
        <v>รวมราคาหมวดงานระบบปรับอากาศและระบายอากาศ</v>
      </c>
      <c r="C319" s="321"/>
      <c r="D319" s="320"/>
      <c r="E319" s="319"/>
      <c r="F319" s="256">
        <f>SUM(F293:F318)</f>
        <v>0</v>
      </c>
      <c r="G319" s="256"/>
      <c r="H319" s="256">
        <f>SUM(H293:H318)</f>
        <v>0</v>
      </c>
      <c r="I319" s="256">
        <f>F319+H319</f>
        <v>0</v>
      </c>
      <c r="J319" s="227"/>
      <c r="K319" s="317"/>
    </row>
    <row r="320" spans="1:14" s="270" customFormat="1" ht="20.45" customHeight="1">
      <c r="A320" s="217">
        <v>6</v>
      </c>
      <c r="B320" s="218" t="s">
        <v>198</v>
      </c>
      <c r="C320" s="315"/>
      <c r="D320" s="314"/>
      <c r="E320" s="313"/>
      <c r="F320" s="311"/>
      <c r="G320" s="312"/>
      <c r="H320" s="312"/>
      <c r="I320" s="311"/>
      <c r="J320" s="186"/>
    </row>
    <row r="321" spans="1:10" s="270" customFormat="1" ht="20.45" customHeight="1">
      <c r="A321" s="216">
        <v>6.1</v>
      </c>
      <c r="B321" s="215" t="s">
        <v>199</v>
      </c>
      <c r="C321" s="187"/>
      <c r="D321" s="188"/>
      <c r="E321" s="187"/>
      <c r="F321" s="188"/>
      <c r="G321" s="187"/>
      <c r="H321" s="188"/>
      <c r="I321" s="189"/>
      <c r="J321" s="190"/>
    </row>
    <row r="322" spans="1:10" s="270" customFormat="1" ht="20.45" customHeight="1">
      <c r="A322" s="310" t="s">
        <v>313</v>
      </c>
      <c r="B322" s="191" t="s">
        <v>255</v>
      </c>
      <c r="C322" s="192">
        <v>1</v>
      </c>
      <c r="D322" s="188" t="s">
        <v>200</v>
      </c>
      <c r="E322" s="187">
        <v>0</v>
      </c>
      <c r="F322" s="188">
        <f t="shared" ref="F322:F331" si="53">E322*C322</f>
        <v>0</v>
      </c>
      <c r="G322" s="187">
        <f>F322*0.1</f>
        <v>0</v>
      </c>
      <c r="H322" s="188">
        <f t="shared" ref="H322:H332" si="54">G322*C322</f>
        <v>0</v>
      </c>
      <c r="I322" s="189">
        <f t="shared" ref="I322:I331" si="55">H322+F322</f>
        <v>0</v>
      </c>
      <c r="J322" s="190" t="s">
        <v>108</v>
      </c>
    </row>
    <row r="323" spans="1:10" s="270" customFormat="1" ht="20.45" customHeight="1">
      <c r="A323" s="310" t="s">
        <v>314</v>
      </c>
      <c r="B323" s="193" t="s">
        <v>201</v>
      </c>
      <c r="C323" s="192">
        <v>1</v>
      </c>
      <c r="D323" s="188" t="s">
        <v>200</v>
      </c>
      <c r="E323" s="187">
        <v>0</v>
      </c>
      <c r="F323" s="188">
        <f t="shared" si="53"/>
        <v>0</v>
      </c>
      <c r="G323" s="187">
        <f t="shared" ref="G323:G386" si="56">F323*0.1</f>
        <v>0</v>
      </c>
      <c r="H323" s="188">
        <f t="shared" si="54"/>
        <v>0</v>
      </c>
      <c r="I323" s="189">
        <f t="shared" si="55"/>
        <v>0</v>
      </c>
      <c r="J323" s="190" t="s">
        <v>108</v>
      </c>
    </row>
    <row r="324" spans="1:10" s="270" customFormat="1" ht="20.45" customHeight="1">
      <c r="A324" s="310" t="s">
        <v>315</v>
      </c>
      <c r="B324" s="191" t="s">
        <v>202</v>
      </c>
      <c r="C324" s="192">
        <v>3</v>
      </c>
      <c r="D324" s="188" t="s">
        <v>200</v>
      </c>
      <c r="E324" s="187">
        <v>0</v>
      </c>
      <c r="F324" s="188">
        <f t="shared" si="53"/>
        <v>0</v>
      </c>
      <c r="G324" s="187">
        <f t="shared" si="56"/>
        <v>0</v>
      </c>
      <c r="H324" s="188">
        <f t="shared" si="54"/>
        <v>0</v>
      </c>
      <c r="I324" s="189">
        <f t="shared" si="55"/>
        <v>0</v>
      </c>
      <c r="J324" s="190" t="s">
        <v>108</v>
      </c>
    </row>
    <row r="325" spans="1:10" s="270" customFormat="1" ht="20.45" customHeight="1">
      <c r="A325" s="310" t="s">
        <v>316</v>
      </c>
      <c r="B325" s="191" t="s">
        <v>203</v>
      </c>
      <c r="C325" s="192">
        <v>15</v>
      </c>
      <c r="D325" s="188" t="s">
        <v>204</v>
      </c>
      <c r="E325" s="187">
        <v>0</v>
      </c>
      <c r="F325" s="188">
        <f t="shared" si="53"/>
        <v>0</v>
      </c>
      <c r="G325" s="187">
        <f t="shared" si="56"/>
        <v>0</v>
      </c>
      <c r="H325" s="188">
        <f t="shared" si="54"/>
        <v>0</v>
      </c>
      <c r="I325" s="189">
        <f t="shared" si="55"/>
        <v>0</v>
      </c>
      <c r="J325" s="190" t="s">
        <v>108</v>
      </c>
    </row>
    <row r="326" spans="1:10" s="270" customFormat="1" ht="20.45" customHeight="1">
      <c r="A326" s="310" t="s">
        <v>317</v>
      </c>
      <c r="B326" s="193" t="s">
        <v>205</v>
      </c>
      <c r="C326" s="192">
        <v>14</v>
      </c>
      <c r="D326" s="188" t="s">
        <v>204</v>
      </c>
      <c r="E326" s="187">
        <v>0</v>
      </c>
      <c r="F326" s="188">
        <f t="shared" si="53"/>
        <v>0</v>
      </c>
      <c r="G326" s="187">
        <f t="shared" si="56"/>
        <v>0</v>
      </c>
      <c r="H326" s="188">
        <f t="shared" si="54"/>
        <v>0</v>
      </c>
      <c r="I326" s="189">
        <f t="shared" si="55"/>
        <v>0</v>
      </c>
      <c r="J326" s="190" t="s">
        <v>108</v>
      </c>
    </row>
    <row r="327" spans="1:10" s="270" customFormat="1" ht="20.45" customHeight="1">
      <c r="A327" s="310" t="s">
        <v>318</v>
      </c>
      <c r="B327" s="194" t="s">
        <v>206</v>
      </c>
      <c r="C327" s="192">
        <v>2</v>
      </c>
      <c r="D327" s="188" t="s">
        <v>204</v>
      </c>
      <c r="E327" s="187">
        <v>0</v>
      </c>
      <c r="F327" s="188">
        <f t="shared" si="53"/>
        <v>0</v>
      </c>
      <c r="G327" s="187">
        <f t="shared" si="56"/>
        <v>0</v>
      </c>
      <c r="H327" s="188">
        <f t="shared" si="54"/>
        <v>0</v>
      </c>
      <c r="I327" s="189">
        <f t="shared" si="55"/>
        <v>0</v>
      </c>
      <c r="J327" s="190" t="s">
        <v>108</v>
      </c>
    </row>
    <row r="328" spans="1:10" s="270" customFormat="1" ht="20.45" customHeight="1">
      <c r="A328" s="310" t="s">
        <v>319</v>
      </c>
      <c r="B328" s="194" t="s">
        <v>256</v>
      </c>
      <c r="C328" s="192">
        <v>6</v>
      </c>
      <c r="D328" s="188" t="s">
        <v>204</v>
      </c>
      <c r="E328" s="187">
        <v>0</v>
      </c>
      <c r="F328" s="188">
        <f t="shared" si="53"/>
        <v>0</v>
      </c>
      <c r="G328" s="187">
        <f t="shared" si="56"/>
        <v>0</v>
      </c>
      <c r="H328" s="188">
        <f t="shared" si="54"/>
        <v>0</v>
      </c>
      <c r="I328" s="189">
        <f t="shared" si="55"/>
        <v>0</v>
      </c>
      <c r="J328" s="190" t="s">
        <v>108</v>
      </c>
    </row>
    <row r="329" spans="1:10" s="270" customFormat="1" ht="20.45" customHeight="1">
      <c r="A329" s="310" t="s">
        <v>320</v>
      </c>
      <c r="B329" s="194" t="s">
        <v>257</v>
      </c>
      <c r="C329" s="192">
        <v>2</v>
      </c>
      <c r="D329" s="188" t="s">
        <v>204</v>
      </c>
      <c r="E329" s="187">
        <v>0</v>
      </c>
      <c r="F329" s="188">
        <f t="shared" si="53"/>
        <v>0</v>
      </c>
      <c r="G329" s="187">
        <f t="shared" si="56"/>
        <v>0</v>
      </c>
      <c r="H329" s="188">
        <f t="shared" si="54"/>
        <v>0</v>
      </c>
      <c r="I329" s="189">
        <f t="shared" si="55"/>
        <v>0</v>
      </c>
      <c r="J329" s="190" t="s">
        <v>108</v>
      </c>
    </row>
    <row r="330" spans="1:10" s="270" customFormat="1" ht="20.45" customHeight="1">
      <c r="A330" s="310" t="s">
        <v>321</v>
      </c>
      <c r="B330" s="194" t="s">
        <v>258</v>
      </c>
      <c r="C330" s="192">
        <v>1</v>
      </c>
      <c r="D330" s="188" t="s">
        <v>204</v>
      </c>
      <c r="E330" s="187">
        <v>0</v>
      </c>
      <c r="F330" s="188">
        <f t="shared" si="53"/>
        <v>0</v>
      </c>
      <c r="G330" s="187">
        <f t="shared" si="56"/>
        <v>0</v>
      </c>
      <c r="H330" s="188">
        <f t="shared" si="54"/>
        <v>0</v>
      </c>
      <c r="I330" s="189">
        <f t="shared" si="55"/>
        <v>0</v>
      </c>
      <c r="J330" s="190" t="s">
        <v>108</v>
      </c>
    </row>
    <row r="331" spans="1:10" s="270" customFormat="1" ht="20.45" customHeight="1">
      <c r="A331" s="310" t="s">
        <v>322</v>
      </c>
      <c r="B331" s="194" t="s">
        <v>259</v>
      </c>
      <c r="C331" s="192">
        <v>1</v>
      </c>
      <c r="D331" s="188" t="s">
        <v>204</v>
      </c>
      <c r="E331" s="187">
        <v>0</v>
      </c>
      <c r="F331" s="188">
        <f t="shared" si="53"/>
        <v>0</v>
      </c>
      <c r="G331" s="187">
        <f t="shared" si="56"/>
        <v>0</v>
      </c>
      <c r="H331" s="188">
        <f t="shared" si="54"/>
        <v>0</v>
      </c>
      <c r="I331" s="189">
        <f t="shared" si="55"/>
        <v>0</v>
      </c>
      <c r="J331" s="190" t="s">
        <v>108</v>
      </c>
    </row>
    <row r="332" spans="1:10" s="270" customFormat="1" ht="20.45" customHeight="1">
      <c r="A332" s="310" t="s">
        <v>323</v>
      </c>
      <c r="B332" s="195" t="s">
        <v>207</v>
      </c>
      <c r="C332" s="309">
        <v>1</v>
      </c>
      <c r="D332" s="266" t="s">
        <v>208</v>
      </c>
      <c r="E332" s="187">
        <v>0</v>
      </c>
      <c r="F332" s="187">
        <f>ROUND(E332*C332,2)</f>
        <v>0</v>
      </c>
      <c r="G332" s="187">
        <f t="shared" si="56"/>
        <v>0</v>
      </c>
      <c r="H332" s="188">
        <f t="shared" si="54"/>
        <v>0</v>
      </c>
      <c r="I332" s="265">
        <f>+F332+H332</f>
        <v>0</v>
      </c>
      <c r="J332" s="190" t="s">
        <v>108</v>
      </c>
    </row>
    <row r="333" spans="1:10" s="270" customFormat="1" ht="20.45" customHeight="1">
      <c r="A333" s="308">
        <v>6.2</v>
      </c>
      <c r="B333" s="307" t="s">
        <v>209</v>
      </c>
      <c r="C333" s="196"/>
      <c r="D333" s="196"/>
      <c r="E333" s="187">
        <v>0</v>
      </c>
      <c r="F333" s="197"/>
      <c r="G333" s="187">
        <f t="shared" si="56"/>
        <v>0</v>
      </c>
      <c r="H333" s="198"/>
      <c r="I333" s="197"/>
      <c r="J333" s="199"/>
    </row>
    <row r="334" spans="1:10" s="270" customFormat="1" ht="20.45" customHeight="1">
      <c r="A334" s="304" t="s">
        <v>324</v>
      </c>
      <c r="B334" s="200" t="s">
        <v>260</v>
      </c>
      <c r="C334" s="196">
        <v>902.6</v>
      </c>
      <c r="D334" s="187" t="s">
        <v>11</v>
      </c>
      <c r="E334" s="187">
        <v>0</v>
      </c>
      <c r="F334" s="197">
        <f t="shared" ref="F334:F341" si="57">E334*C334</f>
        <v>0</v>
      </c>
      <c r="G334" s="187">
        <f t="shared" si="56"/>
        <v>0</v>
      </c>
      <c r="H334" s="198">
        <f t="shared" ref="H334:H342" si="58">G334*C334</f>
        <v>0</v>
      </c>
      <c r="I334" s="197">
        <f t="shared" ref="I334:I341" si="59">F334+H334</f>
        <v>0</v>
      </c>
      <c r="J334" s="201" t="s">
        <v>185</v>
      </c>
    </row>
    <row r="335" spans="1:10" s="270" customFormat="1" ht="20.45" customHeight="1">
      <c r="A335" s="304" t="s">
        <v>325</v>
      </c>
      <c r="B335" s="200" t="s">
        <v>261</v>
      </c>
      <c r="C335" s="196">
        <v>1589</v>
      </c>
      <c r="D335" s="187" t="s">
        <v>11</v>
      </c>
      <c r="E335" s="187">
        <v>0</v>
      </c>
      <c r="F335" s="197">
        <f t="shared" si="57"/>
        <v>0</v>
      </c>
      <c r="G335" s="187">
        <f t="shared" si="56"/>
        <v>0</v>
      </c>
      <c r="H335" s="198">
        <f t="shared" si="58"/>
        <v>0</v>
      </c>
      <c r="I335" s="197">
        <f t="shared" si="59"/>
        <v>0</v>
      </c>
      <c r="J335" s="187" t="s">
        <v>185</v>
      </c>
    </row>
    <row r="336" spans="1:10" s="270" customFormat="1" ht="20.45" customHeight="1">
      <c r="A336" s="304" t="s">
        <v>326</v>
      </c>
      <c r="B336" s="200" t="s">
        <v>262</v>
      </c>
      <c r="C336" s="196">
        <v>1532</v>
      </c>
      <c r="D336" s="196" t="s">
        <v>11</v>
      </c>
      <c r="E336" s="187">
        <v>0</v>
      </c>
      <c r="F336" s="197">
        <f t="shared" si="57"/>
        <v>0</v>
      </c>
      <c r="G336" s="187">
        <f t="shared" si="56"/>
        <v>0</v>
      </c>
      <c r="H336" s="198">
        <f t="shared" si="58"/>
        <v>0</v>
      </c>
      <c r="I336" s="197">
        <f t="shared" si="59"/>
        <v>0</v>
      </c>
      <c r="J336" s="187" t="s">
        <v>185</v>
      </c>
    </row>
    <row r="337" spans="1:10" s="270" customFormat="1" ht="20.45" customHeight="1">
      <c r="A337" s="304" t="s">
        <v>327</v>
      </c>
      <c r="B337" s="200" t="s">
        <v>263</v>
      </c>
      <c r="C337" s="196">
        <v>52.1</v>
      </c>
      <c r="D337" s="196" t="s">
        <v>11</v>
      </c>
      <c r="E337" s="187">
        <v>0</v>
      </c>
      <c r="F337" s="197">
        <f t="shared" si="57"/>
        <v>0</v>
      </c>
      <c r="G337" s="187">
        <f t="shared" si="56"/>
        <v>0</v>
      </c>
      <c r="H337" s="198">
        <f t="shared" si="58"/>
        <v>0</v>
      </c>
      <c r="I337" s="197">
        <f t="shared" si="59"/>
        <v>0</v>
      </c>
      <c r="J337" s="187" t="s">
        <v>185</v>
      </c>
    </row>
    <row r="338" spans="1:10" s="270" customFormat="1" ht="20.45" customHeight="1">
      <c r="A338" s="304" t="s">
        <v>328</v>
      </c>
      <c r="B338" s="200" t="s">
        <v>264</v>
      </c>
      <c r="C338" s="196">
        <v>134.4</v>
      </c>
      <c r="D338" s="196" t="s">
        <v>11</v>
      </c>
      <c r="E338" s="187">
        <v>0</v>
      </c>
      <c r="F338" s="197">
        <f t="shared" si="57"/>
        <v>0</v>
      </c>
      <c r="G338" s="187">
        <f t="shared" si="56"/>
        <v>0</v>
      </c>
      <c r="H338" s="198">
        <f t="shared" si="58"/>
        <v>0</v>
      </c>
      <c r="I338" s="197">
        <f t="shared" si="59"/>
        <v>0</v>
      </c>
      <c r="J338" s="187" t="s">
        <v>185</v>
      </c>
    </row>
    <row r="339" spans="1:10" s="270" customFormat="1" ht="20.45" customHeight="1">
      <c r="A339" s="304" t="s">
        <v>329</v>
      </c>
      <c r="B339" s="200" t="s">
        <v>265</v>
      </c>
      <c r="C339" s="196">
        <v>165.1</v>
      </c>
      <c r="D339" s="196" t="s">
        <v>11</v>
      </c>
      <c r="E339" s="187">
        <v>0</v>
      </c>
      <c r="F339" s="197">
        <f t="shared" si="57"/>
        <v>0</v>
      </c>
      <c r="G339" s="187">
        <f t="shared" si="56"/>
        <v>0</v>
      </c>
      <c r="H339" s="198">
        <f t="shared" si="58"/>
        <v>0</v>
      </c>
      <c r="I339" s="197">
        <f t="shared" si="59"/>
        <v>0</v>
      </c>
      <c r="J339" s="187" t="s">
        <v>185</v>
      </c>
    </row>
    <row r="340" spans="1:10" s="270" customFormat="1" ht="20.45" customHeight="1">
      <c r="A340" s="304" t="s">
        <v>330</v>
      </c>
      <c r="B340" s="200" t="s">
        <v>266</v>
      </c>
      <c r="C340" s="196">
        <v>43.2</v>
      </c>
      <c r="D340" s="196" t="s">
        <v>11</v>
      </c>
      <c r="E340" s="187">
        <v>0</v>
      </c>
      <c r="F340" s="198">
        <f t="shared" si="57"/>
        <v>0</v>
      </c>
      <c r="G340" s="187">
        <f t="shared" si="56"/>
        <v>0</v>
      </c>
      <c r="H340" s="198">
        <f t="shared" si="58"/>
        <v>0</v>
      </c>
      <c r="I340" s="198">
        <f t="shared" si="59"/>
        <v>0</v>
      </c>
      <c r="J340" s="187" t="s">
        <v>185</v>
      </c>
    </row>
    <row r="341" spans="1:10" s="270" customFormat="1" ht="20.45" customHeight="1">
      <c r="A341" s="304" t="s">
        <v>331</v>
      </c>
      <c r="B341" s="200" t="s">
        <v>267</v>
      </c>
      <c r="C341" s="196">
        <v>1007</v>
      </c>
      <c r="D341" s="196" t="s">
        <v>11</v>
      </c>
      <c r="E341" s="187">
        <v>0</v>
      </c>
      <c r="F341" s="197">
        <f t="shared" si="57"/>
        <v>0</v>
      </c>
      <c r="G341" s="187">
        <f t="shared" si="56"/>
        <v>0</v>
      </c>
      <c r="H341" s="198">
        <f t="shared" si="58"/>
        <v>0</v>
      </c>
      <c r="I341" s="197">
        <f t="shared" si="59"/>
        <v>0</v>
      </c>
      <c r="J341" s="187" t="s">
        <v>185</v>
      </c>
    </row>
    <row r="342" spans="1:10" s="270" customFormat="1" ht="20.45" customHeight="1">
      <c r="A342" s="304" t="s">
        <v>332</v>
      </c>
      <c r="B342" s="202" t="s">
        <v>207</v>
      </c>
      <c r="C342" s="267">
        <v>1</v>
      </c>
      <c r="D342" s="266" t="s">
        <v>208</v>
      </c>
      <c r="E342" s="187">
        <v>0</v>
      </c>
      <c r="F342" s="187">
        <f>ROUND(E342*C342,2)</f>
        <v>0</v>
      </c>
      <c r="G342" s="187">
        <f t="shared" si="56"/>
        <v>0</v>
      </c>
      <c r="H342" s="188">
        <f t="shared" si="58"/>
        <v>0</v>
      </c>
      <c r="I342" s="265">
        <f>+F342+H342</f>
        <v>0</v>
      </c>
      <c r="J342" s="187"/>
    </row>
    <row r="343" spans="1:10" s="270" customFormat="1" ht="20.45" customHeight="1">
      <c r="A343" s="308">
        <v>6.3</v>
      </c>
      <c r="B343" s="307" t="s">
        <v>210</v>
      </c>
      <c r="C343" s="187"/>
      <c r="D343" s="266"/>
      <c r="E343" s="187">
        <v>0</v>
      </c>
      <c r="F343" s="306"/>
      <c r="G343" s="187">
        <f t="shared" si="56"/>
        <v>0</v>
      </c>
      <c r="H343" s="306"/>
      <c r="I343" s="305"/>
      <c r="J343" s="187"/>
    </row>
    <row r="344" spans="1:10" s="270" customFormat="1" ht="20.45" customHeight="1">
      <c r="A344" s="304" t="s">
        <v>333</v>
      </c>
      <c r="B344" s="203" t="s">
        <v>211</v>
      </c>
      <c r="C344" s="187">
        <v>1555</v>
      </c>
      <c r="D344" s="187" t="s">
        <v>11</v>
      </c>
      <c r="E344" s="187">
        <v>0</v>
      </c>
      <c r="F344" s="198">
        <f>C344*E344</f>
        <v>0</v>
      </c>
      <c r="G344" s="187">
        <f t="shared" si="56"/>
        <v>0</v>
      </c>
      <c r="H344" s="198">
        <f t="shared" ref="H344:H349" si="60">G344*C344</f>
        <v>0</v>
      </c>
      <c r="I344" s="198">
        <f>H344+F344</f>
        <v>0</v>
      </c>
      <c r="J344" s="204" t="s">
        <v>185</v>
      </c>
    </row>
    <row r="345" spans="1:10" s="270" customFormat="1" ht="20.45" customHeight="1">
      <c r="A345" s="303" t="s">
        <v>334</v>
      </c>
      <c r="B345" s="203" t="s">
        <v>212</v>
      </c>
      <c r="C345" s="187">
        <v>57.4</v>
      </c>
      <c r="D345" s="187" t="s">
        <v>11</v>
      </c>
      <c r="E345" s="187">
        <v>0</v>
      </c>
      <c r="F345" s="198">
        <f>C345*E345</f>
        <v>0</v>
      </c>
      <c r="G345" s="187">
        <f t="shared" si="56"/>
        <v>0</v>
      </c>
      <c r="H345" s="198">
        <f t="shared" si="60"/>
        <v>0</v>
      </c>
      <c r="I345" s="198">
        <f>H345+F345</f>
        <v>0</v>
      </c>
      <c r="J345" s="204" t="s">
        <v>185</v>
      </c>
    </row>
    <row r="346" spans="1:10" s="270" customFormat="1" ht="20.45" customHeight="1">
      <c r="A346" s="304" t="s">
        <v>335</v>
      </c>
      <c r="B346" s="203" t="s">
        <v>213</v>
      </c>
      <c r="C346" s="187">
        <v>52.1</v>
      </c>
      <c r="D346" s="187" t="s">
        <v>11</v>
      </c>
      <c r="E346" s="187">
        <v>0</v>
      </c>
      <c r="F346" s="198">
        <f>C346*E346</f>
        <v>0</v>
      </c>
      <c r="G346" s="187">
        <f t="shared" si="56"/>
        <v>0</v>
      </c>
      <c r="H346" s="198">
        <f t="shared" si="60"/>
        <v>0</v>
      </c>
      <c r="I346" s="198">
        <f>H346+F346</f>
        <v>0</v>
      </c>
      <c r="J346" s="199" t="s">
        <v>185</v>
      </c>
    </row>
    <row r="347" spans="1:10" s="270" customFormat="1" ht="20.45" customHeight="1">
      <c r="A347" s="303" t="s">
        <v>336</v>
      </c>
      <c r="B347" s="203" t="s">
        <v>214</v>
      </c>
      <c r="C347" s="187">
        <v>33.6</v>
      </c>
      <c r="D347" s="187" t="s">
        <v>11</v>
      </c>
      <c r="E347" s="187">
        <v>0</v>
      </c>
      <c r="F347" s="198">
        <f>C347*E347</f>
        <v>0</v>
      </c>
      <c r="G347" s="187">
        <f t="shared" si="56"/>
        <v>0</v>
      </c>
      <c r="H347" s="198">
        <f t="shared" si="60"/>
        <v>0</v>
      </c>
      <c r="I347" s="198">
        <f>H347+F347</f>
        <v>0</v>
      </c>
      <c r="J347" s="199" t="s">
        <v>185</v>
      </c>
    </row>
    <row r="348" spans="1:10" s="270" customFormat="1" ht="20.45" customHeight="1">
      <c r="A348" s="304" t="s">
        <v>337</v>
      </c>
      <c r="B348" s="203" t="s">
        <v>268</v>
      </c>
      <c r="C348" s="187">
        <v>240</v>
      </c>
      <c r="D348" s="187" t="s">
        <v>11</v>
      </c>
      <c r="E348" s="187">
        <v>0</v>
      </c>
      <c r="F348" s="198">
        <f>C348*E348</f>
        <v>0</v>
      </c>
      <c r="G348" s="187">
        <f t="shared" si="56"/>
        <v>0</v>
      </c>
      <c r="H348" s="198">
        <f t="shared" si="60"/>
        <v>0</v>
      </c>
      <c r="I348" s="198">
        <f>H348+F348</f>
        <v>0</v>
      </c>
      <c r="J348" s="199" t="s">
        <v>108</v>
      </c>
    </row>
    <row r="349" spans="1:10" s="270" customFormat="1" ht="20.45" customHeight="1">
      <c r="A349" s="303" t="s">
        <v>338</v>
      </c>
      <c r="B349" s="202" t="s">
        <v>215</v>
      </c>
      <c r="C349" s="267">
        <v>1</v>
      </c>
      <c r="D349" s="266" t="s">
        <v>208</v>
      </c>
      <c r="E349" s="187">
        <v>0</v>
      </c>
      <c r="F349" s="187">
        <f>ROUND(E349*C349,2)</f>
        <v>0</v>
      </c>
      <c r="G349" s="187">
        <f t="shared" si="56"/>
        <v>0</v>
      </c>
      <c r="H349" s="188">
        <f t="shared" si="60"/>
        <v>0</v>
      </c>
      <c r="I349" s="265">
        <f>+F349+H349</f>
        <v>0</v>
      </c>
      <c r="J349" s="187"/>
    </row>
    <row r="350" spans="1:10" s="270" customFormat="1" ht="20.45" customHeight="1">
      <c r="A350" s="276">
        <v>6.4</v>
      </c>
      <c r="B350" s="275" t="s">
        <v>216</v>
      </c>
      <c r="C350" s="274"/>
      <c r="D350" s="273"/>
      <c r="E350" s="187">
        <v>0</v>
      </c>
      <c r="F350" s="272"/>
      <c r="G350" s="187">
        <f t="shared" si="56"/>
        <v>0</v>
      </c>
      <c r="H350" s="272"/>
      <c r="I350" s="271"/>
      <c r="J350" s="205"/>
    </row>
    <row r="351" spans="1:10" s="270" customFormat="1" ht="20.45" customHeight="1">
      <c r="A351" s="268" t="s">
        <v>339</v>
      </c>
      <c r="B351" s="297" t="s">
        <v>217</v>
      </c>
      <c r="C351" s="296">
        <v>26</v>
      </c>
      <c r="D351" s="286" t="s">
        <v>218</v>
      </c>
      <c r="E351" s="187">
        <v>0</v>
      </c>
      <c r="F351" s="285">
        <f t="shared" ref="F351:F364" si="61">E351*C351</f>
        <v>0</v>
      </c>
      <c r="G351" s="187">
        <f t="shared" si="56"/>
        <v>0</v>
      </c>
      <c r="H351" s="284">
        <f t="shared" ref="H351:H364" si="62">G351*C351</f>
        <v>0</v>
      </c>
      <c r="I351" s="278">
        <f t="shared" ref="I351:I364" si="63">H351+F351</f>
        <v>0</v>
      </c>
      <c r="J351" s="207" t="s">
        <v>108</v>
      </c>
    </row>
    <row r="352" spans="1:10" s="270" customFormat="1" ht="20.45" customHeight="1">
      <c r="A352" s="268" t="s">
        <v>340</v>
      </c>
      <c r="B352" s="297" t="s">
        <v>219</v>
      </c>
      <c r="C352" s="296">
        <v>55</v>
      </c>
      <c r="D352" s="286" t="s">
        <v>218</v>
      </c>
      <c r="E352" s="187">
        <v>0</v>
      </c>
      <c r="F352" s="285">
        <f t="shared" si="61"/>
        <v>0</v>
      </c>
      <c r="G352" s="187">
        <f t="shared" si="56"/>
        <v>0</v>
      </c>
      <c r="H352" s="284">
        <f t="shared" si="62"/>
        <v>0</v>
      </c>
      <c r="I352" s="278">
        <f t="shared" si="63"/>
        <v>0</v>
      </c>
      <c r="J352" s="207" t="s">
        <v>108</v>
      </c>
    </row>
    <row r="353" spans="1:10" s="270" customFormat="1" ht="20.45" customHeight="1">
      <c r="A353" s="268" t="s">
        <v>341</v>
      </c>
      <c r="B353" s="297" t="s">
        <v>220</v>
      </c>
      <c r="C353" s="296">
        <v>34</v>
      </c>
      <c r="D353" s="286" t="s">
        <v>218</v>
      </c>
      <c r="E353" s="187">
        <v>0</v>
      </c>
      <c r="F353" s="285">
        <f t="shared" si="61"/>
        <v>0</v>
      </c>
      <c r="G353" s="187">
        <f t="shared" si="56"/>
        <v>0</v>
      </c>
      <c r="H353" s="284">
        <f t="shared" si="62"/>
        <v>0</v>
      </c>
      <c r="I353" s="278">
        <f t="shared" si="63"/>
        <v>0</v>
      </c>
      <c r="J353" s="207" t="s">
        <v>108</v>
      </c>
    </row>
    <row r="354" spans="1:10" s="270" customFormat="1" ht="20.45" customHeight="1">
      <c r="A354" s="268" t="s">
        <v>342</v>
      </c>
      <c r="B354" s="297" t="s">
        <v>221</v>
      </c>
      <c r="C354" s="302">
        <v>14</v>
      </c>
      <c r="D354" s="301" t="s">
        <v>218</v>
      </c>
      <c r="E354" s="187">
        <v>0</v>
      </c>
      <c r="F354" s="300">
        <f t="shared" si="61"/>
        <v>0</v>
      </c>
      <c r="G354" s="187">
        <f t="shared" si="56"/>
        <v>0</v>
      </c>
      <c r="H354" s="299">
        <f t="shared" si="62"/>
        <v>0</v>
      </c>
      <c r="I354" s="298">
        <f t="shared" si="63"/>
        <v>0</v>
      </c>
      <c r="J354" s="207" t="s">
        <v>108</v>
      </c>
    </row>
    <row r="355" spans="1:10" s="270" customFormat="1" ht="20.45" customHeight="1">
      <c r="A355" s="268" t="s">
        <v>343</v>
      </c>
      <c r="B355" s="297" t="s">
        <v>222</v>
      </c>
      <c r="C355" s="296">
        <v>11</v>
      </c>
      <c r="D355" s="286" t="s">
        <v>218</v>
      </c>
      <c r="E355" s="187">
        <v>0</v>
      </c>
      <c r="F355" s="278">
        <f t="shared" si="61"/>
        <v>0</v>
      </c>
      <c r="G355" s="187">
        <f t="shared" si="56"/>
        <v>0</v>
      </c>
      <c r="H355" s="284">
        <f t="shared" si="62"/>
        <v>0</v>
      </c>
      <c r="I355" s="278">
        <f t="shared" si="63"/>
        <v>0</v>
      </c>
      <c r="J355" s="207" t="s">
        <v>108</v>
      </c>
    </row>
    <row r="356" spans="1:10" s="270" customFormat="1" ht="20.45" customHeight="1">
      <c r="A356" s="268" t="s">
        <v>344</v>
      </c>
      <c r="B356" s="297" t="s">
        <v>223</v>
      </c>
      <c r="C356" s="296">
        <v>6</v>
      </c>
      <c r="D356" s="286" t="s">
        <v>218</v>
      </c>
      <c r="E356" s="187">
        <v>0</v>
      </c>
      <c r="F356" s="285">
        <f t="shared" si="61"/>
        <v>0</v>
      </c>
      <c r="G356" s="187">
        <f t="shared" si="56"/>
        <v>0</v>
      </c>
      <c r="H356" s="284">
        <f t="shared" si="62"/>
        <v>0</v>
      </c>
      <c r="I356" s="278">
        <f t="shared" si="63"/>
        <v>0</v>
      </c>
      <c r="J356" s="207" t="s">
        <v>108</v>
      </c>
    </row>
    <row r="357" spans="1:10" s="270" customFormat="1" ht="20.45" customHeight="1">
      <c r="A357" s="268" t="s">
        <v>345</v>
      </c>
      <c r="B357" s="297" t="s">
        <v>269</v>
      </c>
      <c r="C357" s="296">
        <v>2</v>
      </c>
      <c r="D357" s="286" t="s">
        <v>218</v>
      </c>
      <c r="E357" s="187">
        <v>0</v>
      </c>
      <c r="F357" s="285">
        <f t="shared" si="61"/>
        <v>0</v>
      </c>
      <c r="G357" s="187">
        <f t="shared" si="56"/>
        <v>0</v>
      </c>
      <c r="H357" s="284">
        <f t="shared" si="62"/>
        <v>0</v>
      </c>
      <c r="I357" s="278">
        <f t="shared" si="63"/>
        <v>0</v>
      </c>
      <c r="J357" s="207" t="s">
        <v>108</v>
      </c>
    </row>
    <row r="358" spans="1:10" s="270" customFormat="1" ht="20.45" customHeight="1">
      <c r="A358" s="268" t="s">
        <v>346</v>
      </c>
      <c r="B358" s="194" t="s">
        <v>224</v>
      </c>
      <c r="C358" s="187">
        <v>52</v>
      </c>
      <c r="D358" s="188" t="s">
        <v>71</v>
      </c>
      <c r="E358" s="187">
        <v>0</v>
      </c>
      <c r="F358" s="285">
        <f t="shared" si="61"/>
        <v>0</v>
      </c>
      <c r="G358" s="187">
        <f t="shared" si="56"/>
        <v>0</v>
      </c>
      <c r="H358" s="284">
        <f t="shared" si="62"/>
        <v>0</v>
      </c>
      <c r="I358" s="278">
        <f t="shared" si="63"/>
        <v>0</v>
      </c>
      <c r="J358" s="190" t="s">
        <v>72</v>
      </c>
    </row>
    <row r="359" spans="1:10" s="270" customFormat="1" ht="20.45" customHeight="1">
      <c r="A359" s="268" t="s">
        <v>347</v>
      </c>
      <c r="B359" s="194" t="s">
        <v>225</v>
      </c>
      <c r="C359" s="187">
        <v>3</v>
      </c>
      <c r="D359" s="188" t="s">
        <v>71</v>
      </c>
      <c r="E359" s="187">
        <v>0</v>
      </c>
      <c r="F359" s="285">
        <f t="shared" si="61"/>
        <v>0</v>
      </c>
      <c r="G359" s="187">
        <f t="shared" si="56"/>
        <v>0</v>
      </c>
      <c r="H359" s="284">
        <f t="shared" si="62"/>
        <v>0</v>
      </c>
      <c r="I359" s="278">
        <f t="shared" si="63"/>
        <v>0</v>
      </c>
      <c r="J359" s="190" t="s">
        <v>72</v>
      </c>
    </row>
    <row r="360" spans="1:10" s="270" customFormat="1" ht="20.45" customHeight="1">
      <c r="A360" s="268" t="s">
        <v>348</v>
      </c>
      <c r="B360" s="194" t="s">
        <v>270</v>
      </c>
      <c r="C360" s="187">
        <v>2</v>
      </c>
      <c r="D360" s="188" t="s">
        <v>71</v>
      </c>
      <c r="E360" s="187">
        <v>0</v>
      </c>
      <c r="F360" s="285">
        <f t="shared" si="61"/>
        <v>0</v>
      </c>
      <c r="G360" s="187">
        <f t="shared" si="56"/>
        <v>0</v>
      </c>
      <c r="H360" s="284">
        <f t="shared" si="62"/>
        <v>0</v>
      </c>
      <c r="I360" s="278">
        <f t="shared" si="63"/>
        <v>0</v>
      </c>
      <c r="J360" s="190" t="s">
        <v>72</v>
      </c>
    </row>
    <row r="361" spans="1:10" s="270" customFormat="1" ht="20.45" customHeight="1">
      <c r="A361" s="268" t="s">
        <v>349</v>
      </c>
      <c r="B361" s="288" t="s">
        <v>226</v>
      </c>
      <c r="C361" s="296">
        <v>5</v>
      </c>
      <c r="D361" s="286" t="s">
        <v>71</v>
      </c>
      <c r="E361" s="187">
        <v>0</v>
      </c>
      <c r="F361" s="285">
        <f t="shared" si="61"/>
        <v>0</v>
      </c>
      <c r="G361" s="187">
        <f t="shared" si="56"/>
        <v>0</v>
      </c>
      <c r="H361" s="284">
        <f t="shared" si="62"/>
        <v>0</v>
      </c>
      <c r="I361" s="278">
        <f t="shared" si="63"/>
        <v>0</v>
      </c>
      <c r="J361" s="190" t="s">
        <v>72</v>
      </c>
    </row>
    <row r="362" spans="1:10" s="270" customFormat="1" ht="20.45" customHeight="1">
      <c r="A362" s="268" t="s">
        <v>350</v>
      </c>
      <c r="B362" s="288" t="s">
        <v>227</v>
      </c>
      <c r="C362" s="296">
        <v>5</v>
      </c>
      <c r="D362" s="286" t="s">
        <v>71</v>
      </c>
      <c r="E362" s="187">
        <v>0</v>
      </c>
      <c r="F362" s="285">
        <f t="shared" si="61"/>
        <v>0</v>
      </c>
      <c r="G362" s="187">
        <f t="shared" si="56"/>
        <v>0</v>
      </c>
      <c r="H362" s="284">
        <f t="shared" si="62"/>
        <v>0</v>
      </c>
      <c r="I362" s="278">
        <f t="shared" si="63"/>
        <v>0</v>
      </c>
      <c r="J362" s="190" t="s">
        <v>72</v>
      </c>
    </row>
    <row r="363" spans="1:10" s="270" customFormat="1" ht="20.45" customHeight="1">
      <c r="A363" s="268" t="s">
        <v>351</v>
      </c>
      <c r="B363" s="288" t="s">
        <v>228</v>
      </c>
      <c r="C363" s="296">
        <v>8</v>
      </c>
      <c r="D363" s="286" t="s">
        <v>71</v>
      </c>
      <c r="E363" s="187">
        <v>0</v>
      </c>
      <c r="F363" s="285">
        <f t="shared" si="61"/>
        <v>0</v>
      </c>
      <c r="G363" s="187">
        <f t="shared" si="56"/>
        <v>0</v>
      </c>
      <c r="H363" s="284">
        <f t="shared" si="62"/>
        <v>0</v>
      </c>
      <c r="I363" s="278">
        <f t="shared" si="63"/>
        <v>0</v>
      </c>
      <c r="J363" s="190" t="s">
        <v>72</v>
      </c>
    </row>
    <row r="364" spans="1:10" s="270" customFormat="1" ht="20.45" customHeight="1">
      <c r="A364" s="268" t="s">
        <v>352</v>
      </c>
      <c r="B364" s="288" t="s">
        <v>271</v>
      </c>
      <c r="C364" s="296">
        <v>2</v>
      </c>
      <c r="D364" s="286" t="s">
        <v>71</v>
      </c>
      <c r="E364" s="187">
        <v>0</v>
      </c>
      <c r="F364" s="285">
        <f t="shared" si="61"/>
        <v>0</v>
      </c>
      <c r="G364" s="187">
        <f t="shared" si="56"/>
        <v>0</v>
      </c>
      <c r="H364" s="284">
        <f t="shared" si="62"/>
        <v>0</v>
      </c>
      <c r="I364" s="278">
        <f t="shared" si="63"/>
        <v>0</v>
      </c>
      <c r="J364" s="190" t="s">
        <v>72</v>
      </c>
    </row>
    <row r="365" spans="1:10" s="270" customFormat="1" ht="20.45" customHeight="1">
      <c r="A365" s="276">
        <v>6.5</v>
      </c>
      <c r="B365" s="275" t="s">
        <v>272</v>
      </c>
      <c r="C365" s="295"/>
      <c r="D365" s="294"/>
      <c r="E365" s="187">
        <v>0</v>
      </c>
      <c r="F365" s="293"/>
      <c r="G365" s="187">
        <f t="shared" si="56"/>
        <v>0</v>
      </c>
      <c r="H365" s="272"/>
      <c r="I365" s="271"/>
      <c r="J365" s="205"/>
    </row>
    <row r="366" spans="1:10" s="270" customFormat="1" ht="20.45" customHeight="1">
      <c r="A366" s="268" t="s">
        <v>353</v>
      </c>
      <c r="B366" s="283" t="s">
        <v>498</v>
      </c>
      <c r="C366" s="292">
        <f>350*1.2</f>
        <v>420</v>
      </c>
      <c r="D366" s="281" t="s">
        <v>11</v>
      </c>
      <c r="E366" s="187">
        <v>0</v>
      </c>
      <c r="F366" s="280">
        <f t="shared" ref="F366:F373" si="64">E366*C366</f>
        <v>0</v>
      </c>
      <c r="G366" s="187">
        <f t="shared" si="56"/>
        <v>0</v>
      </c>
      <c r="H366" s="284">
        <f t="shared" ref="H366:H375" si="65">G366*C366</f>
        <v>0</v>
      </c>
      <c r="I366" s="278">
        <f t="shared" ref="I366:I375" si="66">H366+F366</f>
        <v>0</v>
      </c>
      <c r="J366" s="205" t="s">
        <v>108</v>
      </c>
    </row>
    <row r="367" spans="1:10" s="270" customFormat="1" ht="20.45" customHeight="1">
      <c r="A367" s="268" t="s">
        <v>354</v>
      </c>
      <c r="B367" s="288" t="s">
        <v>273</v>
      </c>
      <c r="C367" s="287">
        <v>2</v>
      </c>
      <c r="D367" s="286" t="s">
        <v>114</v>
      </c>
      <c r="E367" s="187">
        <v>0</v>
      </c>
      <c r="F367" s="285">
        <f t="shared" si="64"/>
        <v>0</v>
      </c>
      <c r="G367" s="187">
        <f t="shared" si="56"/>
        <v>0</v>
      </c>
      <c r="H367" s="284">
        <f t="shared" si="65"/>
        <v>0</v>
      </c>
      <c r="I367" s="278">
        <f t="shared" si="66"/>
        <v>0</v>
      </c>
      <c r="J367" s="205" t="s">
        <v>108</v>
      </c>
    </row>
    <row r="368" spans="1:10" s="270" customFormat="1" ht="20.45" customHeight="1">
      <c r="A368" s="268" t="s">
        <v>355</v>
      </c>
      <c r="B368" s="288" t="s">
        <v>274</v>
      </c>
      <c r="C368" s="287">
        <v>2</v>
      </c>
      <c r="D368" s="286" t="s">
        <v>114</v>
      </c>
      <c r="E368" s="187">
        <v>0</v>
      </c>
      <c r="F368" s="285">
        <f t="shared" si="64"/>
        <v>0</v>
      </c>
      <c r="G368" s="187">
        <f t="shared" si="56"/>
        <v>0</v>
      </c>
      <c r="H368" s="284">
        <f t="shared" si="65"/>
        <v>0</v>
      </c>
      <c r="I368" s="278">
        <f t="shared" si="66"/>
        <v>0</v>
      </c>
      <c r="J368" s="205" t="s">
        <v>108</v>
      </c>
    </row>
    <row r="369" spans="1:10" s="270" customFormat="1" ht="20.45" customHeight="1">
      <c r="A369" s="268" t="s">
        <v>356</v>
      </c>
      <c r="B369" s="288" t="s">
        <v>275</v>
      </c>
      <c r="C369" s="287">
        <v>24</v>
      </c>
      <c r="D369" s="286" t="s">
        <v>276</v>
      </c>
      <c r="E369" s="187">
        <v>0</v>
      </c>
      <c r="F369" s="285">
        <f t="shared" si="64"/>
        <v>0</v>
      </c>
      <c r="G369" s="187">
        <f t="shared" si="56"/>
        <v>0</v>
      </c>
      <c r="H369" s="284">
        <f t="shared" si="65"/>
        <v>0</v>
      </c>
      <c r="I369" s="278">
        <f t="shared" si="66"/>
        <v>0</v>
      </c>
      <c r="J369" s="205" t="s">
        <v>108</v>
      </c>
    </row>
    <row r="370" spans="1:10" s="270" customFormat="1" ht="20.45" customHeight="1">
      <c r="A370" s="268" t="s">
        <v>357</v>
      </c>
      <c r="B370" s="288" t="s">
        <v>277</v>
      </c>
      <c r="C370" s="287">
        <v>2</v>
      </c>
      <c r="D370" s="286" t="s">
        <v>114</v>
      </c>
      <c r="E370" s="187">
        <v>0</v>
      </c>
      <c r="F370" s="285">
        <f t="shared" si="64"/>
        <v>0</v>
      </c>
      <c r="G370" s="187">
        <f t="shared" si="56"/>
        <v>0</v>
      </c>
      <c r="H370" s="284">
        <f t="shared" si="65"/>
        <v>0</v>
      </c>
      <c r="I370" s="278">
        <f t="shared" si="66"/>
        <v>0</v>
      </c>
      <c r="J370" s="205" t="s">
        <v>108</v>
      </c>
    </row>
    <row r="371" spans="1:10" s="270" customFormat="1" ht="20.45" customHeight="1">
      <c r="A371" s="268" t="s">
        <v>358</v>
      </c>
      <c r="B371" s="288" t="s">
        <v>278</v>
      </c>
      <c r="C371" s="287">
        <v>2</v>
      </c>
      <c r="D371" s="286" t="s">
        <v>276</v>
      </c>
      <c r="E371" s="187">
        <v>0</v>
      </c>
      <c r="F371" s="285">
        <f t="shared" si="64"/>
        <v>0</v>
      </c>
      <c r="G371" s="187">
        <f t="shared" si="56"/>
        <v>0</v>
      </c>
      <c r="H371" s="284">
        <f t="shared" si="65"/>
        <v>0</v>
      </c>
      <c r="I371" s="278">
        <f t="shared" si="66"/>
        <v>0</v>
      </c>
      <c r="J371" s="205" t="s">
        <v>108</v>
      </c>
    </row>
    <row r="372" spans="1:10" s="270" customFormat="1" ht="20.45" customHeight="1">
      <c r="A372" s="268" t="s">
        <v>359</v>
      </c>
      <c r="B372" s="291" t="s">
        <v>279</v>
      </c>
      <c r="C372" s="290">
        <v>2</v>
      </c>
      <c r="D372" s="289" t="s">
        <v>71</v>
      </c>
      <c r="E372" s="187">
        <v>0</v>
      </c>
      <c r="F372" s="180">
        <f t="shared" si="64"/>
        <v>0</v>
      </c>
      <c r="G372" s="187">
        <f t="shared" si="56"/>
        <v>0</v>
      </c>
      <c r="H372" s="279">
        <f t="shared" si="65"/>
        <v>0</v>
      </c>
      <c r="I372" s="278">
        <f t="shared" si="66"/>
        <v>0</v>
      </c>
      <c r="J372" s="205" t="s">
        <v>185</v>
      </c>
    </row>
    <row r="373" spans="1:10" s="270" customFormat="1" ht="20.45" customHeight="1">
      <c r="A373" s="268" t="s">
        <v>360</v>
      </c>
      <c r="B373" s="288" t="s">
        <v>280</v>
      </c>
      <c r="C373" s="287">
        <v>24</v>
      </c>
      <c r="D373" s="286" t="s">
        <v>281</v>
      </c>
      <c r="E373" s="187">
        <v>0</v>
      </c>
      <c r="F373" s="285">
        <f t="shared" si="64"/>
        <v>0</v>
      </c>
      <c r="G373" s="187">
        <f t="shared" si="56"/>
        <v>0</v>
      </c>
      <c r="H373" s="284">
        <f t="shared" si="65"/>
        <v>0</v>
      </c>
      <c r="I373" s="278">
        <f t="shared" si="66"/>
        <v>0</v>
      </c>
      <c r="J373" s="205" t="s">
        <v>108</v>
      </c>
    </row>
    <row r="374" spans="1:10" s="270" customFormat="1" ht="20.45" customHeight="1">
      <c r="A374" s="268" t="s">
        <v>361</v>
      </c>
      <c r="B374" s="200" t="s">
        <v>211</v>
      </c>
      <c r="C374" s="192">
        <v>15</v>
      </c>
      <c r="D374" s="187" t="s">
        <v>11</v>
      </c>
      <c r="E374" s="187">
        <v>0</v>
      </c>
      <c r="F374" s="198">
        <f>C374*E374</f>
        <v>0</v>
      </c>
      <c r="G374" s="187">
        <f t="shared" si="56"/>
        <v>0</v>
      </c>
      <c r="H374" s="198">
        <f t="shared" si="65"/>
        <v>0</v>
      </c>
      <c r="I374" s="198">
        <f t="shared" si="66"/>
        <v>0</v>
      </c>
      <c r="J374" s="204" t="s">
        <v>185</v>
      </c>
    </row>
    <row r="375" spans="1:10" s="270" customFormat="1" ht="20.45" customHeight="1">
      <c r="A375" s="268" t="s">
        <v>362</v>
      </c>
      <c r="B375" s="283" t="s">
        <v>207</v>
      </c>
      <c r="C375" s="282">
        <v>1</v>
      </c>
      <c r="D375" s="281" t="s">
        <v>117</v>
      </c>
      <c r="E375" s="187">
        <v>0</v>
      </c>
      <c r="F375" s="280">
        <f>E375*C375</f>
        <v>0</v>
      </c>
      <c r="G375" s="187">
        <f t="shared" si="56"/>
        <v>0</v>
      </c>
      <c r="H375" s="279">
        <f t="shared" si="65"/>
        <v>0</v>
      </c>
      <c r="I375" s="278">
        <f t="shared" si="66"/>
        <v>0</v>
      </c>
      <c r="J375" s="205"/>
    </row>
    <row r="376" spans="1:10" s="270" customFormat="1" ht="20.45" customHeight="1">
      <c r="A376" s="276">
        <v>6.6</v>
      </c>
      <c r="B376" s="275" t="s">
        <v>229</v>
      </c>
      <c r="C376" s="274"/>
      <c r="D376" s="273"/>
      <c r="E376" s="187">
        <v>0</v>
      </c>
      <c r="F376" s="272"/>
      <c r="G376" s="187">
        <f t="shared" si="56"/>
        <v>0</v>
      </c>
      <c r="H376" s="272"/>
      <c r="I376" s="271"/>
      <c r="J376" s="205"/>
    </row>
    <row r="377" spans="1:10" s="270" customFormat="1" ht="20.45" customHeight="1">
      <c r="A377" s="268" t="s">
        <v>363</v>
      </c>
      <c r="B377" s="195" t="s">
        <v>282</v>
      </c>
      <c r="C377" s="196">
        <v>1</v>
      </c>
      <c r="D377" s="196" t="s">
        <v>71</v>
      </c>
      <c r="E377" s="187">
        <v>0</v>
      </c>
      <c r="F377" s="210">
        <f t="shared" ref="F377:F382" si="67">E377*C377</f>
        <v>0</v>
      </c>
      <c r="G377" s="187">
        <f t="shared" si="56"/>
        <v>0</v>
      </c>
      <c r="H377" s="211">
        <f t="shared" ref="H377:H384" si="68">G377*C377</f>
        <v>0</v>
      </c>
      <c r="I377" s="210">
        <f t="shared" ref="I377:I382" si="69">F377+H377</f>
        <v>0</v>
      </c>
      <c r="J377" s="199" t="s">
        <v>108</v>
      </c>
    </row>
    <row r="378" spans="1:10" s="270" customFormat="1" ht="20.45" customHeight="1">
      <c r="A378" s="268" t="s">
        <v>364</v>
      </c>
      <c r="B378" s="195" t="s">
        <v>283</v>
      </c>
      <c r="C378" s="196">
        <v>1</v>
      </c>
      <c r="D378" s="196" t="s">
        <v>71</v>
      </c>
      <c r="E378" s="187">
        <v>0</v>
      </c>
      <c r="F378" s="210">
        <f t="shared" si="67"/>
        <v>0</v>
      </c>
      <c r="G378" s="187">
        <f t="shared" si="56"/>
        <v>0</v>
      </c>
      <c r="H378" s="211">
        <f t="shared" si="68"/>
        <v>0</v>
      </c>
      <c r="I378" s="210">
        <f t="shared" si="69"/>
        <v>0</v>
      </c>
      <c r="J378" s="199" t="s">
        <v>108</v>
      </c>
    </row>
    <row r="379" spans="1:10" s="270" customFormat="1" ht="20.45" customHeight="1">
      <c r="A379" s="268" t="s">
        <v>365</v>
      </c>
      <c r="B379" s="195" t="s">
        <v>284</v>
      </c>
      <c r="C379" s="196">
        <v>1</v>
      </c>
      <c r="D379" s="196" t="s">
        <v>71</v>
      </c>
      <c r="E379" s="187">
        <v>0</v>
      </c>
      <c r="F379" s="210">
        <f t="shared" si="67"/>
        <v>0</v>
      </c>
      <c r="G379" s="187">
        <f t="shared" si="56"/>
        <v>0</v>
      </c>
      <c r="H379" s="211">
        <f t="shared" si="68"/>
        <v>0</v>
      </c>
      <c r="I379" s="210">
        <f t="shared" si="69"/>
        <v>0</v>
      </c>
      <c r="J379" s="199" t="s">
        <v>108</v>
      </c>
    </row>
    <row r="380" spans="1:10" s="270" customFormat="1" ht="20.45" customHeight="1">
      <c r="A380" s="268" t="s">
        <v>366</v>
      </c>
      <c r="B380" s="202" t="s">
        <v>230</v>
      </c>
      <c r="C380" s="192">
        <v>372</v>
      </c>
      <c r="D380" s="196" t="s">
        <v>11</v>
      </c>
      <c r="E380" s="187">
        <v>0</v>
      </c>
      <c r="F380" s="210">
        <f t="shared" si="67"/>
        <v>0</v>
      </c>
      <c r="G380" s="187">
        <f t="shared" si="56"/>
        <v>0</v>
      </c>
      <c r="H380" s="211">
        <f t="shared" si="68"/>
        <v>0</v>
      </c>
      <c r="I380" s="210">
        <f t="shared" si="69"/>
        <v>0</v>
      </c>
      <c r="J380" s="199" t="s">
        <v>108</v>
      </c>
    </row>
    <row r="381" spans="1:10" s="270" customFormat="1" ht="20.45" customHeight="1">
      <c r="A381" s="268" t="s">
        <v>367</v>
      </c>
      <c r="B381" s="195" t="s">
        <v>231</v>
      </c>
      <c r="C381" s="192">
        <v>15</v>
      </c>
      <c r="D381" s="196" t="s">
        <v>71</v>
      </c>
      <c r="E381" s="187">
        <v>0</v>
      </c>
      <c r="F381" s="210">
        <f t="shared" si="67"/>
        <v>0</v>
      </c>
      <c r="G381" s="187">
        <f t="shared" si="56"/>
        <v>0</v>
      </c>
      <c r="H381" s="211">
        <f t="shared" si="68"/>
        <v>0</v>
      </c>
      <c r="I381" s="210">
        <f t="shared" si="69"/>
        <v>0</v>
      </c>
      <c r="J381" s="199" t="s">
        <v>108</v>
      </c>
    </row>
    <row r="382" spans="1:10" s="270" customFormat="1" ht="20.45" customHeight="1">
      <c r="A382" s="268" t="s">
        <v>368</v>
      </c>
      <c r="B382" s="195" t="s">
        <v>232</v>
      </c>
      <c r="C382" s="212">
        <v>1</v>
      </c>
      <c r="D382" s="196" t="s">
        <v>200</v>
      </c>
      <c r="E382" s="187">
        <v>0</v>
      </c>
      <c r="F382" s="210">
        <f t="shared" si="67"/>
        <v>0</v>
      </c>
      <c r="G382" s="187">
        <f t="shared" si="56"/>
        <v>0</v>
      </c>
      <c r="H382" s="211">
        <f t="shared" si="68"/>
        <v>0</v>
      </c>
      <c r="I382" s="210">
        <f t="shared" si="69"/>
        <v>0</v>
      </c>
      <c r="J382" s="199" t="s">
        <v>72</v>
      </c>
    </row>
    <row r="383" spans="1:10" s="270" customFormat="1" ht="20.45" customHeight="1">
      <c r="A383" s="268" t="s">
        <v>369</v>
      </c>
      <c r="B383" s="200" t="s">
        <v>211</v>
      </c>
      <c r="C383" s="192">
        <v>245</v>
      </c>
      <c r="D383" s="187" t="s">
        <v>11</v>
      </c>
      <c r="E383" s="187">
        <v>0</v>
      </c>
      <c r="F383" s="198">
        <f>C383*E383</f>
        <v>0</v>
      </c>
      <c r="G383" s="187">
        <f t="shared" si="56"/>
        <v>0</v>
      </c>
      <c r="H383" s="198">
        <f t="shared" si="68"/>
        <v>0</v>
      </c>
      <c r="I383" s="198">
        <f>H383+F383</f>
        <v>0</v>
      </c>
      <c r="J383" s="204" t="s">
        <v>185</v>
      </c>
    </row>
    <row r="384" spans="1:10" s="270" customFormat="1" ht="20.45" customHeight="1">
      <c r="A384" s="268" t="s">
        <v>370</v>
      </c>
      <c r="B384" s="202" t="s">
        <v>233</v>
      </c>
      <c r="C384" s="212">
        <v>1</v>
      </c>
      <c r="D384" s="196" t="s">
        <v>208</v>
      </c>
      <c r="E384" s="187">
        <v>0</v>
      </c>
      <c r="F384" s="210">
        <f>E384*C384</f>
        <v>0</v>
      </c>
      <c r="G384" s="187">
        <f t="shared" si="56"/>
        <v>0</v>
      </c>
      <c r="H384" s="211">
        <f t="shared" si="68"/>
        <v>0</v>
      </c>
      <c r="I384" s="210">
        <f>F384+H384</f>
        <v>0</v>
      </c>
      <c r="J384" s="199"/>
    </row>
    <row r="385" spans="1:10" s="270" customFormat="1" ht="20.45" customHeight="1">
      <c r="A385" s="277">
        <v>6.7</v>
      </c>
      <c r="B385" s="275" t="s">
        <v>285</v>
      </c>
      <c r="C385" s="274"/>
      <c r="D385" s="273"/>
      <c r="E385" s="187">
        <v>0</v>
      </c>
      <c r="F385" s="272"/>
      <c r="G385" s="187">
        <f t="shared" si="56"/>
        <v>0</v>
      </c>
      <c r="H385" s="272"/>
      <c r="I385" s="271"/>
      <c r="J385" s="205"/>
    </row>
    <row r="386" spans="1:10" s="270" customFormat="1" ht="20.45" customHeight="1">
      <c r="A386" s="268" t="s">
        <v>371</v>
      </c>
      <c r="B386" s="213" t="s">
        <v>286</v>
      </c>
      <c r="C386" s="187">
        <v>1</v>
      </c>
      <c r="D386" s="190" t="s">
        <v>71</v>
      </c>
      <c r="E386" s="187">
        <v>0</v>
      </c>
      <c r="F386" s="187">
        <f>ROUND(E386*C386,2)</f>
        <v>0</v>
      </c>
      <c r="G386" s="187">
        <f t="shared" si="56"/>
        <v>0</v>
      </c>
      <c r="H386" s="187">
        <f>ROUND(G386*C386,2)</f>
        <v>0</v>
      </c>
      <c r="I386" s="265">
        <f>+F386+H386</f>
        <v>0</v>
      </c>
      <c r="J386" s="199" t="s">
        <v>108</v>
      </c>
    </row>
    <row r="387" spans="1:10" s="270" customFormat="1" ht="20.45" customHeight="1">
      <c r="A387" s="268" t="s">
        <v>372</v>
      </c>
      <c r="B387" s="213" t="s">
        <v>287</v>
      </c>
      <c r="C387" s="187">
        <v>1</v>
      </c>
      <c r="D387" s="190" t="s">
        <v>71</v>
      </c>
      <c r="E387" s="187">
        <v>0</v>
      </c>
      <c r="F387" s="187">
        <f>ROUND(E387*C387,2)</f>
        <v>0</v>
      </c>
      <c r="G387" s="187">
        <f t="shared" ref="G387:G402" si="70">F387*0.1</f>
        <v>0</v>
      </c>
      <c r="H387" s="187">
        <f>ROUND(G387*C387,2)</f>
        <v>0</v>
      </c>
      <c r="I387" s="265">
        <f>+F387+H387</f>
        <v>0</v>
      </c>
      <c r="J387" s="199" t="s">
        <v>108</v>
      </c>
    </row>
    <row r="388" spans="1:10" s="270" customFormat="1" ht="20.45" customHeight="1">
      <c r="A388" s="268" t="s">
        <v>373</v>
      </c>
      <c r="B388" s="200" t="s">
        <v>288</v>
      </c>
      <c r="C388" s="187">
        <v>4</v>
      </c>
      <c r="D388" s="196" t="s">
        <v>182</v>
      </c>
      <c r="E388" s="187">
        <v>0</v>
      </c>
      <c r="F388" s="197">
        <f>E388*C388</f>
        <v>0</v>
      </c>
      <c r="G388" s="187">
        <f t="shared" si="70"/>
        <v>0</v>
      </c>
      <c r="H388" s="198">
        <f>G388*C388</f>
        <v>0</v>
      </c>
      <c r="I388" s="197">
        <f>F388+H388</f>
        <v>0</v>
      </c>
      <c r="J388" s="199" t="s">
        <v>108</v>
      </c>
    </row>
    <row r="389" spans="1:10" s="270" customFormat="1" ht="20.45" customHeight="1">
      <c r="A389" s="268" t="s">
        <v>374</v>
      </c>
      <c r="B389" s="214" t="s">
        <v>289</v>
      </c>
      <c r="C389" s="187">
        <v>17</v>
      </c>
      <c r="D389" s="190" t="s">
        <v>71</v>
      </c>
      <c r="E389" s="187">
        <v>0</v>
      </c>
      <c r="F389" s="187">
        <f>ROUND(E389*C389,2)</f>
        <v>0</v>
      </c>
      <c r="G389" s="187">
        <f t="shared" si="70"/>
        <v>0</v>
      </c>
      <c r="H389" s="187">
        <f>ROUND(G389*C389,2)</f>
        <v>0</v>
      </c>
      <c r="I389" s="265">
        <f>+F389+H389</f>
        <v>0</v>
      </c>
      <c r="J389" s="199" t="s">
        <v>108</v>
      </c>
    </row>
    <row r="390" spans="1:10" s="270" customFormat="1" ht="20.45" customHeight="1">
      <c r="A390" s="268" t="s">
        <v>375</v>
      </c>
      <c r="B390" s="214" t="s">
        <v>290</v>
      </c>
      <c r="C390" s="187">
        <v>4</v>
      </c>
      <c r="D390" s="190" t="s">
        <v>71</v>
      </c>
      <c r="E390" s="187">
        <v>0</v>
      </c>
      <c r="F390" s="187">
        <f>ROUND(E390*C390,2)</f>
        <v>0</v>
      </c>
      <c r="G390" s="187">
        <f t="shared" si="70"/>
        <v>0</v>
      </c>
      <c r="H390" s="187">
        <f>ROUND(G390*C390,2)</f>
        <v>0</v>
      </c>
      <c r="I390" s="265">
        <f>+F390+H390</f>
        <v>0</v>
      </c>
      <c r="J390" s="199" t="s">
        <v>108</v>
      </c>
    </row>
    <row r="391" spans="1:10" s="270" customFormat="1" ht="20.45" customHeight="1">
      <c r="A391" s="268" t="s">
        <v>376</v>
      </c>
      <c r="B391" s="214" t="s">
        <v>291</v>
      </c>
      <c r="C391" s="187">
        <v>4</v>
      </c>
      <c r="D391" s="190" t="s">
        <v>71</v>
      </c>
      <c r="E391" s="187">
        <v>0</v>
      </c>
      <c r="F391" s="187">
        <f>ROUND(E391*C391,2)</f>
        <v>0</v>
      </c>
      <c r="G391" s="187">
        <f t="shared" si="70"/>
        <v>0</v>
      </c>
      <c r="H391" s="187">
        <f>ROUND(G391*C391,2)</f>
        <v>0</v>
      </c>
      <c r="I391" s="265">
        <f>+F391+H391</f>
        <v>0</v>
      </c>
      <c r="J391" s="199" t="s">
        <v>108</v>
      </c>
    </row>
    <row r="392" spans="1:10" s="270" customFormat="1" ht="20.45" customHeight="1">
      <c r="A392" s="268" t="s">
        <v>377</v>
      </c>
      <c r="B392" s="200" t="s">
        <v>261</v>
      </c>
      <c r="C392" s="196">
        <f>((6+33+67+29)*2)*1.2</f>
        <v>324</v>
      </c>
      <c r="D392" s="187" t="s">
        <v>11</v>
      </c>
      <c r="E392" s="187">
        <v>0</v>
      </c>
      <c r="F392" s="197">
        <f>E392*C392</f>
        <v>0</v>
      </c>
      <c r="G392" s="187">
        <f t="shared" si="70"/>
        <v>0</v>
      </c>
      <c r="H392" s="198">
        <f>G392*C392</f>
        <v>0</v>
      </c>
      <c r="I392" s="197">
        <f>F392+H392</f>
        <v>0</v>
      </c>
      <c r="J392" s="187" t="s">
        <v>185</v>
      </c>
    </row>
    <row r="393" spans="1:10" s="270" customFormat="1" ht="20.45" customHeight="1">
      <c r="A393" s="268" t="s">
        <v>378</v>
      </c>
      <c r="B393" s="214" t="s">
        <v>292</v>
      </c>
      <c r="C393" s="196">
        <f>((6+33+67+29)*2)*1.2</f>
        <v>324</v>
      </c>
      <c r="D393" s="187" t="s">
        <v>11</v>
      </c>
      <c r="E393" s="187">
        <v>0</v>
      </c>
      <c r="F393" s="187">
        <f>ROUND(E393*C393,2)</f>
        <v>0</v>
      </c>
      <c r="G393" s="187">
        <f t="shared" si="70"/>
        <v>0</v>
      </c>
      <c r="H393" s="187">
        <f>ROUND(G393*C393,2)</f>
        <v>0</v>
      </c>
      <c r="I393" s="265">
        <f>+F393+H393</f>
        <v>0</v>
      </c>
      <c r="J393" s="187" t="s">
        <v>108</v>
      </c>
    </row>
    <row r="394" spans="1:10" s="270" customFormat="1" ht="20.45" customHeight="1">
      <c r="A394" s="268" t="s">
        <v>379</v>
      </c>
      <c r="B394" s="200" t="s">
        <v>211</v>
      </c>
      <c r="C394" s="192">
        <f>(6+33+67+29)*1.2</f>
        <v>162</v>
      </c>
      <c r="D394" s="187" t="s">
        <v>11</v>
      </c>
      <c r="E394" s="187">
        <v>0</v>
      </c>
      <c r="F394" s="198">
        <f>C394*E394</f>
        <v>0</v>
      </c>
      <c r="G394" s="187">
        <f t="shared" si="70"/>
        <v>0</v>
      </c>
      <c r="H394" s="198">
        <f>G394*C394</f>
        <v>0</v>
      </c>
      <c r="I394" s="198">
        <f>H394+F394</f>
        <v>0</v>
      </c>
      <c r="J394" s="204" t="s">
        <v>185</v>
      </c>
    </row>
    <row r="395" spans="1:10" s="270" customFormat="1" ht="20.45" customHeight="1">
      <c r="A395" s="268" t="s">
        <v>380</v>
      </c>
      <c r="B395" s="202" t="s">
        <v>233</v>
      </c>
      <c r="C395" s="267">
        <v>1</v>
      </c>
      <c r="D395" s="266" t="s">
        <v>208</v>
      </c>
      <c r="E395" s="187">
        <v>0</v>
      </c>
      <c r="F395" s="187">
        <f>ROUND(E395*C395,2)</f>
        <v>0</v>
      </c>
      <c r="G395" s="187">
        <f t="shared" si="70"/>
        <v>0</v>
      </c>
      <c r="H395" s="187">
        <f>ROUND(G395*C395,2)</f>
        <v>0</v>
      </c>
      <c r="I395" s="265">
        <f>+F395+H395</f>
        <v>0</v>
      </c>
      <c r="J395" s="187"/>
    </row>
    <row r="396" spans="1:10" s="270" customFormat="1" ht="20.45" customHeight="1">
      <c r="A396" s="276">
        <v>6.8</v>
      </c>
      <c r="B396" s="275" t="s">
        <v>293</v>
      </c>
      <c r="C396" s="274"/>
      <c r="D396" s="273"/>
      <c r="E396" s="187">
        <v>0</v>
      </c>
      <c r="F396" s="272"/>
      <c r="G396" s="187">
        <f t="shared" si="70"/>
        <v>0</v>
      </c>
      <c r="H396" s="272"/>
      <c r="I396" s="271"/>
      <c r="J396" s="205"/>
    </row>
    <row r="397" spans="1:10" s="269" customFormat="1" ht="20.45" customHeight="1">
      <c r="A397" s="268" t="s">
        <v>381</v>
      </c>
      <c r="B397" s="213" t="s">
        <v>294</v>
      </c>
      <c r="C397" s="187">
        <v>3</v>
      </c>
      <c r="D397" s="190" t="s">
        <v>295</v>
      </c>
      <c r="E397" s="187">
        <v>0</v>
      </c>
      <c r="F397" s="187">
        <f>ROUND(E397*C397,2)</f>
        <v>0</v>
      </c>
      <c r="G397" s="187">
        <f t="shared" si="70"/>
        <v>0</v>
      </c>
      <c r="H397" s="187">
        <f>ROUND(G397*C397,2)</f>
        <v>0</v>
      </c>
      <c r="I397" s="265">
        <f>+F397+H397</f>
        <v>0</v>
      </c>
      <c r="J397" s="199" t="s">
        <v>108</v>
      </c>
    </row>
    <row r="398" spans="1:10" s="264" customFormat="1" ht="23.1" customHeight="1">
      <c r="A398" s="268" t="s">
        <v>382</v>
      </c>
      <c r="B398" s="213" t="s">
        <v>296</v>
      </c>
      <c r="C398" s="187">
        <v>15</v>
      </c>
      <c r="D398" s="190" t="s">
        <v>11</v>
      </c>
      <c r="E398" s="187">
        <v>0</v>
      </c>
      <c r="F398" s="187">
        <f>ROUND(E398*C398,2)</f>
        <v>0</v>
      </c>
      <c r="G398" s="187">
        <f t="shared" si="70"/>
        <v>0</v>
      </c>
      <c r="H398" s="187">
        <f>ROUND(G398*C398,2)</f>
        <v>0</v>
      </c>
      <c r="I398" s="265">
        <f>+F398+H398</f>
        <v>0</v>
      </c>
      <c r="J398" s="199" t="s">
        <v>108</v>
      </c>
    </row>
    <row r="399" spans="1:10" s="264" customFormat="1" ht="23.1" customHeight="1">
      <c r="A399" s="268" t="s">
        <v>383</v>
      </c>
      <c r="B399" s="200" t="s">
        <v>497</v>
      </c>
      <c r="C399" s="187">
        <v>10</v>
      </c>
      <c r="D399" s="196" t="s">
        <v>11</v>
      </c>
      <c r="E399" s="187">
        <v>0</v>
      </c>
      <c r="F399" s="197">
        <f>E399*C399</f>
        <v>0</v>
      </c>
      <c r="G399" s="187">
        <f t="shared" si="70"/>
        <v>0</v>
      </c>
      <c r="H399" s="198">
        <f>G399*C399</f>
        <v>0</v>
      </c>
      <c r="I399" s="197">
        <f>F399+H399</f>
        <v>0</v>
      </c>
      <c r="J399" s="199" t="s">
        <v>108</v>
      </c>
    </row>
    <row r="400" spans="1:10" s="264" customFormat="1" ht="23.1" customHeight="1">
      <c r="A400" s="268" t="s">
        <v>384</v>
      </c>
      <c r="B400" s="214" t="s">
        <v>297</v>
      </c>
      <c r="C400" s="187">
        <v>1</v>
      </c>
      <c r="D400" s="190" t="s">
        <v>200</v>
      </c>
      <c r="E400" s="187">
        <v>0</v>
      </c>
      <c r="F400" s="187">
        <f>ROUND(E400*C400,2)</f>
        <v>0</v>
      </c>
      <c r="G400" s="187">
        <f t="shared" si="70"/>
        <v>0</v>
      </c>
      <c r="H400" s="187">
        <f>ROUND(G400*C400,2)</f>
        <v>0</v>
      </c>
      <c r="I400" s="265">
        <f>+F400+H400</f>
        <v>0</v>
      </c>
      <c r="J400" s="199" t="s">
        <v>108</v>
      </c>
    </row>
    <row r="401" spans="1:11" s="264" customFormat="1" ht="23.1" customHeight="1">
      <c r="A401" s="268" t="s">
        <v>385</v>
      </c>
      <c r="B401" s="214" t="s">
        <v>298</v>
      </c>
      <c r="C401" s="187">
        <v>4</v>
      </c>
      <c r="D401" s="190" t="s">
        <v>299</v>
      </c>
      <c r="E401" s="187">
        <v>0</v>
      </c>
      <c r="F401" s="187">
        <f>ROUND(E401*C401,2)</f>
        <v>0</v>
      </c>
      <c r="G401" s="187">
        <f t="shared" si="70"/>
        <v>0</v>
      </c>
      <c r="H401" s="187">
        <f>ROUND(G401*C401,2)</f>
        <v>0</v>
      </c>
      <c r="I401" s="265">
        <f>+F401+H401</f>
        <v>0</v>
      </c>
      <c r="J401" s="199" t="s">
        <v>108</v>
      </c>
    </row>
    <row r="402" spans="1:11" s="264" customFormat="1" ht="23.1" customHeight="1">
      <c r="A402" s="268" t="s">
        <v>386</v>
      </c>
      <c r="B402" s="202" t="s">
        <v>233</v>
      </c>
      <c r="C402" s="267">
        <v>1</v>
      </c>
      <c r="D402" s="266" t="s">
        <v>208</v>
      </c>
      <c r="E402" s="187">
        <v>0</v>
      </c>
      <c r="F402" s="187">
        <f>ROUND(E402*C402,2)</f>
        <v>0</v>
      </c>
      <c r="G402" s="187">
        <f t="shared" si="70"/>
        <v>0</v>
      </c>
      <c r="H402" s="187">
        <f>ROUND(G402*C402,2)</f>
        <v>0</v>
      </c>
      <c r="I402" s="265">
        <f>+F402+H402</f>
        <v>0</v>
      </c>
      <c r="J402" s="187"/>
    </row>
    <row r="403" spans="1:11" s="259" customFormat="1" ht="20.25" customHeight="1">
      <c r="A403" s="263"/>
      <c r="B403" s="262" t="str">
        <f>"รวมราคา"&amp;B320</f>
        <v>รวมราคาหมวดงานไฟฟ้ากำลังและไฟฟ้าสื่อสาร</v>
      </c>
      <c r="C403" s="261"/>
      <c r="D403" s="228"/>
      <c r="E403" s="229"/>
      <c r="F403" s="230">
        <f>SUM(F322:F402)</f>
        <v>0</v>
      </c>
      <c r="G403" s="230"/>
      <c r="H403" s="230">
        <f>SUM(H322:H402)</f>
        <v>0</v>
      </c>
      <c r="I403" s="230">
        <f>+F403+H403</f>
        <v>0</v>
      </c>
      <c r="J403" s="230"/>
      <c r="K403" s="260"/>
    </row>
    <row r="404" spans="1:11" s="78" customFormat="1" ht="23.1" customHeight="1">
      <c r="A404" s="86"/>
      <c r="B404" s="77"/>
      <c r="C404" s="87"/>
      <c r="D404" s="86"/>
      <c r="E404" s="86"/>
      <c r="F404" s="86"/>
      <c r="G404" s="86"/>
      <c r="H404" s="86"/>
      <c r="I404" s="86"/>
      <c r="J404" s="86"/>
    </row>
    <row r="405" spans="1:11" s="78" customFormat="1" ht="23.1" customHeight="1">
      <c r="A405" s="86"/>
      <c r="B405" s="77"/>
      <c r="C405" s="87"/>
      <c r="D405" s="86"/>
      <c r="E405" s="86"/>
      <c r="F405" s="86"/>
      <c r="G405" s="86"/>
      <c r="H405" s="86"/>
      <c r="I405" s="86"/>
      <c r="J405" s="86"/>
    </row>
    <row r="406" spans="1:11" s="78" customFormat="1" ht="23.1" customHeight="1">
      <c r="A406" s="437" t="s">
        <v>38</v>
      </c>
      <c r="B406" s="437"/>
      <c r="C406" s="437"/>
      <c r="D406" s="437"/>
      <c r="E406" s="77"/>
      <c r="F406" s="77"/>
      <c r="G406" s="77"/>
      <c r="H406" s="77"/>
      <c r="I406" s="77"/>
      <c r="J406" s="86"/>
    </row>
    <row r="407" spans="1:11" s="78" customFormat="1" ht="23.1" customHeight="1">
      <c r="A407" s="77" t="s">
        <v>43</v>
      </c>
      <c r="B407" s="77"/>
      <c r="C407" s="88"/>
      <c r="D407" s="86"/>
      <c r="E407" s="77"/>
      <c r="F407" s="77"/>
      <c r="G407" s="77"/>
      <c r="H407" s="77"/>
      <c r="I407" s="77"/>
      <c r="J407" s="86"/>
    </row>
    <row r="408" spans="1:11" s="78" customFormat="1" ht="18.95" customHeight="1">
      <c r="A408" s="77" t="s">
        <v>39</v>
      </c>
      <c r="B408" s="77"/>
      <c r="C408" s="88"/>
      <c r="D408" s="86"/>
      <c r="E408" s="77"/>
      <c r="F408" s="77"/>
      <c r="G408" s="77"/>
      <c r="H408" s="77"/>
      <c r="I408" s="77"/>
      <c r="J408" s="86"/>
    </row>
    <row r="409" spans="1:11" s="79" customFormat="1" ht="18.95" customHeight="1">
      <c r="A409" s="77" t="s">
        <v>42</v>
      </c>
      <c r="B409" s="77"/>
      <c r="C409" s="88"/>
      <c r="D409" s="86"/>
      <c r="E409" s="77"/>
      <c r="F409" s="77"/>
      <c r="G409" s="77"/>
      <c r="H409" s="77"/>
      <c r="I409" s="77"/>
      <c r="J409" s="86"/>
    </row>
    <row r="410" spans="1:11" s="79" customFormat="1" ht="18.95" customHeight="1">
      <c r="A410" s="77" t="s">
        <v>44</v>
      </c>
      <c r="B410" s="77"/>
      <c r="C410" s="88"/>
      <c r="D410" s="86"/>
      <c r="E410" s="77"/>
      <c r="F410" s="77"/>
      <c r="G410" s="77"/>
      <c r="H410" s="77"/>
      <c r="I410" s="77"/>
      <c r="J410" s="86"/>
    </row>
    <row r="411" spans="1:11" s="79" customFormat="1" ht="23.1" customHeight="1">
      <c r="A411" s="77" t="s">
        <v>45</v>
      </c>
      <c r="B411" s="77"/>
      <c r="C411" s="88"/>
      <c r="D411" s="86"/>
      <c r="E411" s="77"/>
      <c r="F411" s="77"/>
      <c r="G411" s="77"/>
      <c r="H411" s="77"/>
      <c r="I411" s="77"/>
      <c r="J411" s="86"/>
    </row>
    <row r="412" spans="1:11" s="79" customFormat="1" ht="23.1" customHeight="1">
      <c r="A412" s="77" t="s">
        <v>41</v>
      </c>
      <c r="B412" s="77"/>
      <c r="C412" s="88"/>
      <c r="D412" s="86"/>
      <c r="E412" s="77"/>
      <c r="F412" s="77"/>
      <c r="G412" s="77"/>
      <c r="H412" s="77"/>
      <c r="I412" s="77"/>
      <c r="J412" s="86"/>
    </row>
    <row r="413" spans="1:11" s="79" customFormat="1" ht="23.1" customHeight="1">
      <c r="A413" s="77" t="s">
        <v>40</v>
      </c>
      <c r="B413" s="77"/>
      <c r="C413" s="88"/>
      <c r="D413" s="86"/>
      <c r="E413" s="77"/>
      <c r="F413" s="77"/>
      <c r="G413" s="77"/>
      <c r="H413" s="77"/>
      <c r="I413" s="77"/>
      <c r="J413" s="86"/>
    </row>
    <row r="414" spans="1:11" s="79" customFormat="1" ht="18.95" customHeight="1">
      <c r="A414" s="77"/>
      <c r="B414" s="77"/>
      <c r="C414" s="89"/>
      <c r="D414" s="86"/>
      <c r="E414" s="77"/>
      <c r="F414" s="77"/>
      <c r="G414" s="77"/>
      <c r="H414" s="77"/>
      <c r="I414" s="77"/>
      <c r="J414" s="86"/>
    </row>
    <row r="415" spans="1:11" s="79" customFormat="1" ht="18.95" customHeight="1">
      <c r="A415" s="77"/>
      <c r="B415" s="77"/>
      <c r="C415" s="89"/>
      <c r="D415" s="86"/>
      <c r="E415" s="77"/>
      <c r="F415" s="77"/>
      <c r="G415" s="77"/>
      <c r="H415" s="77"/>
      <c r="I415" s="77"/>
      <c r="J415" s="86"/>
    </row>
    <row r="416" spans="1:11" s="79" customFormat="1" ht="18.95" customHeight="1">
      <c r="A416" s="77"/>
      <c r="B416" s="77"/>
      <c r="C416" s="89"/>
      <c r="D416" s="86"/>
      <c r="E416" s="77"/>
      <c r="F416" s="77"/>
      <c r="G416" s="77"/>
      <c r="H416" s="77"/>
      <c r="I416" s="77"/>
      <c r="J416" s="86"/>
    </row>
    <row r="417" spans="1:10" s="79" customFormat="1" ht="18.95" customHeight="1">
      <c r="A417" s="77"/>
      <c r="B417" s="258"/>
      <c r="C417" s="89"/>
      <c r="D417" s="86"/>
      <c r="E417" s="77"/>
      <c r="F417" s="77"/>
      <c r="G417" s="77"/>
      <c r="H417" s="77"/>
      <c r="I417" s="77"/>
      <c r="J417" s="86"/>
    </row>
    <row r="418" spans="1:10" s="79" customFormat="1" ht="18.95" customHeight="1">
      <c r="A418" s="77"/>
      <c r="B418" s="77"/>
      <c r="C418" s="89"/>
      <c r="D418" s="86"/>
      <c r="E418" s="77"/>
      <c r="F418" s="77"/>
      <c r="G418" s="77"/>
      <c r="H418" s="77"/>
      <c r="I418" s="77"/>
      <c r="J418" s="86"/>
    </row>
    <row r="419" spans="1:10" s="79" customFormat="1" ht="18.95" customHeight="1">
      <c r="A419" s="77"/>
      <c r="B419" s="77"/>
      <c r="C419" s="89"/>
      <c r="D419" s="86"/>
      <c r="E419" s="77"/>
      <c r="F419" s="77"/>
      <c r="G419" s="77"/>
      <c r="H419" s="77"/>
      <c r="I419" s="77"/>
      <c r="J419" s="86"/>
    </row>
    <row r="420" spans="1:10" s="79" customFormat="1" ht="18.95" customHeight="1">
      <c r="A420" s="77"/>
      <c r="B420" s="77"/>
      <c r="C420" s="89"/>
      <c r="D420" s="86"/>
      <c r="E420" s="77"/>
      <c r="F420" s="77"/>
      <c r="G420" s="77"/>
      <c r="H420" s="77"/>
      <c r="I420" s="77"/>
      <c r="J420" s="86"/>
    </row>
    <row r="421" spans="1:10" s="79" customFormat="1" ht="18.95" customHeight="1">
      <c r="A421" s="77"/>
      <c r="B421" s="77"/>
      <c r="C421" s="89"/>
      <c r="D421" s="86"/>
      <c r="E421" s="77"/>
      <c r="F421" s="77"/>
      <c r="G421" s="77"/>
      <c r="H421" s="77"/>
      <c r="I421" s="77"/>
      <c r="J421" s="86"/>
    </row>
    <row r="422" spans="1:10" s="79" customFormat="1" ht="18.95" customHeight="1">
      <c r="A422" s="77"/>
      <c r="B422" s="77"/>
      <c r="C422" s="89"/>
      <c r="D422" s="86"/>
      <c r="E422" s="77"/>
      <c r="F422" s="77"/>
      <c r="G422" s="77"/>
      <c r="H422" s="77"/>
      <c r="I422" s="77"/>
      <c r="J422" s="86"/>
    </row>
    <row r="423" spans="1:10" s="79" customFormat="1" ht="18.95" customHeight="1">
      <c r="A423" s="77"/>
      <c r="B423" s="77"/>
      <c r="C423" s="89"/>
      <c r="D423" s="86"/>
      <c r="E423" s="77"/>
      <c r="F423" s="77"/>
      <c r="G423" s="77"/>
      <c r="H423" s="77"/>
      <c r="I423" s="77"/>
      <c r="J423" s="86"/>
    </row>
    <row r="424" spans="1:10" s="79" customFormat="1" ht="18.95" customHeight="1">
      <c r="A424" s="77"/>
      <c r="B424" s="77"/>
      <c r="C424" s="89"/>
      <c r="D424" s="86"/>
      <c r="E424" s="77"/>
      <c r="F424" s="77"/>
      <c r="G424" s="77"/>
      <c r="H424" s="77"/>
      <c r="I424" s="77"/>
      <c r="J424" s="86"/>
    </row>
    <row r="425" spans="1:10" s="79" customFormat="1" ht="18.95" customHeight="1">
      <c r="A425" s="77"/>
      <c r="B425" s="77"/>
      <c r="C425" s="89"/>
      <c r="D425" s="86"/>
      <c r="E425" s="77"/>
      <c r="F425" s="77"/>
      <c r="G425" s="77"/>
      <c r="H425" s="77"/>
      <c r="I425" s="77"/>
      <c r="J425" s="86"/>
    </row>
    <row r="426" spans="1:10" s="78" customFormat="1" ht="18.95" customHeight="1">
      <c r="A426" s="77"/>
      <c r="B426" s="77"/>
      <c r="C426" s="89"/>
      <c r="D426" s="86"/>
      <c r="E426" s="77"/>
      <c r="F426" s="77"/>
      <c r="G426" s="77"/>
      <c r="H426" s="77"/>
      <c r="I426" s="77"/>
      <c r="J426" s="86"/>
    </row>
    <row r="427" spans="1:10" s="79" customFormat="1" ht="18.95" customHeight="1">
      <c r="A427" s="77"/>
      <c r="B427" s="77"/>
      <c r="C427" s="89"/>
      <c r="D427" s="86"/>
      <c r="E427" s="77"/>
      <c r="F427" s="77"/>
      <c r="G427" s="77"/>
      <c r="H427" s="77"/>
      <c r="I427" s="77"/>
      <c r="J427" s="86"/>
    </row>
    <row r="428" spans="1:10" s="79" customFormat="1" ht="18.95" customHeight="1">
      <c r="A428" s="77"/>
      <c r="B428" s="77"/>
      <c r="C428" s="89"/>
      <c r="D428" s="86"/>
      <c r="E428" s="77"/>
      <c r="F428" s="77"/>
      <c r="G428" s="77"/>
      <c r="H428" s="77"/>
      <c r="I428" s="77"/>
      <c r="J428" s="86"/>
    </row>
    <row r="429" spans="1:10" s="78" customFormat="1" ht="23.1" customHeight="1">
      <c r="A429" s="77"/>
      <c r="B429" s="77"/>
      <c r="C429" s="89"/>
      <c r="D429" s="86"/>
      <c r="E429" s="77"/>
      <c r="F429" s="77"/>
      <c r="G429" s="77"/>
      <c r="H429" s="77"/>
      <c r="I429" s="77"/>
      <c r="J429" s="86"/>
    </row>
    <row r="430" spans="1:10" s="78" customFormat="1" ht="23.1" customHeight="1">
      <c r="A430" s="77"/>
      <c r="B430" s="77"/>
      <c r="C430" s="89"/>
      <c r="D430" s="86"/>
      <c r="E430" s="77"/>
      <c r="F430" s="77"/>
      <c r="G430" s="77"/>
      <c r="H430" s="77"/>
      <c r="I430" s="77"/>
      <c r="J430" s="86"/>
    </row>
    <row r="431" spans="1:10" s="78" customFormat="1" ht="21" customHeight="1">
      <c r="A431" s="77"/>
      <c r="B431" s="77"/>
      <c r="C431" s="89"/>
      <c r="D431" s="86"/>
      <c r="E431" s="77"/>
      <c r="F431" s="77"/>
      <c r="G431" s="77"/>
      <c r="H431" s="77"/>
      <c r="I431" s="77"/>
      <c r="J431" s="86"/>
    </row>
    <row r="432" spans="1:10" s="78" customFormat="1" ht="21" customHeight="1">
      <c r="A432" s="77"/>
      <c r="B432" s="77"/>
      <c r="C432" s="89"/>
      <c r="D432" s="86"/>
      <c r="E432" s="77"/>
      <c r="F432" s="77"/>
      <c r="G432" s="77"/>
      <c r="H432" s="77"/>
      <c r="I432" s="77"/>
      <c r="J432" s="86"/>
    </row>
    <row r="433" spans="1:10" s="78" customFormat="1" ht="21" customHeight="1">
      <c r="A433" s="77"/>
      <c r="B433" s="77"/>
      <c r="C433" s="89"/>
      <c r="D433" s="86"/>
      <c r="E433" s="77"/>
      <c r="F433" s="77"/>
      <c r="G433" s="77"/>
      <c r="H433" s="77"/>
      <c r="I433" s="77"/>
      <c r="J433" s="86"/>
    </row>
    <row r="434" spans="1:10" s="78" customFormat="1" ht="21" customHeight="1">
      <c r="A434" s="77"/>
      <c r="B434" s="77"/>
      <c r="C434" s="89"/>
      <c r="D434" s="86"/>
      <c r="E434" s="77"/>
      <c r="F434" s="77"/>
      <c r="G434" s="77"/>
      <c r="H434" s="77"/>
      <c r="I434" s="77"/>
      <c r="J434" s="86"/>
    </row>
    <row r="435" spans="1:10" s="78" customFormat="1" ht="21" customHeight="1">
      <c r="A435" s="77"/>
      <c r="B435" s="77"/>
      <c r="C435" s="89"/>
      <c r="D435" s="86"/>
      <c r="E435" s="77"/>
      <c r="F435" s="77"/>
      <c r="G435" s="77"/>
      <c r="H435" s="77"/>
      <c r="I435" s="77"/>
      <c r="J435" s="86"/>
    </row>
    <row r="436" spans="1:10" s="78" customFormat="1" ht="21" customHeight="1">
      <c r="A436" s="77"/>
      <c r="B436" s="77"/>
      <c r="C436" s="89"/>
      <c r="D436" s="86"/>
      <c r="E436" s="77"/>
      <c r="F436" s="77"/>
      <c r="G436" s="77"/>
      <c r="H436" s="77"/>
      <c r="I436" s="77"/>
      <c r="J436" s="86"/>
    </row>
    <row r="437" spans="1:10" s="78" customFormat="1" ht="21" customHeight="1">
      <c r="A437" s="77"/>
      <c r="B437" s="77"/>
      <c r="C437" s="89"/>
      <c r="D437" s="86"/>
      <c r="E437" s="77"/>
      <c r="F437" s="77"/>
      <c r="G437" s="77"/>
      <c r="H437" s="77"/>
      <c r="I437" s="77"/>
      <c r="J437" s="86"/>
    </row>
    <row r="438" spans="1:10" s="78" customFormat="1" ht="21" customHeight="1">
      <c r="A438" s="77"/>
      <c r="B438" s="77"/>
      <c r="C438" s="89"/>
      <c r="D438" s="86"/>
      <c r="E438" s="77"/>
      <c r="F438" s="77"/>
      <c r="G438" s="77"/>
      <c r="H438" s="77"/>
      <c r="I438" s="77"/>
      <c r="J438" s="86"/>
    </row>
    <row r="439" spans="1:10" s="78" customFormat="1" ht="21" customHeight="1">
      <c r="A439" s="77"/>
      <c r="B439" s="77"/>
      <c r="C439" s="89"/>
      <c r="D439" s="86"/>
      <c r="E439" s="77"/>
      <c r="F439" s="77"/>
      <c r="G439" s="77"/>
      <c r="H439" s="77"/>
      <c r="I439" s="77"/>
      <c r="J439" s="86"/>
    </row>
    <row r="440" spans="1:10" s="78" customFormat="1" ht="21" customHeight="1">
      <c r="A440" s="77"/>
      <c r="B440" s="77"/>
      <c r="C440" s="89"/>
      <c r="D440" s="86"/>
      <c r="E440" s="77"/>
      <c r="F440" s="77"/>
      <c r="G440" s="77"/>
      <c r="H440" s="77"/>
      <c r="I440" s="77"/>
      <c r="J440" s="86"/>
    </row>
    <row r="441" spans="1:10" s="78" customFormat="1" ht="21" customHeight="1">
      <c r="A441" s="77"/>
      <c r="B441" s="77"/>
      <c r="C441" s="89"/>
      <c r="D441" s="86"/>
      <c r="E441" s="77"/>
      <c r="F441" s="77"/>
      <c r="G441" s="77"/>
      <c r="H441" s="77"/>
      <c r="I441" s="77"/>
      <c r="J441" s="86"/>
    </row>
    <row r="442" spans="1:10" s="78" customFormat="1" ht="21" customHeight="1">
      <c r="A442" s="77"/>
      <c r="B442" s="77"/>
      <c r="C442" s="89"/>
      <c r="D442" s="86"/>
      <c r="E442" s="77"/>
      <c r="F442" s="77"/>
      <c r="G442" s="77"/>
      <c r="H442" s="77"/>
      <c r="I442" s="77"/>
      <c r="J442" s="86"/>
    </row>
    <row r="443" spans="1:10" s="78" customFormat="1" ht="21" customHeight="1">
      <c r="A443" s="77"/>
      <c r="B443" s="77"/>
      <c r="C443" s="89"/>
      <c r="D443" s="86"/>
      <c r="E443" s="77"/>
      <c r="F443" s="77"/>
      <c r="G443" s="77"/>
      <c r="H443" s="77"/>
      <c r="I443" s="77"/>
      <c r="J443" s="86"/>
    </row>
    <row r="444" spans="1:10" s="78" customFormat="1" ht="21" customHeight="1">
      <c r="A444" s="77"/>
      <c r="B444" s="77"/>
      <c r="C444" s="89"/>
      <c r="D444" s="86"/>
      <c r="E444" s="77"/>
      <c r="F444" s="77"/>
      <c r="G444" s="77"/>
      <c r="H444" s="77"/>
      <c r="I444" s="77"/>
      <c r="J444" s="86"/>
    </row>
    <row r="445" spans="1:10" s="78" customFormat="1" ht="21" customHeight="1">
      <c r="A445" s="77"/>
      <c r="B445" s="77"/>
      <c r="C445" s="89"/>
      <c r="D445" s="86"/>
      <c r="E445" s="77"/>
      <c r="F445" s="77"/>
      <c r="G445" s="77"/>
      <c r="H445" s="77"/>
      <c r="I445" s="77"/>
      <c r="J445" s="86"/>
    </row>
    <row r="446" spans="1:10" s="78" customFormat="1" ht="21" customHeight="1">
      <c r="A446" s="77"/>
      <c r="B446" s="77"/>
      <c r="C446" s="89"/>
      <c r="D446" s="86"/>
      <c r="E446" s="77"/>
      <c r="F446" s="77"/>
      <c r="G446" s="77"/>
      <c r="H446" s="77"/>
      <c r="I446" s="77"/>
      <c r="J446" s="86"/>
    </row>
    <row r="447" spans="1:10" s="78" customFormat="1" ht="21" customHeight="1">
      <c r="A447" s="77"/>
      <c r="B447" s="77"/>
      <c r="C447" s="89"/>
      <c r="D447" s="86"/>
      <c r="E447" s="77"/>
      <c r="F447" s="77"/>
      <c r="G447" s="77"/>
      <c r="H447" s="77"/>
      <c r="I447" s="77"/>
      <c r="J447" s="86"/>
    </row>
    <row r="448" spans="1:10" s="78" customFormat="1" ht="21" customHeight="1">
      <c r="A448" s="77"/>
      <c r="B448" s="77"/>
      <c r="C448" s="89"/>
      <c r="D448" s="86"/>
      <c r="E448" s="77"/>
      <c r="F448" s="77"/>
      <c r="G448" s="77"/>
      <c r="H448" s="77"/>
      <c r="I448" s="77"/>
      <c r="J448" s="86"/>
    </row>
    <row r="449" spans="1:10" s="78" customFormat="1" ht="21" customHeight="1">
      <c r="A449" s="77"/>
      <c r="B449" s="77"/>
      <c r="C449" s="89"/>
      <c r="D449" s="86"/>
      <c r="E449" s="77"/>
      <c r="F449" s="77"/>
      <c r="G449" s="77"/>
      <c r="H449" s="77"/>
      <c r="I449" s="77"/>
      <c r="J449" s="86"/>
    </row>
    <row r="450" spans="1:10" s="78" customFormat="1" ht="21" customHeight="1">
      <c r="A450" s="77"/>
      <c r="B450" s="77"/>
      <c r="C450" s="89"/>
      <c r="D450" s="86"/>
      <c r="E450" s="77"/>
      <c r="F450" s="77"/>
      <c r="G450" s="77"/>
      <c r="H450" s="77"/>
      <c r="I450" s="77"/>
      <c r="J450" s="86"/>
    </row>
    <row r="451" spans="1:10" s="78" customFormat="1" ht="21" customHeight="1">
      <c r="A451" s="77"/>
      <c r="B451" s="77"/>
      <c r="C451" s="89"/>
      <c r="D451" s="86"/>
      <c r="E451" s="77"/>
      <c r="F451" s="77"/>
      <c r="G451" s="77"/>
      <c r="H451" s="77"/>
      <c r="I451" s="77"/>
      <c r="J451" s="86"/>
    </row>
    <row r="452" spans="1:10" s="78" customFormat="1" ht="21" customHeight="1">
      <c r="A452" s="77"/>
      <c r="B452" s="77"/>
      <c r="C452" s="89"/>
      <c r="D452" s="86"/>
      <c r="E452" s="77"/>
      <c r="F452" s="77"/>
      <c r="G452" s="77"/>
      <c r="H452" s="77"/>
      <c r="I452" s="77"/>
      <c r="J452" s="86"/>
    </row>
    <row r="453" spans="1:10" s="78" customFormat="1" ht="21" customHeight="1">
      <c r="A453" s="77"/>
      <c r="B453" s="77"/>
      <c r="C453" s="89"/>
      <c r="D453" s="86"/>
      <c r="E453" s="77"/>
      <c r="F453" s="77"/>
      <c r="G453" s="77"/>
      <c r="H453" s="77"/>
      <c r="I453" s="77"/>
      <c r="J453" s="86"/>
    </row>
    <row r="454" spans="1:10" s="78" customFormat="1" ht="21" customHeight="1">
      <c r="A454" s="77"/>
      <c r="B454" s="77"/>
      <c r="C454" s="89"/>
      <c r="D454" s="86"/>
      <c r="E454" s="77"/>
      <c r="F454" s="77"/>
      <c r="G454" s="77"/>
      <c r="H454" s="77"/>
      <c r="I454" s="77"/>
      <c r="J454" s="86"/>
    </row>
    <row r="455" spans="1:10" s="78" customFormat="1" ht="21" customHeight="1">
      <c r="A455" s="77"/>
      <c r="B455" s="77"/>
      <c r="C455" s="89"/>
      <c r="D455" s="86"/>
      <c r="E455" s="77"/>
      <c r="F455" s="77"/>
      <c r="G455" s="77"/>
      <c r="H455" s="77"/>
      <c r="I455" s="77"/>
      <c r="J455" s="86"/>
    </row>
    <row r="456" spans="1:10" s="78" customFormat="1" ht="21" customHeight="1">
      <c r="A456" s="77"/>
      <c r="B456" s="77"/>
      <c r="C456" s="89"/>
      <c r="D456" s="86"/>
      <c r="E456" s="77"/>
      <c r="F456" s="77"/>
      <c r="G456" s="77"/>
      <c r="H456" s="77"/>
      <c r="I456" s="77"/>
      <c r="J456" s="86"/>
    </row>
    <row r="457" spans="1:10" s="78" customFormat="1" ht="21" customHeight="1">
      <c r="A457" s="77"/>
      <c r="B457" s="77"/>
      <c r="C457" s="89"/>
      <c r="D457" s="86"/>
      <c r="E457" s="77"/>
      <c r="F457" s="77"/>
      <c r="G457" s="77"/>
      <c r="H457" s="77"/>
      <c r="I457" s="77"/>
      <c r="J457" s="86"/>
    </row>
    <row r="458" spans="1:10" s="78" customFormat="1" ht="21" customHeight="1">
      <c r="A458" s="77"/>
      <c r="B458" s="77"/>
      <c r="C458" s="89"/>
      <c r="D458" s="86"/>
      <c r="E458" s="77"/>
      <c r="F458" s="77"/>
      <c r="G458" s="77"/>
      <c r="H458" s="77"/>
      <c r="I458" s="77"/>
      <c r="J458" s="86"/>
    </row>
    <row r="459" spans="1:10" s="78" customFormat="1" ht="21" customHeight="1">
      <c r="A459" s="77"/>
      <c r="B459" s="77"/>
      <c r="C459" s="89"/>
      <c r="D459" s="86"/>
      <c r="E459" s="77"/>
      <c r="F459" s="77"/>
      <c r="G459" s="77"/>
      <c r="H459" s="77"/>
      <c r="I459" s="77"/>
      <c r="J459" s="86"/>
    </row>
    <row r="460" spans="1:10" s="78" customFormat="1" ht="21" customHeight="1">
      <c r="A460" s="77"/>
      <c r="B460" s="77"/>
      <c r="C460" s="89"/>
      <c r="D460" s="86"/>
      <c r="E460" s="77"/>
      <c r="F460" s="77"/>
      <c r="G460" s="77"/>
      <c r="H460" s="77"/>
      <c r="I460" s="77"/>
      <c r="J460" s="86"/>
    </row>
    <row r="461" spans="1:10" s="78" customFormat="1" ht="21" customHeight="1">
      <c r="A461" s="77"/>
      <c r="B461" s="77"/>
      <c r="C461" s="89"/>
      <c r="D461" s="86"/>
      <c r="E461" s="77"/>
      <c r="F461" s="77"/>
      <c r="G461" s="77"/>
      <c r="H461" s="77"/>
      <c r="I461" s="77"/>
      <c r="J461" s="86"/>
    </row>
    <row r="462" spans="1:10" s="78" customFormat="1" ht="21" customHeight="1">
      <c r="A462" s="77"/>
      <c r="B462" s="77"/>
      <c r="C462" s="89"/>
      <c r="D462" s="86"/>
      <c r="E462" s="77"/>
      <c r="F462" s="77"/>
      <c r="G462" s="77"/>
      <c r="H462" s="77"/>
      <c r="I462" s="77"/>
      <c r="J462" s="86"/>
    </row>
    <row r="463" spans="1:10" s="78" customFormat="1" ht="21" customHeight="1">
      <c r="A463" s="77"/>
      <c r="B463" s="77"/>
      <c r="C463" s="89"/>
      <c r="D463" s="86"/>
      <c r="E463" s="77"/>
      <c r="F463" s="77"/>
      <c r="G463" s="77"/>
      <c r="H463" s="77"/>
      <c r="I463" s="77"/>
      <c r="J463" s="86"/>
    </row>
    <row r="464" spans="1:10" s="78" customFormat="1" ht="21" customHeight="1">
      <c r="A464" s="77"/>
      <c r="B464" s="77"/>
      <c r="C464" s="89"/>
      <c r="D464" s="86"/>
      <c r="E464" s="77"/>
      <c r="F464" s="77"/>
      <c r="G464" s="77"/>
      <c r="H464" s="77"/>
      <c r="I464" s="77"/>
      <c r="J464" s="86"/>
    </row>
    <row r="465" spans="1:10" s="78" customFormat="1" ht="21" customHeight="1">
      <c r="A465" s="77"/>
      <c r="B465" s="77"/>
      <c r="C465" s="89"/>
      <c r="D465" s="86"/>
      <c r="E465" s="77"/>
      <c r="F465" s="77"/>
      <c r="G465" s="77"/>
      <c r="H465" s="77"/>
      <c r="I465" s="77"/>
      <c r="J465" s="86"/>
    </row>
    <row r="466" spans="1:10" s="78" customFormat="1" ht="21" customHeight="1">
      <c r="A466" s="77"/>
      <c r="B466" s="77"/>
      <c r="C466" s="89"/>
      <c r="D466" s="86"/>
      <c r="E466" s="77"/>
      <c r="F466" s="77"/>
      <c r="G466" s="77"/>
      <c r="H466" s="77"/>
      <c r="I466" s="77"/>
      <c r="J466" s="86"/>
    </row>
    <row r="467" spans="1:10" s="78" customFormat="1" ht="21" customHeight="1">
      <c r="A467" s="77"/>
      <c r="B467" s="77"/>
      <c r="C467" s="89"/>
      <c r="D467" s="86"/>
      <c r="E467" s="77"/>
      <c r="F467" s="77"/>
      <c r="G467" s="77"/>
      <c r="H467" s="77"/>
      <c r="I467" s="77"/>
      <c r="J467" s="86"/>
    </row>
    <row r="468" spans="1:10" s="78" customFormat="1" ht="21" customHeight="1">
      <c r="A468" s="77"/>
      <c r="B468" s="77"/>
      <c r="C468" s="89"/>
      <c r="D468" s="86"/>
      <c r="E468" s="77"/>
      <c r="F468" s="77"/>
      <c r="G468" s="77"/>
      <c r="H468" s="77"/>
      <c r="I468" s="77"/>
      <c r="J468" s="86"/>
    </row>
    <row r="469" spans="1:10" s="78" customFormat="1" ht="21" customHeight="1">
      <c r="A469" s="77"/>
      <c r="B469" s="77"/>
      <c r="C469" s="89"/>
      <c r="D469" s="86"/>
      <c r="E469" s="77"/>
      <c r="F469" s="77"/>
      <c r="G469" s="77"/>
      <c r="H469" s="77"/>
      <c r="I469" s="77"/>
      <c r="J469" s="86"/>
    </row>
    <row r="470" spans="1:10" s="78" customFormat="1" ht="21" customHeight="1">
      <c r="A470" s="77"/>
      <c r="B470" s="77"/>
      <c r="C470" s="89"/>
      <c r="D470" s="86"/>
      <c r="E470" s="77"/>
      <c r="F470" s="77"/>
      <c r="G470" s="77"/>
      <c r="H470" s="77"/>
      <c r="I470" s="77"/>
      <c r="J470" s="86"/>
    </row>
    <row r="471" spans="1:10" s="78" customFormat="1" ht="21" customHeight="1">
      <c r="A471" s="77"/>
      <c r="B471" s="77"/>
      <c r="C471" s="89"/>
      <c r="D471" s="86"/>
      <c r="E471" s="77"/>
      <c r="F471" s="77"/>
      <c r="G471" s="77"/>
      <c r="H471" s="77"/>
      <c r="I471" s="77"/>
      <c r="J471" s="86"/>
    </row>
    <row r="472" spans="1:10" s="78" customFormat="1" ht="21" customHeight="1">
      <c r="A472" s="77"/>
      <c r="B472" s="77"/>
      <c r="C472" s="89"/>
      <c r="D472" s="86"/>
      <c r="E472" s="77"/>
      <c r="F472" s="77"/>
      <c r="G472" s="77"/>
      <c r="H472" s="77"/>
      <c r="I472" s="77"/>
      <c r="J472" s="86"/>
    </row>
    <row r="473" spans="1:10" s="78" customFormat="1" ht="21" customHeight="1">
      <c r="A473" s="77"/>
      <c r="B473" s="77"/>
      <c r="C473" s="89"/>
      <c r="D473" s="86"/>
      <c r="E473" s="77"/>
      <c r="F473" s="77"/>
      <c r="G473" s="77"/>
      <c r="H473" s="77"/>
      <c r="I473" s="77"/>
      <c r="J473" s="86"/>
    </row>
    <row r="474" spans="1:10" s="78" customFormat="1" ht="21" customHeight="1">
      <c r="A474" s="77"/>
      <c r="B474" s="77"/>
      <c r="C474" s="89"/>
      <c r="D474" s="86"/>
      <c r="E474" s="77"/>
      <c r="F474" s="77"/>
      <c r="G474" s="77"/>
      <c r="H474" s="77"/>
      <c r="I474" s="77"/>
      <c r="J474" s="86"/>
    </row>
    <row r="475" spans="1:10" s="78" customFormat="1" ht="21" customHeight="1">
      <c r="A475" s="77"/>
      <c r="B475" s="77"/>
      <c r="C475" s="89"/>
      <c r="D475" s="86"/>
      <c r="E475" s="77"/>
      <c r="F475" s="77"/>
      <c r="G475" s="77"/>
      <c r="H475" s="77"/>
      <c r="I475" s="77"/>
      <c r="J475" s="86"/>
    </row>
    <row r="476" spans="1:10" s="78" customFormat="1" ht="21" customHeight="1">
      <c r="A476" s="77"/>
      <c r="B476" s="77"/>
      <c r="C476" s="89"/>
      <c r="D476" s="86"/>
      <c r="E476" s="77"/>
      <c r="F476" s="77"/>
      <c r="G476" s="77"/>
      <c r="H476" s="77"/>
      <c r="I476" s="77"/>
      <c r="J476" s="86"/>
    </row>
    <row r="477" spans="1:10" s="78" customFormat="1" ht="21" customHeight="1">
      <c r="A477" s="77"/>
      <c r="B477" s="77"/>
      <c r="C477" s="89"/>
      <c r="D477" s="86"/>
      <c r="E477" s="77"/>
      <c r="F477" s="77"/>
      <c r="G477" s="77"/>
      <c r="H477" s="77"/>
      <c r="I477" s="77"/>
      <c r="J477" s="86"/>
    </row>
    <row r="478" spans="1:10" s="78" customFormat="1" ht="21" customHeight="1">
      <c r="A478" s="77"/>
      <c r="B478" s="77"/>
      <c r="C478" s="89"/>
      <c r="D478" s="86"/>
      <c r="E478" s="77"/>
      <c r="F478" s="77"/>
      <c r="G478" s="77"/>
      <c r="H478" s="77"/>
      <c r="I478" s="77"/>
      <c r="J478" s="86"/>
    </row>
    <row r="479" spans="1:10" s="78" customFormat="1" ht="21" customHeight="1">
      <c r="A479" s="77"/>
      <c r="B479" s="77"/>
      <c r="C479" s="89"/>
      <c r="D479" s="86"/>
      <c r="E479" s="77"/>
      <c r="F479" s="77"/>
      <c r="G479" s="77"/>
      <c r="H479" s="77"/>
      <c r="I479" s="77"/>
      <c r="J479" s="86"/>
    </row>
    <row r="480" spans="1:10" s="78" customFormat="1" ht="21" customHeight="1">
      <c r="A480" s="77"/>
      <c r="B480" s="77"/>
      <c r="C480" s="89"/>
      <c r="D480" s="86"/>
      <c r="E480" s="77"/>
      <c r="F480" s="77"/>
      <c r="G480" s="77"/>
      <c r="H480" s="77"/>
      <c r="I480" s="77"/>
      <c r="J480" s="86"/>
    </row>
    <row r="481" spans="1:10" s="78" customFormat="1" ht="21" customHeight="1">
      <c r="A481" s="77"/>
      <c r="B481" s="77"/>
      <c r="C481" s="89"/>
      <c r="D481" s="86"/>
      <c r="E481" s="77"/>
      <c r="F481" s="77"/>
      <c r="G481" s="77"/>
      <c r="H481" s="77"/>
      <c r="I481" s="77"/>
      <c r="J481" s="86"/>
    </row>
    <row r="482" spans="1:10" s="78" customFormat="1" ht="21" customHeight="1">
      <c r="A482" s="77"/>
      <c r="B482" s="77"/>
      <c r="C482" s="89"/>
      <c r="D482" s="86"/>
      <c r="E482" s="77"/>
      <c r="F482" s="77"/>
      <c r="G482" s="77"/>
      <c r="H482" s="77"/>
      <c r="I482" s="77"/>
      <c r="J482" s="86"/>
    </row>
    <row r="483" spans="1:10" s="78" customFormat="1" ht="21" customHeight="1">
      <c r="A483" s="77"/>
      <c r="B483" s="77"/>
      <c r="C483" s="89"/>
      <c r="D483" s="86"/>
      <c r="E483" s="77"/>
      <c r="F483" s="77"/>
      <c r="G483" s="77"/>
      <c r="H483" s="77"/>
      <c r="I483" s="77"/>
      <c r="J483" s="86"/>
    </row>
    <row r="484" spans="1:10" s="78" customFormat="1" ht="21" customHeight="1">
      <c r="A484" s="77"/>
      <c r="B484" s="77"/>
      <c r="C484" s="89"/>
      <c r="D484" s="86"/>
      <c r="E484" s="77"/>
      <c r="F484" s="77"/>
      <c r="G484" s="77"/>
      <c r="H484" s="77"/>
      <c r="I484" s="77"/>
      <c r="J484" s="86"/>
    </row>
    <row r="485" spans="1:10" s="78" customFormat="1" ht="21" customHeight="1">
      <c r="A485" s="77"/>
      <c r="B485" s="77"/>
      <c r="C485" s="89"/>
      <c r="D485" s="86"/>
      <c r="E485" s="77"/>
      <c r="F485" s="77"/>
      <c r="G485" s="77"/>
      <c r="H485" s="77"/>
      <c r="I485" s="77"/>
      <c r="J485" s="86"/>
    </row>
    <row r="486" spans="1:10" s="78" customFormat="1" ht="21" customHeight="1">
      <c r="A486" s="77"/>
      <c r="B486" s="77"/>
      <c r="C486" s="89"/>
      <c r="D486" s="86"/>
      <c r="E486" s="77"/>
      <c r="F486" s="77"/>
      <c r="G486" s="77"/>
      <c r="H486" s="77"/>
      <c r="I486" s="77"/>
      <c r="J486" s="86"/>
    </row>
    <row r="487" spans="1:10" s="78" customFormat="1" ht="21" customHeight="1">
      <c r="A487" s="77"/>
      <c r="B487" s="77"/>
      <c r="C487" s="89"/>
      <c r="D487" s="86"/>
      <c r="E487" s="77"/>
      <c r="F487" s="77"/>
      <c r="G487" s="77"/>
      <c r="H487" s="77"/>
      <c r="I487" s="77"/>
      <c r="J487" s="86"/>
    </row>
    <row r="488" spans="1:10" s="80" customFormat="1" ht="21" customHeight="1">
      <c r="A488" s="77"/>
      <c r="B488" s="77"/>
      <c r="C488" s="89"/>
      <c r="D488" s="86"/>
      <c r="E488" s="77"/>
      <c r="F488" s="77"/>
      <c r="G488" s="77"/>
      <c r="H488" s="77"/>
      <c r="I488" s="77"/>
      <c r="J488" s="86"/>
    </row>
    <row r="489" spans="1:10" s="80" customFormat="1" ht="21" customHeight="1">
      <c r="A489" s="77"/>
      <c r="B489" s="77"/>
      <c r="C489" s="89"/>
      <c r="D489" s="86"/>
      <c r="E489" s="77"/>
      <c r="F489" s="77"/>
      <c r="G489" s="77"/>
      <c r="H489" s="77"/>
      <c r="I489" s="77"/>
      <c r="J489" s="86"/>
    </row>
    <row r="490" spans="1:10" s="80" customFormat="1" ht="21" customHeight="1">
      <c r="A490" s="77"/>
      <c r="B490" s="77"/>
      <c r="C490" s="89"/>
      <c r="D490" s="86"/>
      <c r="E490" s="77"/>
      <c r="F490" s="77"/>
      <c r="G490" s="77"/>
      <c r="H490" s="77"/>
      <c r="I490" s="77"/>
      <c r="J490" s="86"/>
    </row>
    <row r="491" spans="1:10" s="80" customFormat="1" ht="21" customHeight="1">
      <c r="A491" s="77"/>
      <c r="B491" s="77"/>
      <c r="C491" s="89"/>
      <c r="D491" s="86"/>
      <c r="E491" s="77"/>
      <c r="F491" s="77"/>
      <c r="G491" s="77"/>
      <c r="H491" s="77"/>
      <c r="I491" s="77"/>
      <c r="J491" s="86"/>
    </row>
    <row r="492" spans="1:10" s="80" customFormat="1" ht="21" customHeight="1">
      <c r="A492" s="77"/>
      <c r="B492" s="77"/>
      <c r="C492" s="89"/>
      <c r="D492" s="86"/>
      <c r="E492" s="77"/>
      <c r="F492" s="77"/>
      <c r="G492" s="77"/>
      <c r="H492" s="77"/>
      <c r="I492" s="77"/>
      <c r="J492" s="86"/>
    </row>
    <row r="493" spans="1:10" s="80" customFormat="1" ht="21" customHeight="1">
      <c r="A493" s="77"/>
      <c r="B493" s="77"/>
      <c r="C493" s="89"/>
      <c r="D493" s="86"/>
      <c r="E493" s="77"/>
      <c r="F493" s="77"/>
      <c r="G493" s="77"/>
      <c r="H493" s="77"/>
      <c r="I493" s="77"/>
      <c r="J493" s="86"/>
    </row>
    <row r="494" spans="1:10" s="78" customFormat="1" ht="21" customHeight="1">
      <c r="A494" s="77"/>
      <c r="B494" s="77"/>
      <c r="C494" s="89"/>
      <c r="D494" s="86"/>
      <c r="E494" s="77"/>
      <c r="F494" s="77"/>
      <c r="G494" s="77"/>
      <c r="H494" s="77"/>
      <c r="I494" s="77"/>
      <c r="J494" s="86"/>
    </row>
    <row r="495" spans="1:10" s="78" customFormat="1" ht="21" customHeight="1">
      <c r="A495" s="77"/>
      <c r="B495" s="77"/>
      <c r="C495" s="89"/>
      <c r="D495" s="86"/>
      <c r="E495" s="77"/>
      <c r="F495" s="77"/>
      <c r="G495" s="77"/>
      <c r="H495" s="77"/>
      <c r="I495" s="77"/>
      <c r="J495" s="86"/>
    </row>
    <row r="496" spans="1:10" s="78" customFormat="1" ht="21" customHeight="1">
      <c r="A496" s="77"/>
      <c r="B496" s="77"/>
      <c r="C496" s="89"/>
      <c r="D496" s="86"/>
      <c r="E496" s="77"/>
      <c r="F496" s="77"/>
      <c r="G496" s="77"/>
      <c r="H496" s="77"/>
      <c r="I496" s="77"/>
      <c r="J496" s="86"/>
    </row>
    <row r="497" spans="1:10" s="78" customFormat="1" ht="21" customHeight="1">
      <c r="A497" s="77"/>
      <c r="B497" s="77"/>
      <c r="C497" s="89"/>
      <c r="D497" s="86"/>
      <c r="E497" s="77"/>
      <c r="F497" s="77"/>
      <c r="G497" s="77"/>
      <c r="H497" s="77"/>
      <c r="I497" s="77"/>
      <c r="J497" s="86"/>
    </row>
    <row r="498" spans="1:10" s="78" customFormat="1" ht="21" customHeight="1">
      <c r="A498" s="77"/>
      <c r="B498" s="77"/>
      <c r="C498" s="89"/>
      <c r="D498" s="86"/>
      <c r="E498" s="77"/>
      <c r="F498" s="77"/>
      <c r="G498" s="77"/>
      <c r="H498" s="77"/>
      <c r="I498" s="77"/>
      <c r="J498" s="86"/>
    </row>
    <row r="499" spans="1:10" s="78" customFormat="1" ht="21" customHeight="1">
      <c r="A499" s="77"/>
      <c r="B499" s="77"/>
      <c r="C499" s="89"/>
      <c r="D499" s="86"/>
      <c r="E499" s="77"/>
      <c r="F499" s="77"/>
      <c r="G499" s="77"/>
      <c r="H499" s="77"/>
      <c r="I499" s="77"/>
      <c r="J499" s="86"/>
    </row>
    <row r="500" spans="1:10" s="78" customFormat="1" ht="21" customHeight="1">
      <c r="A500" s="77"/>
      <c r="B500" s="77"/>
      <c r="C500" s="89"/>
      <c r="D500" s="86"/>
      <c r="E500" s="77"/>
      <c r="F500" s="77"/>
      <c r="G500" s="77"/>
      <c r="H500" s="77"/>
      <c r="I500" s="77"/>
      <c r="J500" s="86"/>
    </row>
    <row r="501" spans="1:10" s="78" customFormat="1" ht="21" customHeight="1">
      <c r="A501" s="77"/>
      <c r="B501" s="77"/>
      <c r="C501" s="89"/>
      <c r="D501" s="86"/>
      <c r="E501" s="77"/>
      <c r="F501" s="77"/>
      <c r="G501" s="77"/>
      <c r="H501" s="77"/>
      <c r="I501" s="77"/>
      <c r="J501" s="86"/>
    </row>
    <row r="502" spans="1:10" s="78" customFormat="1" ht="21" customHeight="1">
      <c r="A502" s="77"/>
      <c r="B502" s="77"/>
      <c r="C502" s="89"/>
      <c r="D502" s="86"/>
      <c r="E502" s="77"/>
      <c r="F502" s="77"/>
      <c r="G502" s="77"/>
      <c r="H502" s="77"/>
      <c r="I502" s="77"/>
      <c r="J502" s="86"/>
    </row>
    <row r="503" spans="1:10" s="79" customFormat="1" ht="21" customHeight="1">
      <c r="A503" s="77"/>
      <c r="B503" s="77"/>
      <c r="C503" s="89"/>
      <c r="D503" s="86"/>
      <c r="E503" s="77"/>
      <c r="F503" s="77"/>
      <c r="G503" s="77"/>
      <c r="H503" s="77"/>
      <c r="I503" s="77"/>
      <c r="J503" s="86"/>
    </row>
    <row r="504" spans="1:10" s="79" customFormat="1" ht="21" customHeight="1">
      <c r="A504" s="77"/>
      <c r="B504" s="77"/>
      <c r="C504" s="89"/>
      <c r="D504" s="86"/>
      <c r="E504" s="77"/>
      <c r="F504" s="77"/>
      <c r="G504" s="77"/>
      <c r="H504" s="77"/>
      <c r="I504" s="77"/>
      <c r="J504" s="86"/>
    </row>
    <row r="505" spans="1:10" s="79" customFormat="1" ht="21" customHeight="1">
      <c r="A505" s="77"/>
      <c r="B505" s="77"/>
      <c r="C505" s="89"/>
      <c r="D505" s="86"/>
      <c r="E505" s="77"/>
      <c r="F505" s="77"/>
      <c r="G505" s="77"/>
      <c r="H505" s="77"/>
      <c r="I505" s="77"/>
      <c r="J505" s="86"/>
    </row>
    <row r="506" spans="1:10" s="79" customFormat="1" ht="21" customHeight="1">
      <c r="A506" s="77"/>
      <c r="B506" s="77"/>
      <c r="C506" s="89"/>
      <c r="D506" s="86"/>
      <c r="E506" s="77"/>
      <c r="F506" s="77"/>
      <c r="G506" s="77"/>
      <c r="H506" s="77"/>
      <c r="I506" s="77"/>
      <c r="J506" s="86"/>
    </row>
    <row r="507" spans="1:10" s="79" customFormat="1" ht="21" customHeight="1">
      <c r="A507" s="77"/>
      <c r="B507" s="77"/>
      <c r="C507" s="89"/>
      <c r="D507" s="86"/>
      <c r="E507" s="77"/>
      <c r="F507" s="77"/>
      <c r="G507" s="77"/>
      <c r="H507" s="77"/>
      <c r="I507" s="77"/>
      <c r="J507" s="86"/>
    </row>
    <row r="508" spans="1:10" s="79" customFormat="1" ht="21" customHeight="1">
      <c r="A508" s="77"/>
      <c r="B508" s="77"/>
      <c r="C508" s="89"/>
      <c r="D508" s="86"/>
      <c r="E508" s="77"/>
      <c r="F508" s="77"/>
      <c r="G508" s="77"/>
      <c r="H508" s="77"/>
      <c r="I508" s="77"/>
      <c r="J508" s="86"/>
    </row>
    <row r="509" spans="1:10" s="79" customFormat="1" ht="21" customHeight="1">
      <c r="A509" s="77"/>
      <c r="B509" s="77"/>
      <c r="C509" s="89"/>
      <c r="D509" s="86"/>
      <c r="E509" s="77"/>
      <c r="F509" s="77"/>
      <c r="G509" s="77"/>
      <c r="H509" s="77"/>
      <c r="I509" s="77"/>
      <c r="J509" s="86"/>
    </row>
    <row r="510" spans="1:10" s="79" customFormat="1" ht="21" customHeight="1">
      <c r="A510" s="77"/>
      <c r="B510" s="77"/>
      <c r="C510" s="89"/>
      <c r="D510" s="86"/>
      <c r="E510" s="77"/>
      <c r="F510" s="77"/>
      <c r="G510" s="77"/>
      <c r="H510" s="77"/>
      <c r="I510" s="77"/>
      <c r="J510" s="86"/>
    </row>
    <row r="511" spans="1:10" s="79" customFormat="1" ht="21" customHeight="1">
      <c r="A511" s="77"/>
      <c r="B511" s="77"/>
      <c r="C511" s="89"/>
      <c r="D511" s="86"/>
      <c r="E511" s="77"/>
      <c r="F511" s="77"/>
      <c r="G511" s="77"/>
      <c r="H511" s="77"/>
      <c r="I511" s="77"/>
      <c r="J511" s="86"/>
    </row>
    <row r="512" spans="1:10" s="79" customFormat="1" ht="21" customHeight="1">
      <c r="A512" s="77"/>
      <c r="B512" s="77"/>
      <c r="C512" s="89"/>
      <c r="D512" s="86"/>
      <c r="E512" s="77"/>
      <c r="F512" s="77"/>
      <c r="G512" s="77"/>
      <c r="H512" s="77"/>
      <c r="I512" s="77"/>
      <c r="J512" s="86"/>
    </row>
    <row r="513" spans="1:10" s="79" customFormat="1" ht="21" customHeight="1">
      <c r="A513" s="77"/>
      <c r="B513" s="77"/>
      <c r="C513" s="89"/>
      <c r="D513" s="86"/>
      <c r="E513" s="77"/>
      <c r="F513" s="77"/>
      <c r="G513" s="77"/>
      <c r="H513" s="77"/>
      <c r="I513" s="77"/>
      <c r="J513" s="86"/>
    </row>
    <row r="514" spans="1:10" s="79" customFormat="1" ht="21" customHeight="1">
      <c r="A514" s="77"/>
      <c r="B514" s="77"/>
      <c r="C514" s="89"/>
      <c r="D514" s="86"/>
      <c r="E514" s="77"/>
      <c r="F514" s="77"/>
      <c r="G514" s="77"/>
      <c r="H514" s="77"/>
      <c r="I514" s="77"/>
      <c r="J514" s="86"/>
    </row>
    <row r="515" spans="1:10" s="79" customFormat="1" ht="21" customHeight="1">
      <c r="A515" s="77"/>
      <c r="B515" s="77"/>
      <c r="C515" s="89"/>
      <c r="D515" s="86"/>
      <c r="E515" s="77"/>
      <c r="F515" s="77"/>
      <c r="G515" s="77"/>
      <c r="H515" s="77"/>
      <c r="I515" s="77"/>
      <c r="J515" s="86"/>
    </row>
    <row r="516" spans="1:10" s="79" customFormat="1" ht="21" customHeight="1">
      <c r="A516" s="77"/>
      <c r="B516" s="77"/>
      <c r="C516" s="89"/>
      <c r="D516" s="86"/>
      <c r="E516" s="77"/>
      <c r="F516" s="77"/>
      <c r="G516" s="77"/>
      <c r="H516" s="77"/>
      <c r="I516" s="77"/>
      <c r="J516" s="86"/>
    </row>
    <row r="517" spans="1:10" s="79" customFormat="1" ht="21" customHeight="1">
      <c r="A517" s="77"/>
      <c r="B517" s="77"/>
      <c r="C517" s="89"/>
      <c r="D517" s="86"/>
      <c r="E517" s="77"/>
      <c r="F517" s="77"/>
      <c r="G517" s="77"/>
      <c r="H517" s="77"/>
      <c r="I517" s="77"/>
      <c r="J517" s="86"/>
    </row>
    <row r="518" spans="1:10" s="79" customFormat="1" ht="21" customHeight="1">
      <c r="A518" s="77"/>
      <c r="B518" s="77"/>
      <c r="C518" s="89"/>
      <c r="D518" s="86"/>
      <c r="E518" s="77"/>
      <c r="F518" s="77"/>
      <c r="G518" s="77"/>
      <c r="H518" s="77"/>
      <c r="I518" s="77"/>
      <c r="J518" s="86"/>
    </row>
    <row r="519" spans="1:10" s="79" customFormat="1" ht="21" customHeight="1">
      <c r="A519" s="77"/>
      <c r="B519" s="77"/>
      <c r="C519" s="89"/>
      <c r="D519" s="86"/>
      <c r="E519" s="77"/>
      <c r="F519" s="77"/>
      <c r="G519" s="77"/>
      <c r="H519" s="77"/>
      <c r="I519" s="77"/>
      <c r="J519" s="86"/>
    </row>
    <row r="520" spans="1:10" s="79" customFormat="1" ht="21" customHeight="1">
      <c r="A520" s="77"/>
      <c r="B520" s="77"/>
      <c r="C520" s="89"/>
      <c r="D520" s="86"/>
      <c r="E520" s="77"/>
      <c r="F520" s="77"/>
      <c r="G520" s="77"/>
      <c r="H520" s="77"/>
      <c r="I520" s="77"/>
      <c r="J520" s="86"/>
    </row>
    <row r="521" spans="1:10" s="78" customFormat="1" ht="21" customHeight="1">
      <c r="A521" s="77"/>
      <c r="B521" s="77"/>
      <c r="C521" s="89"/>
      <c r="D521" s="86"/>
      <c r="E521" s="77"/>
      <c r="F521" s="77"/>
      <c r="G521" s="77"/>
      <c r="H521" s="77"/>
      <c r="I521" s="77"/>
      <c r="J521" s="86"/>
    </row>
    <row r="522" spans="1:10" s="79" customFormat="1" ht="21" customHeight="1">
      <c r="A522" s="77"/>
      <c r="B522" s="77"/>
      <c r="C522" s="89"/>
      <c r="D522" s="86"/>
      <c r="E522" s="77"/>
      <c r="F522" s="77"/>
      <c r="G522" s="77"/>
      <c r="H522" s="77"/>
      <c r="I522" s="77"/>
      <c r="J522" s="86"/>
    </row>
    <row r="523" spans="1:10" s="79" customFormat="1" ht="21" customHeight="1">
      <c r="A523" s="77"/>
      <c r="B523" s="77"/>
      <c r="C523" s="89"/>
      <c r="D523" s="86"/>
      <c r="E523" s="77"/>
      <c r="F523" s="77"/>
      <c r="G523" s="77"/>
      <c r="H523" s="77"/>
      <c r="I523" s="77"/>
      <c r="J523" s="86"/>
    </row>
    <row r="524" spans="1:10" s="78" customFormat="1" ht="21" customHeight="1">
      <c r="A524" s="77"/>
      <c r="B524" s="77"/>
      <c r="C524" s="89"/>
      <c r="D524" s="86"/>
      <c r="E524" s="77"/>
      <c r="F524" s="77"/>
      <c r="G524" s="77"/>
      <c r="H524" s="77"/>
      <c r="I524" s="77"/>
      <c r="J524" s="86"/>
    </row>
    <row r="525" spans="1:10" s="78" customFormat="1" ht="21" customHeight="1">
      <c r="A525" s="77"/>
      <c r="B525" s="77"/>
      <c r="C525" s="89"/>
      <c r="D525" s="86"/>
      <c r="E525" s="77"/>
      <c r="F525" s="77"/>
      <c r="G525" s="77"/>
      <c r="H525" s="77"/>
      <c r="I525" s="77"/>
      <c r="J525" s="86"/>
    </row>
    <row r="526" spans="1:10" s="78" customFormat="1" ht="21" customHeight="1">
      <c r="A526" s="77"/>
      <c r="B526" s="77"/>
      <c r="C526" s="89"/>
      <c r="D526" s="86"/>
      <c r="E526" s="77"/>
      <c r="F526" s="77"/>
      <c r="G526" s="77"/>
      <c r="H526" s="77"/>
      <c r="I526" s="77"/>
      <c r="J526" s="86"/>
    </row>
    <row r="527" spans="1:10" s="78" customFormat="1" ht="21" customHeight="1">
      <c r="A527" s="77"/>
      <c r="B527" s="77"/>
      <c r="C527" s="89"/>
      <c r="D527" s="86"/>
      <c r="E527" s="77"/>
      <c r="F527" s="77"/>
      <c r="G527" s="77"/>
      <c r="H527" s="77"/>
      <c r="I527" s="77"/>
      <c r="J527" s="86"/>
    </row>
    <row r="528" spans="1:10" s="78" customFormat="1" ht="21" customHeight="1">
      <c r="A528" s="77"/>
      <c r="B528" s="77"/>
      <c r="C528" s="89"/>
      <c r="D528" s="86"/>
      <c r="E528" s="77"/>
      <c r="F528" s="77"/>
      <c r="G528" s="77"/>
      <c r="H528" s="77"/>
      <c r="I528" s="77"/>
      <c r="J528" s="86"/>
    </row>
    <row r="529" spans="1:10" s="78" customFormat="1" ht="21" customHeight="1">
      <c r="A529" s="77"/>
      <c r="B529" s="77"/>
      <c r="C529" s="89"/>
      <c r="D529" s="86"/>
      <c r="E529" s="77"/>
      <c r="F529" s="77"/>
      <c r="G529" s="77"/>
      <c r="H529" s="77"/>
      <c r="I529" s="77"/>
      <c r="J529" s="86"/>
    </row>
    <row r="530" spans="1:10" s="78" customFormat="1" ht="21" customHeight="1">
      <c r="A530" s="77"/>
      <c r="B530" s="77"/>
      <c r="C530" s="89"/>
      <c r="D530" s="86"/>
      <c r="E530" s="77"/>
      <c r="F530" s="77"/>
      <c r="G530" s="77"/>
      <c r="H530" s="77"/>
      <c r="I530" s="77"/>
      <c r="J530" s="86"/>
    </row>
    <row r="531" spans="1:10" s="78" customFormat="1" ht="21" customHeight="1">
      <c r="A531" s="77"/>
      <c r="B531" s="77"/>
      <c r="C531" s="89"/>
      <c r="D531" s="86"/>
      <c r="E531" s="77"/>
      <c r="F531" s="77"/>
      <c r="G531" s="77"/>
      <c r="H531" s="77"/>
      <c r="I531" s="77"/>
      <c r="J531" s="86"/>
    </row>
    <row r="532" spans="1:10" s="78" customFormat="1" ht="21" customHeight="1">
      <c r="A532" s="77"/>
      <c r="B532" s="77"/>
      <c r="C532" s="89"/>
      <c r="D532" s="86"/>
      <c r="E532" s="77"/>
      <c r="F532" s="77"/>
      <c r="G532" s="77"/>
      <c r="H532" s="77"/>
      <c r="I532" s="77"/>
      <c r="J532" s="86"/>
    </row>
    <row r="533" spans="1:10" s="78" customFormat="1" ht="21" customHeight="1">
      <c r="A533" s="77"/>
      <c r="B533" s="77"/>
      <c r="C533" s="89"/>
      <c r="D533" s="86"/>
      <c r="E533" s="77"/>
      <c r="F533" s="77"/>
      <c r="G533" s="77"/>
      <c r="H533" s="77"/>
      <c r="I533" s="77"/>
      <c r="J533" s="86"/>
    </row>
    <row r="534" spans="1:10" s="78" customFormat="1" ht="21" customHeight="1">
      <c r="A534" s="77"/>
      <c r="B534" s="77"/>
      <c r="C534" s="89"/>
      <c r="D534" s="86"/>
      <c r="E534" s="77"/>
      <c r="F534" s="77"/>
      <c r="G534" s="77"/>
      <c r="H534" s="77"/>
      <c r="I534" s="77"/>
      <c r="J534" s="86"/>
    </row>
    <row r="535" spans="1:10" s="78" customFormat="1" ht="21" customHeight="1">
      <c r="A535" s="77"/>
      <c r="B535" s="77"/>
      <c r="C535" s="89"/>
      <c r="D535" s="86"/>
      <c r="E535" s="77"/>
      <c r="F535" s="77"/>
      <c r="G535" s="77"/>
      <c r="H535" s="77"/>
      <c r="I535" s="77"/>
      <c r="J535" s="86"/>
    </row>
    <row r="536" spans="1:10" s="78" customFormat="1" ht="21" customHeight="1">
      <c r="A536" s="77"/>
      <c r="B536" s="77"/>
      <c r="C536" s="89"/>
      <c r="D536" s="86"/>
      <c r="E536" s="77"/>
      <c r="F536" s="77"/>
      <c r="G536" s="77"/>
      <c r="H536" s="77"/>
      <c r="I536" s="77"/>
      <c r="J536" s="86"/>
    </row>
    <row r="537" spans="1:10" s="78" customFormat="1" ht="21" customHeight="1">
      <c r="A537" s="77"/>
      <c r="B537" s="77"/>
      <c r="C537" s="89"/>
      <c r="D537" s="86"/>
      <c r="E537" s="77"/>
      <c r="F537" s="77"/>
      <c r="G537" s="77"/>
      <c r="H537" s="77"/>
      <c r="I537" s="77"/>
      <c r="J537" s="86"/>
    </row>
    <row r="538" spans="1:10" s="78" customFormat="1" ht="21" customHeight="1">
      <c r="A538" s="77"/>
      <c r="B538" s="77"/>
      <c r="C538" s="89"/>
      <c r="D538" s="86"/>
      <c r="E538" s="77"/>
      <c r="F538" s="77"/>
      <c r="G538" s="77"/>
      <c r="H538" s="77"/>
      <c r="I538" s="77"/>
      <c r="J538" s="86"/>
    </row>
    <row r="539" spans="1:10" s="78" customFormat="1" ht="21" customHeight="1">
      <c r="A539" s="77"/>
      <c r="B539" s="77"/>
      <c r="C539" s="89"/>
      <c r="D539" s="86"/>
      <c r="E539" s="77"/>
      <c r="F539" s="77"/>
      <c r="G539" s="77"/>
      <c r="H539" s="77"/>
      <c r="I539" s="77"/>
      <c r="J539" s="86"/>
    </row>
    <row r="540" spans="1:10" s="78" customFormat="1" ht="21" customHeight="1">
      <c r="A540" s="77"/>
      <c r="B540" s="77"/>
      <c r="C540" s="89"/>
      <c r="D540" s="86"/>
      <c r="E540" s="77"/>
      <c r="F540" s="77"/>
      <c r="G540" s="77"/>
      <c r="H540" s="77"/>
      <c r="I540" s="77"/>
      <c r="J540" s="86"/>
    </row>
    <row r="541" spans="1:10" s="78" customFormat="1" ht="21" customHeight="1">
      <c r="A541" s="77"/>
      <c r="B541" s="77"/>
      <c r="C541" s="89"/>
      <c r="D541" s="86"/>
      <c r="E541" s="77"/>
      <c r="F541" s="77"/>
      <c r="G541" s="77"/>
      <c r="H541" s="77"/>
      <c r="I541" s="77"/>
      <c r="J541" s="86"/>
    </row>
    <row r="542" spans="1:10" s="78" customFormat="1" ht="21" customHeight="1">
      <c r="A542" s="77"/>
      <c r="B542" s="77"/>
      <c r="C542" s="89"/>
      <c r="D542" s="86"/>
      <c r="E542" s="77"/>
      <c r="F542" s="77"/>
      <c r="G542" s="77"/>
      <c r="H542" s="77"/>
      <c r="I542" s="77"/>
      <c r="J542" s="86"/>
    </row>
    <row r="543" spans="1:10" s="78" customFormat="1" ht="21" customHeight="1">
      <c r="A543" s="77"/>
      <c r="B543" s="77"/>
      <c r="C543" s="89"/>
      <c r="D543" s="86"/>
      <c r="E543" s="77"/>
      <c r="F543" s="77"/>
      <c r="G543" s="77"/>
      <c r="H543" s="77"/>
      <c r="I543" s="77"/>
      <c r="J543" s="86"/>
    </row>
    <row r="544" spans="1:10" s="78" customFormat="1" ht="21" customHeight="1">
      <c r="A544" s="77"/>
      <c r="B544" s="77"/>
      <c r="C544" s="89"/>
      <c r="D544" s="86"/>
      <c r="E544" s="77"/>
      <c r="F544" s="77"/>
      <c r="G544" s="77"/>
      <c r="H544" s="77"/>
      <c r="I544" s="77"/>
      <c r="J544" s="86"/>
    </row>
    <row r="545" spans="1:10" s="78" customFormat="1" ht="21" customHeight="1">
      <c r="A545" s="77"/>
      <c r="B545" s="77"/>
      <c r="C545" s="89"/>
      <c r="D545" s="86"/>
      <c r="E545" s="77"/>
      <c r="F545" s="77"/>
      <c r="G545" s="77"/>
      <c r="H545" s="77"/>
      <c r="I545" s="77"/>
      <c r="J545" s="86"/>
    </row>
    <row r="546" spans="1:10" s="78" customFormat="1" ht="21" customHeight="1">
      <c r="A546" s="77"/>
      <c r="B546" s="77"/>
      <c r="C546" s="89"/>
      <c r="D546" s="86"/>
      <c r="E546" s="77"/>
      <c r="F546" s="77"/>
      <c r="G546" s="77"/>
      <c r="H546" s="77"/>
      <c r="I546" s="77"/>
      <c r="J546" s="86"/>
    </row>
    <row r="547" spans="1:10" s="78" customFormat="1" ht="21" customHeight="1">
      <c r="A547" s="77"/>
      <c r="B547" s="77"/>
      <c r="C547" s="89"/>
      <c r="D547" s="86"/>
      <c r="E547" s="77"/>
      <c r="F547" s="77"/>
      <c r="G547" s="77"/>
      <c r="H547" s="77"/>
      <c r="I547" s="77"/>
      <c r="J547" s="86"/>
    </row>
    <row r="548" spans="1:10" s="78" customFormat="1" ht="21" customHeight="1">
      <c r="A548" s="77"/>
      <c r="B548" s="77"/>
      <c r="C548" s="89"/>
      <c r="D548" s="86"/>
      <c r="E548" s="77"/>
      <c r="F548" s="77"/>
      <c r="G548" s="77"/>
      <c r="H548" s="77"/>
      <c r="I548" s="77"/>
      <c r="J548" s="86"/>
    </row>
    <row r="549" spans="1:10" s="78" customFormat="1" ht="21" customHeight="1">
      <c r="A549" s="77"/>
      <c r="B549" s="77"/>
      <c r="C549" s="89"/>
      <c r="D549" s="86"/>
      <c r="E549" s="77"/>
      <c r="F549" s="77"/>
      <c r="G549" s="77"/>
      <c r="H549" s="77"/>
      <c r="I549" s="77"/>
      <c r="J549" s="86"/>
    </row>
    <row r="550" spans="1:10" s="78" customFormat="1" ht="21" customHeight="1">
      <c r="A550" s="77"/>
      <c r="B550" s="77"/>
      <c r="C550" s="89"/>
      <c r="D550" s="86"/>
      <c r="E550" s="77"/>
      <c r="F550" s="77"/>
      <c r="G550" s="77"/>
      <c r="H550" s="77"/>
      <c r="I550" s="77"/>
      <c r="J550" s="86"/>
    </row>
    <row r="551" spans="1:10" s="78" customFormat="1" ht="21" customHeight="1">
      <c r="A551" s="77"/>
      <c r="B551" s="77"/>
      <c r="C551" s="89"/>
      <c r="D551" s="86"/>
      <c r="E551" s="77"/>
      <c r="F551" s="77"/>
      <c r="G551" s="77"/>
      <c r="H551" s="77"/>
      <c r="I551" s="77"/>
      <c r="J551" s="86"/>
    </row>
    <row r="552" spans="1:10" s="78" customFormat="1" ht="21" customHeight="1">
      <c r="A552" s="77"/>
      <c r="B552" s="77"/>
      <c r="C552" s="89"/>
      <c r="D552" s="86"/>
      <c r="E552" s="77"/>
      <c r="F552" s="77"/>
      <c r="G552" s="77"/>
      <c r="H552" s="77"/>
      <c r="I552" s="77"/>
      <c r="J552" s="86"/>
    </row>
    <row r="553" spans="1:10" s="78" customFormat="1" ht="21" customHeight="1">
      <c r="A553" s="77"/>
      <c r="B553" s="77"/>
      <c r="C553" s="89"/>
      <c r="D553" s="86"/>
      <c r="E553" s="77"/>
      <c r="F553" s="77"/>
      <c r="G553" s="77"/>
      <c r="H553" s="77"/>
      <c r="I553" s="77"/>
      <c r="J553" s="86"/>
    </row>
    <row r="554" spans="1:10" s="78" customFormat="1" ht="21" customHeight="1">
      <c r="A554" s="77"/>
      <c r="B554" s="77"/>
      <c r="C554" s="89"/>
      <c r="D554" s="86"/>
      <c r="E554" s="77"/>
      <c r="F554" s="77"/>
      <c r="G554" s="77"/>
      <c r="H554" s="77"/>
      <c r="I554" s="77"/>
      <c r="J554" s="86"/>
    </row>
    <row r="555" spans="1:10" s="78" customFormat="1" ht="21" customHeight="1">
      <c r="A555" s="77"/>
      <c r="B555" s="77"/>
      <c r="C555" s="89"/>
      <c r="D555" s="86"/>
      <c r="E555" s="77"/>
      <c r="F555" s="77"/>
      <c r="G555" s="77"/>
      <c r="H555" s="77"/>
      <c r="I555" s="77"/>
      <c r="J555" s="86"/>
    </row>
    <row r="556" spans="1:10" s="78" customFormat="1" ht="21" customHeight="1">
      <c r="A556" s="77"/>
      <c r="B556" s="77"/>
      <c r="C556" s="89"/>
      <c r="D556" s="86"/>
      <c r="E556" s="77"/>
      <c r="F556" s="77"/>
      <c r="G556" s="77"/>
      <c r="H556" s="77"/>
      <c r="I556" s="77"/>
      <c r="J556" s="86"/>
    </row>
    <row r="557" spans="1:10" s="78" customFormat="1" ht="21" customHeight="1">
      <c r="A557" s="77"/>
      <c r="B557" s="77"/>
      <c r="C557" s="89"/>
      <c r="D557" s="86"/>
      <c r="E557" s="77"/>
      <c r="F557" s="77"/>
      <c r="G557" s="77"/>
      <c r="H557" s="77"/>
      <c r="I557" s="77"/>
      <c r="J557" s="86"/>
    </row>
    <row r="558" spans="1:10" s="78" customFormat="1" ht="21" customHeight="1">
      <c r="A558" s="77"/>
      <c r="B558" s="77"/>
      <c r="C558" s="89"/>
      <c r="D558" s="86"/>
      <c r="E558" s="77"/>
      <c r="F558" s="77"/>
      <c r="G558" s="77"/>
      <c r="H558" s="77"/>
      <c r="I558" s="77"/>
      <c r="J558" s="86"/>
    </row>
    <row r="559" spans="1:10" s="78" customFormat="1" ht="21" customHeight="1">
      <c r="A559" s="77"/>
      <c r="B559" s="77"/>
      <c r="C559" s="89"/>
      <c r="D559" s="86"/>
      <c r="E559" s="77"/>
      <c r="F559" s="77"/>
      <c r="G559" s="77"/>
      <c r="H559" s="77"/>
      <c r="I559" s="77"/>
      <c r="J559" s="86"/>
    </row>
    <row r="560" spans="1:10" s="78" customFormat="1" ht="21" customHeight="1">
      <c r="A560" s="77"/>
      <c r="B560" s="77"/>
      <c r="C560" s="89"/>
      <c r="D560" s="86"/>
      <c r="E560" s="77"/>
      <c r="F560" s="77"/>
      <c r="G560" s="77"/>
      <c r="H560" s="77"/>
      <c r="I560" s="77"/>
      <c r="J560" s="86"/>
    </row>
    <row r="561" spans="1:10" s="78" customFormat="1" ht="21" customHeight="1">
      <c r="A561" s="77"/>
      <c r="B561" s="77"/>
      <c r="C561" s="89"/>
      <c r="D561" s="86"/>
      <c r="E561" s="77"/>
      <c r="F561" s="77"/>
      <c r="G561" s="77"/>
      <c r="H561" s="77"/>
      <c r="I561" s="77"/>
      <c r="J561" s="86"/>
    </row>
    <row r="562" spans="1:10" s="78" customFormat="1" ht="21" customHeight="1">
      <c r="A562" s="77"/>
      <c r="B562" s="77"/>
      <c r="C562" s="89"/>
      <c r="D562" s="86"/>
      <c r="E562" s="77"/>
      <c r="F562" s="77"/>
      <c r="G562" s="77"/>
      <c r="H562" s="77"/>
      <c r="I562" s="77"/>
      <c r="J562" s="86"/>
    </row>
    <row r="563" spans="1:10" s="78" customFormat="1" ht="21" customHeight="1">
      <c r="A563" s="77"/>
      <c r="B563" s="77"/>
      <c r="C563" s="89"/>
      <c r="D563" s="86"/>
      <c r="E563" s="77"/>
      <c r="F563" s="77"/>
      <c r="G563" s="77"/>
      <c r="H563" s="77"/>
      <c r="I563" s="77"/>
      <c r="J563" s="86"/>
    </row>
    <row r="564" spans="1:10" s="78" customFormat="1" ht="21" customHeight="1">
      <c r="A564" s="77"/>
      <c r="B564" s="77"/>
      <c r="C564" s="89"/>
      <c r="D564" s="86"/>
      <c r="E564" s="77"/>
      <c r="F564" s="77"/>
      <c r="G564" s="77"/>
      <c r="H564" s="77"/>
      <c r="I564" s="77"/>
      <c r="J564" s="86"/>
    </row>
    <row r="565" spans="1:10" s="78" customFormat="1" ht="21" customHeight="1">
      <c r="A565" s="77"/>
      <c r="B565" s="77"/>
      <c r="C565" s="89"/>
      <c r="D565" s="86"/>
      <c r="E565" s="77"/>
      <c r="F565" s="77"/>
      <c r="G565" s="77"/>
      <c r="H565" s="77"/>
      <c r="I565" s="77"/>
      <c r="J565" s="86"/>
    </row>
    <row r="566" spans="1:10" s="78" customFormat="1" ht="21" customHeight="1">
      <c r="A566" s="77"/>
      <c r="B566" s="77"/>
      <c r="C566" s="89"/>
      <c r="D566" s="86"/>
      <c r="E566" s="77"/>
      <c r="F566" s="77"/>
      <c r="G566" s="77"/>
      <c r="H566" s="77"/>
      <c r="I566" s="77"/>
      <c r="J566" s="86"/>
    </row>
    <row r="567" spans="1:10" s="78" customFormat="1" ht="21" customHeight="1">
      <c r="A567" s="77"/>
      <c r="B567" s="77"/>
      <c r="C567" s="89"/>
      <c r="D567" s="86"/>
      <c r="E567" s="77"/>
      <c r="F567" s="77"/>
      <c r="G567" s="77"/>
      <c r="H567" s="77"/>
      <c r="I567" s="77"/>
      <c r="J567" s="86"/>
    </row>
    <row r="568" spans="1:10" s="78" customFormat="1" ht="21" customHeight="1">
      <c r="A568" s="77"/>
      <c r="B568" s="77"/>
      <c r="C568" s="89"/>
      <c r="D568" s="86"/>
      <c r="E568" s="77"/>
      <c r="F568" s="77"/>
      <c r="G568" s="77"/>
      <c r="H568" s="77"/>
      <c r="I568" s="77"/>
      <c r="J568" s="86"/>
    </row>
    <row r="569" spans="1:10" s="78" customFormat="1" ht="21" customHeight="1">
      <c r="A569" s="77"/>
      <c r="B569" s="77"/>
      <c r="C569" s="89"/>
      <c r="D569" s="86"/>
      <c r="E569" s="77"/>
      <c r="F569" s="77"/>
      <c r="G569" s="77"/>
      <c r="H569" s="77"/>
      <c r="I569" s="77"/>
      <c r="J569" s="86"/>
    </row>
    <row r="570" spans="1:10" s="78" customFormat="1" ht="21" customHeight="1">
      <c r="A570" s="77"/>
      <c r="B570" s="77"/>
      <c r="C570" s="89"/>
      <c r="D570" s="86"/>
      <c r="E570" s="77"/>
      <c r="F570" s="77"/>
      <c r="G570" s="77"/>
      <c r="H570" s="77"/>
      <c r="I570" s="77"/>
      <c r="J570" s="86"/>
    </row>
    <row r="571" spans="1:10" s="78" customFormat="1" ht="21" customHeight="1">
      <c r="A571" s="77"/>
      <c r="B571" s="77"/>
      <c r="C571" s="89"/>
      <c r="D571" s="86"/>
      <c r="E571" s="77"/>
      <c r="F571" s="77"/>
      <c r="G571" s="77"/>
      <c r="H571" s="77"/>
      <c r="I571" s="77"/>
      <c r="J571" s="86"/>
    </row>
    <row r="572" spans="1:10" s="78" customFormat="1" ht="21" customHeight="1">
      <c r="A572" s="77"/>
      <c r="B572" s="77"/>
      <c r="C572" s="89"/>
      <c r="D572" s="86"/>
      <c r="E572" s="77"/>
      <c r="F572" s="77"/>
      <c r="G572" s="77"/>
      <c r="H572" s="77"/>
      <c r="I572" s="77"/>
      <c r="J572" s="86"/>
    </row>
    <row r="573" spans="1:10" s="78" customFormat="1" ht="21" customHeight="1">
      <c r="A573" s="77"/>
      <c r="B573" s="77"/>
      <c r="C573" s="89"/>
      <c r="D573" s="86"/>
      <c r="E573" s="77"/>
      <c r="F573" s="77"/>
      <c r="G573" s="77"/>
      <c r="H573" s="77"/>
      <c r="I573" s="77"/>
      <c r="J573" s="86"/>
    </row>
    <row r="574" spans="1:10" s="78" customFormat="1" ht="21" customHeight="1">
      <c r="A574" s="77"/>
      <c r="B574" s="77"/>
      <c r="C574" s="89"/>
      <c r="D574" s="86"/>
      <c r="E574" s="77"/>
      <c r="F574" s="77"/>
      <c r="G574" s="77"/>
      <c r="H574" s="77"/>
      <c r="I574" s="77"/>
      <c r="J574" s="86"/>
    </row>
    <row r="575" spans="1:10" s="78" customFormat="1" ht="21" customHeight="1">
      <c r="A575" s="77"/>
      <c r="B575" s="77"/>
      <c r="C575" s="89"/>
      <c r="D575" s="86"/>
      <c r="E575" s="77"/>
      <c r="F575" s="77"/>
      <c r="G575" s="77"/>
      <c r="H575" s="77"/>
      <c r="I575" s="77"/>
      <c r="J575" s="86"/>
    </row>
    <row r="576" spans="1:10" s="78" customFormat="1" ht="21" customHeight="1">
      <c r="A576" s="77"/>
      <c r="B576" s="77"/>
      <c r="C576" s="89"/>
      <c r="D576" s="86"/>
      <c r="E576" s="77"/>
      <c r="F576" s="77"/>
      <c r="G576" s="77"/>
      <c r="H576" s="77"/>
      <c r="I576" s="77"/>
      <c r="J576" s="86"/>
    </row>
    <row r="577" spans="1:10" s="78" customFormat="1" ht="21" customHeight="1">
      <c r="A577" s="77"/>
      <c r="B577" s="77"/>
      <c r="C577" s="89"/>
      <c r="D577" s="86"/>
      <c r="E577" s="77"/>
      <c r="F577" s="77"/>
      <c r="G577" s="77"/>
      <c r="H577" s="77"/>
      <c r="I577" s="77"/>
      <c r="J577" s="86"/>
    </row>
    <row r="578" spans="1:10" s="78" customFormat="1" ht="21" customHeight="1">
      <c r="A578" s="77"/>
      <c r="B578" s="77"/>
      <c r="C578" s="89"/>
      <c r="D578" s="86"/>
      <c r="E578" s="77"/>
      <c r="F578" s="77"/>
      <c r="G578" s="77"/>
      <c r="H578" s="77"/>
      <c r="I578" s="77"/>
      <c r="J578" s="86"/>
    </row>
    <row r="579" spans="1:10" s="78" customFormat="1" ht="21" customHeight="1">
      <c r="A579" s="77"/>
      <c r="B579" s="77"/>
      <c r="C579" s="89"/>
      <c r="D579" s="86"/>
      <c r="E579" s="77"/>
      <c r="F579" s="77"/>
      <c r="G579" s="77"/>
      <c r="H579" s="77"/>
      <c r="I579" s="77"/>
      <c r="J579" s="86"/>
    </row>
    <row r="580" spans="1:10" s="78" customFormat="1" ht="21" customHeight="1">
      <c r="A580" s="77"/>
      <c r="B580" s="77"/>
      <c r="C580" s="89"/>
      <c r="D580" s="86"/>
      <c r="E580" s="77"/>
      <c r="F580" s="77"/>
      <c r="G580" s="77"/>
      <c r="H580" s="77"/>
      <c r="I580" s="77"/>
      <c r="J580" s="86"/>
    </row>
    <row r="581" spans="1:10" s="78" customFormat="1" ht="21" customHeight="1">
      <c r="A581" s="77"/>
      <c r="B581" s="77"/>
      <c r="C581" s="89"/>
      <c r="D581" s="86"/>
      <c r="E581" s="77"/>
      <c r="F581" s="77"/>
      <c r="G581" s="77"/>
      <c r="H581" s="77"/>
      <c r="I581" s="77"/>
      <c r="J581" s="86"/>
    </row>
    <row r="582" spans="1:10" s="78" customFormat="1" ht="21" customHeight="1">
      <c r="A582" s="77"/>
      <c r="B582" s="77"/>
      <c r="C582" s="89"/>
      <c r="D582" s="86"/>
      <c r="E582" s="77"/>
      <c r="F582" s="77"/>
      <c r="G582" s="77"/>
      <c r="H582" s="77"/>
      <c r="I582" s="77"/>
      <c r="J582" s="86"/>
    </row>
    <row r="583" spans="1:10" s="78" customFormat="1" ht="21" customHeight="1">
      <c r="A583" s="77"/>
      <c r="B583" s="77"/>
      <c r="C583" s="89"/>
      <c r="D583" s="86"/>
      <c r="E583" s="77"/>
      <c r="F583" s="77"/>
      <c r="G583" s="77"/>
      <c r="H583" s="77"/>
      <c r="I583" s="77"/>
      <c r="J583" s="86"/>
    </row>
    <row r="584" spans="1:10" s="78" customFormat="1" ht="21" customHeight="1">
      <c r="A584" s="77"/>
      <c r="B584" s="77"/>
      <c r="C584" s="89"/>
      <c r="D584" s="86"/>
      <c r="E584" s="77"/>
      <c r="F584" s="77"/>
      <c r="G584" s="77"/>
      <c r="H584" s="77"/>
      <c r="I584" s="77"/>
      <c r="J584" s="86"/>
    </row>
    <row r="585" spans="1:10" s="78" customFormat="1" ht="21" customHeight="1">
      <c r="A585" s="77"/>
      <c r="B585" s="77"/>
      <c r="C585" s="89"/>
      <c r="D585" s="86"/>
      <c r="E585" s="77"/>
      <c r="F585" s="77"/>
      <c r="G585" s="77"/>
      <c r="H585" s="77"/>
      <c r="I585" s="77"/>
      <c r="J585" s="86"/>
    </row>
    <row r="586" spans="1:10" s="78" customFormat="1" ht="21" customHeight="1">
      <c r="A586" s="77"/>
      <c r="B586" s="77"/>
      <c r="C586" s="89"/>
      <c r="D586" s="86"/>
      <c r="E586" s="77"/>
      <c r="F586" s="77"/>
      <c r="G586" s="77"/>
      <c r="H586" s="77"/>
      <c r="I586" s="77"/>
      <c r="J586" s="86"/>
    </row>
    <row r="587" spans="1:10" s="78" customFormat="1" ht="21" customHeight="1">
      <c r="A587" s="77"/>
      <c r="B587" s="77"/>
      <c r="C587" s="89"/>
      <c r="D587" s="86"/>
      <c r="E587" s="77"/>
      <c r="F587" s="77"/>
      <c r="G587" s="77"/>
      <c r="H587" s="77"/>
      <c r="I587" s="77"/>
      <c r="J587" s="86"/>
    </row>
    <row r="588" spans="1:10" s="78" customFormat="1" ht="21" customHeight="1">
      <c r="A588" s="77"/>
      <c r="B588" s="77"/>
      <c r="C588" s="89"/>
      <c r="D588" s="86"/>
      <c r="E588" s="77"/>
      <c r="F588" s="77"/>
      <c r="G588" s="77"/>
      <c r="H588" s="77"/>
      <c r="I588" s="77"/>
      <c r="J588" s="86"/>
    </row>
    <row r="589" spans="1:10" s="78" customFormat="1" ht="21" customHeight="1">
      <c r="A589" s="77"/>
      <c r="B589" s="77"/>
      <c r="C589" s="89"/>
      <c r="D589" s="86"/>
      <c r="E589" s="77"/>
      <c r="F589" s="77"/>
      <c r="G589" s="77"/>
      <c r="H589" s="77"/>
      <c r="I589" s="77"/>
      <c r="J589" s="86"/>
    </row>
    <row r="590" spans="1:10" s="78" customFormat="1" ht="21" customHeight="1">
      <c r="A590" s="77"/>
      <c r="B590" s="77"/>
      <c r="C590" s="89"/>
      <c r="D590" s="86"/>
      <c r="E590" s="77"/>
      <c r="F590" s="77"/>
      <c r="G590" s="77"/>
      <c r="H590" s="77"/>
      <c r="I590" s="77"/>
      <c r="J590" s="86"/>
    </row>
    <row r="591" spans="1:10" s="78" customFormat="1" ht="21" customHeight="1">
      <c r="A591" s="77"/>
      <c r="B591" s="77"/>
      <c r="C591" s="89"/>
      <c r="D591" s="86"/>
      <c r="E591" s="77"/>
      <c r="F591" s="77"/>
      <c r="G591" s="77"/>
      <c r="H591" s="77"/>
      <c r="I591" s="77"/>
      <c r="J591" s="86"/>
    </row>
    <row r="592" spans="1:10" s="78" customFormat="1" ht="21" customHeight="1">
      <c r="A592" s="77"/>
      <c r="B592" s="77"/>
      <c r="C592" s="89"/>
      <c r="D592" s="86"/>
      <c r="E592" s="77"/>
      <c r="F592" s="77"/>
      <c r="G592" s="77"/>
      <c r="H592" s="77"/>
      <c r="I592" s="77"/>
      <c r="J592" s="86"/>
    </row>
    <row r="593" spans="1:10" s="78" customFormat="1" ht="21" customHeight="1">
      <c r="A593" s="77"/>
      <c r="B593" s="77"/>
      <c r="C593" s="89"/>
      <c r="D593" s="86"/>
      <c r="E593" s="77"/>
      <c r="F593" s="77"/>
      <c r="G593" s="77"/>
      <c r="H593" s="77"/>
      <c r="I593" s="77"/>
      <c r="J593" s="86"/>
    </row>
    <row r="594" spans="1:10" s="78" customFormat="1" ht="21" customHeight="1">
      <c r="A594" s="77"/>
      <c r="B594" s="77"/>
      <c r="C594" s="89"/>
      <c r="D594" s="86"/>
      <c r="E594" s="77"/>
      <c r="F594" s="77"/>
      <c r="G594" s="77"/>
      <c r="H594" s="77"/>
      <c r="I594" s="77"/>
      <c r="J594" s="86"/>
    </row>
    <row r="595" spans="1:10" s="78" customFormat="1" ht="21" customHeight="1">
      <c r="A595" s="77"/>
      <c r="B595" s="77"/>
      <c r="C595" s="89"/>
      <c r="D595" s="86"/>
      <c r="E595" s="77"/>
      <c r="F595" s="77"/>
      <c r="G595" s="77"/>
      <c r="H595" s="77"/>
      <c r="I595" s="77"/>
      <c r="J595" s="86"/>
    </row>
    <row r="596" spans="1:10" s="78" customFormat="1" ht="21" customHeight="1">
      <c r="A596" s="77"/>
      <c r="B596" s="77"/>
      <c r="C596" s="89"/>
      <c r="D596" s="86"/>
      <c r="E596" s="77"/>
      <c r="F596" s="77"/>
      <c r="G596" s="77"/>
      <c r="H596" s="77"/>
      <c r="I596" s="77"/>
      <c r="J596" s="86"/>
    </row>
    <row r="597" spans="1:10" s="78" customFormat="1" ht="21" customHeight="1">
      <c r="A597" s="77"/>
      <c r="B597" s="77"/>
      <c r="C597" s="89"/>
      <c r="D597" s="86"/>
      <c r="E597" s="77"/>
      <c r="F597" s="77"/>
      <c r="G597" s="77"/>
      <c r="H597" s="77"/>
      <c r="I597" s="77"/>
      <c r="J597" s="86"/>
    </row>
    <row r="598" spans="1:10" s="78" customFormat="1" ht="21" customHeight="1">
      <c r="A598" s="77"/>
      <c r="B598" s="77"/>
      <c r="C598" s="89"/>
      <c r="D598" s="86"/>
      <c r="E598" s="77"/>
      <c r="F598" s="77"/>
      <c r="G598" s="77"/>
      <c r="H598" s="77"/>
      <c r="I598" s="77"/>
      <c r="J598" s="86"/>
    </row>
    <row r="599" spans="1:10" s="78" customFormat="1" ht="21" customHeight="1">
      <c r="A599" s="77"/>
      <c r="B599" s="77"/>
      <c r="C599" s="89"/>
      <c r="D599" s="86"/>
      <c r="E599" s="77"/>
      <c r="F599" s="77"/>
      <c r="G599" s="77"/>
      <c r="H599" s="77"/>
      <c r="I599" s="77"/>
      <c r="J599" s="86"/>
    </row>
    <row r="600" spans="1:10" s="78" customFormat="1" ht="21" customHeight="1">
      <c r="A600" s="77"/>
      <c r="B600" s="77"/>
      <c r="C600" s="89"/>
      <c r="D600" s="86"/>
      <c r="E600" s="77"/>
      <c r="F600" s="77"/>
      <c r="G600" s="77"/>
      <c r="H600" s="77"/>
      <c r="I600" s="77"/>
      <c r="J600" s="86"/>
    </row>
    <row r="601" spans="1:10" s="78" customFormat="1" ht="21" customHeight="1">
      <c r="A601" s="77"/>
      <c r="B601" s="77"/>
      <c r="C601" s="89"/>
      <c r="D601" s="86"/>
      <c r="E601" s="77"/>
      <c r="F601" s="77"/>
      <c r="G601" s="77"/>
      <c r="H601" s="77"/>
      <c r="I601" s="77"/>
      <c r="J601" s="86"/>
    </row>
    <row r="602" spans="1:10" s="78" customFormat="1" ht="21" customHeight="1">
      <c r="A602" s="77"/>
      <c r="B602" s="77"/>
      <c r="C602" s="89"/>
      <c r="D602" s="86"/>
      <c r="E602" s="77"/>
      <c r="F602" s="77"/>
      <c r="G602" s="77"/>
      <c r="H602" s="77"/>
      <c r="I602" s="77"/>
      <c r="J602" s="86"/>
    </row>
    <row r="603" spans="1:10" s="78" customFormat="1" ht="21" customHeight="1">
      <c r="A603" s="77"/>
      <c r="B603" s="77"/>
      <c r="C603" s="89"/>
      <c r="D603" s="86"/>
      <c r="E603" s="77"/>
      <c r="F603" s="77"/>
      <c r="G603" s="77"/>
      <c r="H603" s="77"/>
      <c r="I603" s="77"/>
      <c r="J603" s="86"/>
    </row>
    <row r="604" spans="1:10" s="78" customFormat="1" ht="21" customHeight="1">
      <c r="A604" s="77"/>
      <c r="B604" s="77"/>
      <c r="C604" s="89"/>
      <c r="D604" s="86"/>
      <c r="E604" s="77"/>
      <c r="F604" s="77"/>
      <c r="G604" s="77"/>
      <c r="H604" s="77"/>
      <c r="I604" s="77"/>
      <c r="J604" s="86"/>
    </row>
    <row r="605" spans="1:10" s="78" customFormat="1" ht="21" customHeight="1">
      <c r="A605" s="77"/>
      <c r="B605" s="77"/>
      <c r="C605" s="89"/>
      <c r="D605" s="86"/>
      <c r="E605" s="77"/>
      <c r="F605" s="77"/>
      <c r="G605" s="77"/>
      <c r="H605" s="77"/>
      <c r="I605" s="77"/>
      <c r="J605" s="86"/>
    </row>
    <row r="606" spans="1:10" s="78" customFormat="1" ht="21" customHeight="1">
      <c r="A606" s="77"/>
      <c r="B606" s="77"/>
      <c r="C606" s="89"/>
      <c r="D606" s="86"/>
      <c r="E606" s="77"/>
      <c r="F606" s="77"/>
      <c r="G606" s="77"/>
      <c r="H606" s="77"/>
      <c r="I606" s="77"/>
      <c r="J606" s="86"/>
    </row>
    <row r="607" spans="1:10" s="78" customFormat="1" ht="21" customHeight="1">
      <c r="A607" s="77"/>
      <c r="B607" s="77"/>
      <c r="C607" s="89"/>
      <c r="D607" s="86"/>
      <c r="E607" s="77"/>
      <c r="F607" s="77"/>
      <c r="G607" s="77"/>
      <c r="H607" s="77"/>
      <c r="I607" s="77"/>
      <c r="J607" s="86"/>
    </row>
    <row r="608" spans="1:10" s="78" customFormat="1" ht="21" customHeight="1">
      <c r="A608" s="77"/>
      <c r="B608" s="77"/>
      <c r="C608" s="89"/>
      <c r="D608" s="86"/>
      <c r="E608" s="77"/>
      <c r="F608" s="77"/>
      <c r="G608" s="77"/>
      <c r="H608" s="77"/>
      <c r="I608" s="77"/>
      <c r="J608" s="86"/>
    </row>
    <row r="609" spans="1:10" s="78" customFormat="1" ht="21" customHeight="1">
      <c r="A609" s="77"/>
      <c r="B609" s="77"/>
      <c r="C609" s="89"/>
      <c r="D609" s="86"/>
      <c r="E609" s="77"/>
      <c r="F609" s="77"/>
      <c r="G609" s="77"/>
      <c r="H609" s="77"/>
      <c r="I609" s="77"/>
      <c r="J609" s="86"/>
    </row>
    <row r="610" spans="1:10" s="78" customFormat="1" ht="21" customHeight="1">
      <c r="A610" s="77"/>
      <c r="B610" s="77"/>
      <c r="C610" s="89"/>
      <c r="D610" s="86"/>
      <c r="E610" s="77"/>
      <c r="F610" s="77"/>
      <c r="G610" s="77"/>
      <c r="H610" s="77"/>
      <c r="I610" s="77"/>
      <c r="J610" s="86"/>
    </row>
    <row r="611" spans="1:10" s="78" customFormat="1" ht="21" customHeight="1">
      <c r="A611" s="77"/>
      <c r="B611" s="77"/>
      <c r="C611" s="89"/>
      <c r="D611" s="86"/>
      <c r="E611" s="77"/>
      <c r="F611" s="77"/>
      <c r="G611" s="77"/>
      <c r="H611" s="77"/>
      <c r="I611" s="77"/>
      <c r="J611" s="86"/>
    </row>
    <row r="612" spans="1:10" s="79" customFormat="1" ht="21" customHeight="1">
      <c r="A612" s="77"/>
      <c r="B612" s="77"/>
      <c r="C612" s="89"/>
      <c r="D612" s="86"/>
      <c r="E612" s="77"/>
      <c r="F612" s="77"/>
      <c r="G612" s="77"/>
      <c r="H612" s="77"/>
      <c r="I612" s="77"/>
      <c r="J612" s="86"/>
    </row>
    <row r="613" spans="1:10" s="79" customFormat="1" ht="21" customHeight="1">
      <c r="A613" s="77"/>
      <c r="B613" s="77"/>
      <c r="C613" s="89"/>
      <c r="D613" s="86"/>
      <c r="E613" s="77"/>
      <c r="F613" s="77"/>
      <c r="G613" s="77"/>
      <c r="H613" s="77"/>
      <c r="I613" s="77"/>
      <c r="J613" s="86"/>
    </row>
    <row r="614" spans="1:10" s="78" customFormat="1" ht="21" customHeight="1">
      <c r="A614" s="77"/>
      <c r="B614" s="77"/>
      <c r="C614" s="89"/>
      <c r="D614" s="86"/>
      <c r="E614" s="77"/>
      <c r="F614" s="77"/>
      <c r="G614" s="77"/>
      <c r="H614" s="77"/>
      <c r="I614" s="77"/>
      <c r="J614" s="86"/>
    </row>
    <row r="615" spans="1:10" s="78" customFormat="1" ht="21" customHeight="1">
      <c r="A615" s="77"/>
      <c r="B615" s="77"/>
      <c r="C615" s="89"/>
      <c r="D615" s="86"/>
      <c r="E615" s="77"/>
      <c r="F615" s="77"/>
      <c r="G615" s="77"/>
      <c r="H615" s="77"/>
      <c r="I615" s="77"/>
      <c r="J615" s="86"/>
    </row>
    <row r="616" spans="1:10" s="78" customFormat="1" ht="21" customHeight="1">
      <c r="A616" s="77"/>
      <c r="B616" s="77"/>
      <c r="C616" s="89"/>
      <c r="D616" s="86"/>
      <c r="E616" s="77"/>
      <c r="F616" s="77"/>
      <c r="G616" s="77"/>
      <c r="H616" s="77"/>
      <c r="I616" s="77"/>
      <c r="J616" s="86"/>
    </row>
    <row r="617" spans="1:10" s="78" customFormat="1" ht="21" customHeight="1">
      <c r="A617" s="77"/>
      <c r="B617" s="77"/>
      <c r="C617" s="89"/>
      <c r="D617" s="86"/>
      <c r="E617" s="77"/>
      <c r="F617" s="77"/>
      <c r="G617" s="77"/>
      <c r="H617" s="77"/>
      <c r="I617" s="77"/>
      <c r="J617" s="86"/>
    </row>
    <row r="618" spans="1:10" s="78" customFormat="1" ht="21" customHeight="1">
      <c r="A618" s="77"/>
      <c r="B618" s="77"/>
      <c r="C618" s="89"/>
      <c r="D618" s="86"/>
      <c r="E618" s="77"/>
      <c r="F618" s="77"/>
      <c r="G618" s="77"/>
      <c r="H618" s="77"/>
      <c r="I618" s="77"/>
      <c r="J618" s="86"/>
    </row>
    <row r="619" spans="1:10" s="78" customFormat="1" ht="21" customHeight="1">
      <c r="A619" s="77"/>
      <c r="B619" s="77"/>
      <c r="C619" s="89"/>
      <c r="D619" s="86"/>
      <c r="E619" s="77"/>
      <c r="F619" s="77"/>
      <c r="G619" s="77"/>
      <c r="H619" s="77"/>
      <c r="I619" s="77"/>
      <c r="J619" s="86"/>
    </row>
    <row r="620" spans="1:10" s="78" customFormat="1" ht="21" customHeight="1">
      <c r="A620" s="77"/>
      <c r="B620" s="77"/>
      <c r="C620" s="89"/>
      <c r="D620" s="86"/>
      <c r="E620" s="77"/>
      <c r="F620" s="77"/>
      <c r="G620" s="77"/>
      <c r="H620" s="77"/>
      <c r="I620" s="77"/>
      <c r="J620" s="86"/>
    </row>
    <row r="621" spans="1:10" s="78" customFormat="1" ht="21" customHeight="1">
      <c r="A621" s="77"/>
      <c r="B621" s="77"/>
      <c r="C621" s="89"/>
      <c r="D621" s="86"/>
      <c r="E621" s="77"/>
      <c r="F621" s="77"/>
      <c r="G621" s="77"/>
      <c r="H621" s="77"/>
      <c r="I621" s="77"/>
      <c r="J621" s="86"/>
    </row>
    <row r="622" spans="1:10" s="78" customFormat="1" ht="21" customHeight="1">
      <c r="A622" s="77"/>
      <c r="B622" s="77"/>
      <c r="C622" s="89"/>
      <c r="D622" s="86"/>
      <c r="E622" s="77"/>
      <c r="F622" s="77"/>
      <c r="G622" s="77"/>
      <c r="H622" s="77"/>
      <c r="I622" s="77"/>
      <c r="J622" s="86"/>
    </row>
    <row r="623" spans="1:10" s="78" customFormat="1" ht="21" customHeight="1">
      <c r="A623" s="77"/>
      <c r="B623" s="77"/>
      <c r="C623" s="89"/>
      <c r="D623" s="86"/>
      <c r="E623" s="77"/>
      <c r="F623" s="77"/>
      <c r="G623" s="77"/>
      <c r="H623" s="77"/>
      <c r="I623" s="77"/>
      <c r="J623" s="86"/>
    </row>
    <row r="624" spans="1:10" s="78" customFormat="1" ht="21" customHeight="1">
      <c r="A624" s="77"/>
      <c r="B624" s="77"/>
      <c r="C624" s="89"/>
      <c r="D624" s="86"/>
      <c r="E624" s="77"/>
      <c r="F624" s="77"/>
      <c r="G624" s="77"/>
      <c r="H624" s="77"/>
      <c r="I624" s="77"/>
      <c r="J624" s="86"/>
    </row>
    <row r="625" spans="1:10" s="78" customFormat="1" ht="21" customHeight="1">
      <c r="A625" s="77"/>
      <c r="B625" s="77"/>
      <c r="C625" s="89"/>
      <c r="D625" s="86"/>
      <c r="E625" s="77"/>
      <c r="F625" s="77"/>
      <c r="G625" s="77"/>
      <c r="H625" s="77"/>
      <c r="I625" s="77"/>
      <c r="J625" s="86"/>
    </row>
    <row r="626" spans="1:10" s="78" customFormat="1" ht="21" customHeight="1">
      <c r="A626" s="77"/>
      <c r="B626" s="77"/>
      <c r="C626" s="89"/>
      <c r="D626" s="86"/>
      <c r="E626" s="77"/>
      <c r="F626" s="77"/>
      <c r="G626" s="77"/>
      <c r="H626" s="77"/>
      <c r="I626" s="77"/>
      <c r="J626" s="86"/>
    </row>
    <row r="627" spans="1:10" s="78" customFormat="1" ht="21" customHeight="1">
      <c r="A627" s="77"/>
      <c r="B627" s="77"/>
      <c r="C627" s="89"/>
      <c r="D627" s="86"/>
      <c r="E627" s="77"/>
      <c r="F627" s="77"/>
      <c r="G627" s="77"/>
      <c r="H627" s="77"/>
      <c r="I627" s="77"/>
      <c r="J627" s="86"/>
    </row>
    <row r="628" spans="1:10" s="78" customFormat="1" ht="21" customHeight="1">
      <c r="A628" s="77"/>
      <c r="B628" s="77"/>
      <c r="C628" s="89"/>
      <c r="D628" s="86"/>
      <c r="E628" s="77"/>
      <c r="F628" s="77"/>
      <c r="G628" s="77"/>
      <c r="H628" s="77"/>
      <c r="I628" s="77"/>
      <c r="J628" s="86"/>
    </row>
    <row r="629" spans="1:10" s="78" customFormat="1" ht="21" customHeight="1">
      <c r="A629" s="77"/>
      <c r="B629" s="77"/>
      <c r="C629" s="89"/>
      <c r="D629" s="86"/>
      <c r="E629" s="77"/>
      <c r="F629" s="77"/>
      <c r="G629" s="77"/>
      <c r="H629" s="77"/>
      <c r="I629" s="77"/>
      <c r="J629" s="86"/>
    </row>
    <row r="630" spans="1:10" s="78" customFormat="1" ht="21" customHeight="1">
      <c r="A630" s="77"/>
      <c r="B630" s="77"/>
      <c r="C630" s="89"/>
      <c r="D630" s="86"/>
      <c r="E630" s="77"/>
      <c r="F630" s="77"/>
      <c r="G630" s="77"/>
      <c r="H630" s="77"/>
      <c r="I630" s="77"/>
      <c r="J630" s="86"/>
    </row>
    <row r="631" spans="1:10" s="78" customFormat="1" ht="21" customHeight="1">
      <c r="A631" s="77"/>
      <c r="B631" s="77"/>
      <c r="C631" s="89"/>
      <c r="D631" s="86"/>
      <c r="E631" s="77"/>
      <c r="F631" s="77"/>
      <c r="G631" s="77"/>
      <c r="H631" s="77"/>
      <c r="I631" s="77"/>
      <c r="J631" s="86"/>
    </row>
    <row r="632" spans="1:10" s="78" customFormat="1" ht="21" customHeight="1">
      <c r="A632" s="77"/>
      <c r="B632" s="77"/>
      <c r="C632" s="89"/>
      <c r="D632" s="86"/>
      <c r="E632" s="77"/>
      <c r="F632" s="77"/>
      <c r="G632" s="77"/>
      <c r="H632" s="77"/>
      <c r="I632" s="77"/>
      <c r="J632" s="86"/>
    </row>
    <row r="633" spans="1:10" s="78" customFormat="1" ht="21" customHeight="1">
      <c r="A633" s="77"/>
      <c r="B633" s="77"/>
      <c r="C633" s="89"/>
      <c r="D633" s="86"/>
      <c r="E633" s="77"/>
      <c r="F633" s="77"/>
      <c r="G633" s="77"/>
      <c r="H633" s="77"/>
      <c r="I633" s="77"/>
      <c r="J633" s="86"/>
    </row>
    <row r="634" spans="1:10" s="78" customFormat="1" ht="21" customHeight="1">
      <c r="A634" s="77"/>
      <c r="B634" s="77"/>
      <c r="C634" s="89"/>
      <c r="D634" s="86"/>
      <c r="E634" s="77"/>
      <c r="F634" s="77"/>
      <c r="G634" s="77"/>
      <c r="H634" s="77"/>
      <c r="I634" s="77"/>
      <c r="J634" s="86"/>
    </row>
    <row r="635" spans="1:10" s="78" customFormat="1" ht="21" customHeight="1">
      <c r="A635" s="77"/>
      <c r="B635" s="77"/>
      <c r="C635" s="89"/>
      <c r="D635" s="86"/>
      <c r="E635" s="77"/>
      <c r="F635" s="77"/>
      <c r="G635" s="77"/>
      <c r="H635" s="77"/>
      <c r="I635" s="77"/>
      <c r="J635" s="86"/>
    </row>
    <row r="636" spans="1:10" s="78" customFormat="1" ht="21" customHeight="1">
      <c r="A636" s="77"/>
      <c r="B636" s="77"/>
      <c r="C636" s="89"/>
      <c r="D636" s="86"/>
      <c r="E636" s="77"/>
      <c r="F636" s="77"/>
      <c r="G636" s="77"/>
      <c r="H636" s="77"/>
      <c r="I636" s="77"/>
      <c r="J636" s="86"/>
    </row>
    <row r="637" spans="1:10" s="78" customFormat="1" ht="21" customHeight="1">
      <c r="A637" s="77"/>
      <c r="B637" s="77"/>
      <c r="C637" s="89"/>
      <c r="D637" s="86"/>
      <c r="E637" s="77"/>
      <c r="F637" s="77"/>
      <c r="G637" s="77"/>
      <c r="H637" s="77"/>
      <c r="I637" s="77"/>
      <c r="J637" s="86"/>
    </row>
    <row r="638" spans="1:10" s="78" customFormat="1" ht="21" customHeight="1">
      <c r="A638" s="77"/>
      <c r="B638" s="77"/>
      <c r="C638" s="89"/>
      <c r="D638" s="86"/>
      <c r="E638" s="77"/>
      <c r="F638" s="77"/>
      <c r="G638" s="77"/>
      <c r="H638" s="77"/>
      <c r="I638" s="77"/>
      <c r="J638" s="86"/>
    </row>
    <row r="639" spans="1:10" s="78" customFormat="1" ht="21" customHeight="1">
      <c r="A639" s="77"/>
      <c r="B639" s="77"/>
      <c r="C639" s="89"/>
      <c r="D639" s="86"/>
      <c r="E639" s="77"/>
      <c r="F639" s="77"/>
      <c r="G639" s="77"/>
      <c r="H639" s="77"/>
      <c r="I639" s="77"/>
      <c r="J639" s="86"/>
    </row>
    <row r="640" spans="1:10" s="78" customFormat="1" ht="21" customHeight="1">
      <c r="A640" s="77"/>
      <c r="B640" s="77"/>
      <c r="C640" s="89"/>
      <c r="D640" s="86"/>
      <c r="E640" s="77"/>
      <c r="F640" s="77"/>
      <c r="G640" s="77"/>
      <c r="H640" s="77"/>
      <c r="I640" s="77"/>
      <c r="J640" s="86"/>
    </row>
    <row r="641" spans="1:10" s="78" customFormat="1" ht="21" customHeight="1">
      <c r="A641" s="77"/>
      <c r="B641" s="77"/>
      <c r="C641" s="89"/>
      <c r="D641" s="86"/>
      <c r="E641" s="77"/>
      <c r="F641" s="77"/>
      <c r="G641" s="77"/>
      <c r="H641" s="77"/>
      <c r="I641" s="77"/>
      <c r="J641" s="86"/>
    </row>
    <row r="642" spans="1:10" s="78" customFormat="1" ht="21" customHeight="1">
      <c r="A642" s="77"/>
      <c r="B642" s="77"/>
      <c r="C642" s="89"/>
      <c r="D642" s="86"/>
      <c r="E642" s="77"/>
      <c r="F642" s="77"/>
      <c r="G642" s="77"/>
      <c r="H642" s="77"/>
      <c r="I642" s="77"/>
      <c r="J642" s="86"/>
    </row>
    <row r="643" spans="1:10" s="78" customFormat="1" ht="21" customHeight="1">
      <c r="A643" s="77"/>
      <c r="B643" s="77"/>
      <c r="C643" s="89"/>
      <c r="D643" s="86"/>
      <c r="E643" s="77"/>
      <c r="F643" s="77"/>
      <c r="G643" s="77"/>
      <c r="H643" s="77"/>
      <c r="I643" s="77"/>
      <c r="J643" s="86"/>
    </row>
    <row r="644" spans="1:10" s="78" customFormat="1" ht="21" customHeight="1">
      <c r="A644" s="77"/>
      <c r="B644" s="77"/>
      <c r="C644" s="89"/>
      <c r="D644" s="86"/>
      <c r="E644" s="77"/>
      <c r="F644" s="77"/>
      <c r="G644" s="77"/>
      <c r="H644" s="77"/>
      <c r="I644" s="77"/>
      <c r="J644" s="86"/>
    </row>
    <row r="645" spans="1:10" s="78" customFormat="1" ht="21" customHeight="1">
      <c r="A645" s="77"/>
      <c r="B645" s="77"/>
      <c r="C645" s="89"/>
      <c r="D645" s="86"/>
      <c r="E645" s="77"/>
      <c r="F645" s="77"/>
      <c r="G645" s="77"/>
      <c r="H645" s="77"/>
      <c r="I645" s="77"/>
      <c r="J645" s="86"/>
    </row>
    <row r="646" spans="1:10" s="78" customFormat="1" ht="21" customHeight="1">
      <c r="A646" s="77"/>
      <c r="B646" s="77"/>
      <c r="C646" s="89"/>
      <c r="D646" s="86"/>
      <c r="E646" s="77"/>
      <c r="F646" s="77"/>
      <c r="G646" s="77"/>
      <c r="H646" s="77"/>
      <c r="I646" s="77"/>
      <c r="J646" s="86"/>
    </row>
    <row r="647" spans="1:10" s="78" customFormat="1" ht="21" customHeight="1">
      <c r="A647" s="77"/>
      <c r="B647" s="77"/>
      <c r="C647" s="89"/>
      <c r="D647" s="86"/>
      <c r="E647" s="77"/>
      <c r="F647" s="77"/>
      <c r="G647" s="77"/>
      <c r="H647" s="77"/>
      <c r="I647" s="77"/>
      <c r="J647" s="86"/>
    </row>
    <row r="648" spans="1:10" s="78" customFormat="1" ht="21" customHeight="1">
      <c r="A648" s="77"/>
      <c r="B648" s="77"/>
      <c r="C648" s="89"/>
      <c r="D648" s="86"/>
      <c r="E648" s="77"/>
      <c r="F648" s="77"/>
      <c r="G648" s="77"/>
      <c r="H648" s="77"/>
      <c r="I648" s="77"/>
      <c r="J648" s="86"/>
    </row>
    <row r="649" spans="1:10" s="78" customFormat="1" ht="21" customHeight="1">
      <c r="A649" s="77"/>
      <c r="B649" s="77"/>
      <c r="C649" s="89"/>
      <c r="D649" s="86"/>
      <c r="E649" s="77"/>
      <c r="F649" s="77"/>
      <c r="G649" s="77"/>
      <c r="H649" s="77"/>
      <c r="I649" s="77"/>
      <c r="J649" s="86"/>
    </row>
    <row r="650" spans="1:10" s="78" customFormat="1" ht="21" customHeight="1">
      <c r="A650" s="77"/>
      <c r="B650" s="77"/>
      <c r="C650" s="89"/>
      <c r="D650" s="86"/>
      <c r="E650" s="77"/>
      <c r="F650" s="77"/>
      <c r="G650" s="77"/>
      <c r="H650" s="77"/>
      <c r="I650" s="77"/>
      <c r="J650" s="86"/>
    </row>
    <row r="651" spans="1:10" s="78" customFormat="1" ht="21" customHeight="1">
      <c r="A651" s="77"/>
      <c r="B651" s="77"/>
      <c r="C651" s="89"/>
      <c r="D651" s="86"/>
      <c r="E651" s="77"/>
      <c r="F651" s="77"/>
      <c r="G651" s="77"/>
      <c r="H651" s="77"/>
      <c r="I651" s="77"/>
      <c r="J651" s="86"/>
    </row>
    <row r="652" spans="1:10" s="78" customFormat="1" ht="21" customHeight="1">
      <c r="A652" s="77"/>
      <c r="B652" s="77"/>
      <c r="C652" s="89"/>
      <c r="D652" s="86"/>
      <c r="E652" s="77"/>
      <c r="F652" s="77"/>
      <c r="G652" s="77"/>
      <c r="H652" s="77"/>
      <c r="I652" s="77"/>
      <c r="J652" s="86"/>
    </row>
    <row r="653" spans="1:10" s="79" customFormat="1" ht="21" customHeight="1">
      <c r="A653" s="77"/>
      <c r="B653" s="77"/>
      <c r="C653" s="89"/>
      <c r="D653" s="86"/>
      <c r="E653" s="77"/>
      <c r="F653" s="77"/>
      <c r="G653" s="77"/>
      <c r="H653" s="77"/>
      <c r="I653" s="77"/>
      <c r="J653" s="86"/>
    </row>
    <row r="654" spans="1:10" s="79" customFormat="1" ht="21" customHeight="1">
      <c r="A654" s="77"/>
      <c r="B654" s="77"/>
      <c r="C654" s="89"/>
      <c r="D654" s="86"/>
      <c r="E654" s="77"/>
      <c r="F654" s="77"/>
      <c r="G654" s="77"/>
      <c r="H654" s="77"/>
      <c r="I654" s="77"/>
      <c r="J654" s="86"/>
    </row>
    <row r="655" spans="1:10" s="79" customFormat="1" ht="21" customHeight="1">
      <c r="A655" s="77"/>
      <c r="B655" s="77"/>
      <c r="C655" s="89"/>
      <c r="D655" s="86"/>
      <c r="E655" s="77"/>
      <c r="F655" s="77"/>
      <c r="G655" s="77"/>
      <c r="H655" s="77"/>
      <c r="I655" s="77"/>
      <c r="J655" s="86"/>
    </row>
    <row r="656" spans="1:10" s="79" customFormat="1" ht="21" customHeight="1">
      <c r="A656" s="77"/>
      <c r="B656" s="77"/>
      <c r="C656" s="89"/>
      <c r="D656" s="86"/>
      <c r="E656" s="77"/>
      <c r="F656" s="77"/>
      <c r="G656" s="77"/>
      <c r="H656" s="77"/>
      <c r="I656" s="77"/>
      <c r="J656" s="86"/>
    </row>
    <row r="657" spans="1:10" s="79" customFormat="1" ht="21" customHeight="1">
      <c r="A657" s="77"/>
      <c r="B657" s="77"/>
      <c r="C657" s="89"/>
      <c r="D657" s="86"/>
      <c r="E657" s="77"/>
      <c r="F657" s="77"/>
      <c r="G657" s="77"/>
      <c r="H657" s="77"/>
      <c r="I657" s="77"/>
      <c r="J657" s="86"/>
    </row>
    <row r="658" spans="1:10" s="79" customFormat="1" ht="21" customHeight="1">
      <c r="A658" s="77"/>
      <c r="B658" s="77"/>
      <c r="C658" s="89"/>
      <c r="D658" s="86"/>
      <c r="E658" s="77"/>
      <c r="F658" s="77"/>
      <c r="G658" s="77"/>
      <c r="H658" s="77"/>
      <c r="I658" s="77"/>
      <c r="J658" s="86"/>
    </row>
    <row r="659" spans="1:10" s="79" customFormat="1" ht="21" customHeight="1">
      <c r="A659" s="77"/>
      <c r="B659" s="77"/>
      <c r="C659" s="89"/>
      <c r="D659" s="86"/>
      <c r="E659" s="77"/>
      <c r="F659" s="77"/>
      <c r="G659" s="77"/>
      <c r="H659" s="77"/>
      <c r="I659" s="77"/>
      <c r="J659" s="86"/>
    </row>
    <row r="660" spans="1:10" s="79" customFormat="1" ht="21" customHeight="1">
      <c r="A660" s="77"/>
      <c r="B660" s="77"/>
      <c r="C660" s="89"/>
      <c r="D660" s="86"/>
      <c r="E660" s="77"/>
      <c r="F660" s="77"/>
      <c r="G660" s="77"/>
      <c r="H660" s="77"/>
      <c r="I660" s="77"/>
      <c r="J660" s="86"/>
    </row>
    <row r="661" spans="1:10" s="79" customFormat="1" ht="21" customHeight="1">
      <c r="A661" s="77"/>
      <c r="B661" s="77"/>
      <c r="C661" s="89"/>
      <c r="D661" s="86"/>
      <c r="E661" s="77"/>
      <c r="F661" s="77"/>
      <c r="G661" s="77"/>
      <c r="H661" s="77"/>
      <c r="I661" s="77"/>
      <c r="J661" s="86"/>
    </row>
    <row r="662" spans="1:10" s="79" customFormat="1" ht="21" customHeight="1">
      <c r="A662" s="77"/>
      <c r="B662" s="77"/>
      <c r="C662" s="89"/>
      <c r="D662" s="86"/>
      <c r="E662" s="77"/>
      <c r="F662" s="77"/>
      <c r="G662" s="77"/>
      <c r="H662" s="77"/>
      <c r="I662" s="77"/>
      <c r="J662" s="86"/>
    </row>
    <row r="663" spans="1:10" s="79" customFormat="1" ht="21" customHeight="1">
      <c r="A663" s="77"/>
      <c r="B663" s="77"/>
      <c r="C663" s="89"/>
      <c r="D663" s="86"/>
      <c r="E663" s="77"/>
      <c r="F663" s="77"/>
      <c r="G663" s="77"/>
      <c r="H663" s="77"/>
      <c r="I663" s="77"/>
      <c r="J663" s="86"/>
    </row>
    <row r="664" spans="1:10" s="79" customFormat="1" ht="21" customHeight="1">
      <c r="A664" s="77"/>
      <c r="B664" s="77"/>
      <c r="C664" s="89"/>
      <c r="D664" s="86"/>
      <c r="E664" s="77"/>
      <c r="F664" s="77"/>
      <c r="G664" s="77"/>
      <c r="H664" s="77"/>
      <c r="I664" s="77"/>
      <c r="J664" s="86"/>
    </row>
    <row r="665" spans="1:10" s="79" customFormat="1" ht="21" customHeight="1">
      <c r="A665" s="77"/>
      <c r="B665" s="77"/>
      <c r="C665" s="89"/>
      <c r="D665" s="86"/>
      <c r="E665" s="77"/>
      <c r="F665" s="77"/>
      <c r="G665" s="77"/>
      <c r="H665" s="77"/>
      <c r="I665" s="77"/>
      <c r="J665" s="86"/>
    </row>
    <row r="666" spans="1:10" s="79" customFormat="1" ht="21" customHeight="1">
      <c r="A666" s="77"/>
      <c r="B666" s="77"/>
      <c r="C666" s="89"/>
      <c r="D666" s="86"/>
      <c r="E666" s="77"/>
      <c r="F666" s="77"/>
      <c r="G666" s="77"/>
      <c r="H666" s="77"/>
      <c r="I666" s="77"/>
      <c r="J666" s="86"/>
    </row>
    <row r="667" spans="1:10" s="78" customFormat="1" ht="21" customHeight="1">
      <c r="A667" s="77"/>
      <c r="B667" s="77"/>
      <c r="C667" s="89"/>
      <c r="D667" s="86"/>
      <c r="E667" s="77"/>
      <c r="F667" s="77"/>
      <c r="G667" s="77"/>
      <c r="H667" s="77"/>
      <c r="I667" s="77"/>
      <c r="J667" s="86"/>
    </row>
    <row r="668" spans="1:10" s="78" customFormat="1" ht="21" customHeight="1">
      <c r="A668" s="77"/>
      <c r="B668" s="77"/>
      <c r="C668" s="89"/>
      <c r="D668" s="86"/>
      <c r="E668" s="77"/>
      <c r="F668" s="77"/>
      <c r="G668" s="77"/>
      <c r="H668" s="77"/>
      <c r="I668" s="77"/>
      <c r="J668" s="86"/>
    </row>
    <row r="669" spans="1:10" s="78" customFormat="1" ht="21" customHeight="1">
      <c r="A669" s="77"/>
      <c r="B669" s="77"/>
      <c r="C669" s="89"/>
      <c r="D669" s="86"/>
      <c r="E669" s="77"/>
      <c r="F669" s="77"/>
      <c r="G669" s="77"/>
      <c r="H669" s="77"/>
      <c r="I669" s="77"/>
      <c r="J669" s="86"/>
    </row>
    <row r="670" spans="1:10" s="78" customFormat="1" ht="21" customHeight="1">
      <c r="A670" s="77"/>
      <c r="B670" s="77"/>
      <c r="C670" s="89"/>
      <c r="D670" s="86"/>
      <c r="E670" s="77"/>
      <c r="F670" s="77"/>
      <c r="G670" s="77"/>
      <c r="H670" s="77"/>
      <c r="I670" s="77"/>
      <c r="J670" s="86"/>
    </row>
    <row r="671" spans="1:10" s="78" customFormat="1" ht="21" customHeight="1">
      <c r="A671" s="77"/>
      <c r="B671" s="77"/>
      <c r="C671" s="89"/>
      <c r="D671" s="86"/>
      <c r="E671" s="77"/>
      <c r="F671" s="77"/>
      <c r="G671" s="77"/>
      <c r="H671" s="77"/>
      <c r="I671" s="77"/>
      <c r="J671" s="86"/>
    </row>
    <row r="672" spans="1:10" s="78" customFormat="1" ht="21" customHeight="1">
      <c r="A672" s="77"/>
      <c r="B672" s="77"/>
      <c r="C672" s="89"/>
      <c r="D672" s="86"/>
      <c r="E672" s="77"/>
      <c r="F672" s="77"/>
      <c r="G672" s="77"/>
      <c r="H672" s="77"/>
      <c r="I672" s="77"/>
      <c r="J672" s="86"/>
    </row>
    <row r="673" spans="1:10" s="78" customFormat="1" ht="21" customHeight="1">
      <c r="A673" s="77"/>
      <c r="B673" s="77"/>
      <c r="C673" s="89"/>
      <c r="D673" s="86"/>
      <c r="E673" s="77"/>
      <c r="F673" s="77"/>
      <c r="G673" s="77"/>
      <c r="H673" s="77"/>
      <c r="I673" s="77"/>
      <c r="J673" s="86"/>
    </row>
    <row r="674" spans="1:10" s="78" customFormat="1" ht="21" customHeight="1">
      <c r="A674" s="77"/>
      <c r="B674" s="77"/>
      <c r="C674" s="89"/>
      <c r="D674" s="86"/>
      <c r="E674" s="77"/>
      <c r="F674" s="77"/>
      <c r="G674" s="77"/>
      <c r="H674" s="77"/>
      <c r="I674" s="77"/>
      <c r="J674" s="86"/>
    </row>
    <row r="675" spans="1:10" s="78" customFormat="1" ht="21" customHeight="1">
      <c r="A675" s="77"/>
      <c r="B675" s="77"/>
      <c r="C675" s="89"/>
      <c r="D675" s="86"/>
      <c r="E675" s="77"/>
      <c r="F675" s="77"/>
      <c r="G675" s="77"/>
      <c r="H675" s="77"/>
      <c r="I675" s="77"/>
      <c r="J675" s="86"/>
    </row>
    <row r="676" spans="1:10" s="78" customFormat="1" ht="21" customHeight="1">
      <c r="A676" s="77"/>
      <c r="B676" s="77"/>
      <c r="C676" s="89"/>
      <c r="D676" s="86"/>
      <c r="E676" s="77"/>
      <c r="F676" s="77"/>
      <c r="G676" s="77"/>
      <c r="H676" s="77"/>
      <c r="I676" s="77"/>
      <c r="J676" s="86"/>
    </row>
    <row r="677" spans="1:10" s="78" customFormat="1" ht="21" customHeight="1">
      <c r="A677" s="77"/>
      <c r="B677" s="77"/>
      <c r="C677" s="89"/>
      <c r="D677" s="86"/>
      <c r="E677" s="77"/>
      <c r="F677" s="77"/>
      <c r="G677" s="77"/>
      <c r="H677" s="77"/>
      <c r="I677" s="77"/>
      <c r="J677" s="86"/>
    </row>
    <row r="678" spans="1:10" s="78" customFormat="1" ht="21" customHeight="1">
      <c r="A678" s="77"/>
      <c r="B678" s="77"/>
      <c r="C678" s="89"/>
      <c r="D678" s="86"/>
      <c r="E678" s="77"/>
      <c r="F678" s="77"/>
      <c r="G678" s="77"/>
      <c r="H678" s="77"/>
      <c r="I678" s="77"/>
      <c r="J678" s="86"/>
    </row>
    <row r="679" spans="1:10" s="78" customFormat="1" ht="21" customHeight="1">
      <c r="A679" s="77"/>
      <c r="B679" s="77"/>
      <c r="C679" s="89"/>
      <c r="D679" s="86"/>
      <c r="E679" s="77"/>
      <c r="F679" s="77"/>
      <c r="G679" s="77"/>
      <c r="H679" s="77"/>
      <c r="I679" s="77"/>
      <c r="J679" s="86"/>
    </row>
    <row r="680" spans="1:10" s="78" customFormat="1" ht="21" customHeight="1">
      <c r="A680" s="77"/>
      <c r="B680" s="77"/>
      <c r="C680" s="89"/>
      <c r="D680" s="86"/>
      <c r="E680" s="77"/>
      <c r="F680" s="77"/>
      <c r="G680" s="77"/>
      <c r="H680" s="77"/>
      <c r="I680" s="77"/>
      <c r="J680" s="86"/>
    </row>
    <row r="681" spans="1:10" s="78" customFormat="1" ht="21" customHeight="1">
      <c r="A681" s="77"/>
      <c r="B681" s="77"/>
      <c r="C681" s="89"/>
      <c r="D681" s="86"/>
      <c r="E681" s="77"/>
      <c r="F681" s="77"/>
      <c r="G681" s="77"/>
      <c r="H681" s="77"/>
      <c r="I681" s="77"/>
      <c r="J681" s="86"/>
    </row>
    <row r="682" spans="1:10" s="78" customFormat="1" ht="21" customHeight="1">
      <c r="A682" s="77"/>
      <c r="B682" s="77"/>
      <c r="C682" s="89"/>
      <c r="D682" s="86"/>
      <c r="E682" s="77"/>
      <c r="F682" s="77"/>
      <c r="G682" s="77"/>
      <c r="H682" s="77"/>
      <c r="I682" s="77"/>
      <c r="J682" s="86"/>
    </row>
    <row r="683" spans="1:10" s="78" customFormat="1" ht="21" customHeight="1">
      <c r="A683" s="77"/>
      <c r="B683" s="77"/>
      <c r="C683" s="89"/>
      <c r="D683" s="86"/>
      <c r="E683" s="77"/>
      <c r="F683" s="77"/>
      <c r="G683" s="77"/>
      <c r="H683" s="77"/>
      <c r="I683" s="77"/>
      <c r="J683" s="86"/>
    </row>
    <row r="684" spans="1:10" s="78" customFormat="1" ht="21" customHeight="1">
      <c r="A684" s="77"/>
      <c r="B684" s="77"/>
      <c r="C684" s="89"/>
      <c r="D684" s="86"/>
      <c r="E684" s="77"/>
      <c r="F684" s="77"/>
      <c r="G684" s="77"/>
      <c r="H684" s="77"/>
      <c r="I684" s="77"/>
      <c r="J684" s="86"/>
    </row>
    <row r="685" spans="1:10" s="78" customFormat="1" ht="21" customHeight="1">
      <c r="A685" s="77"/>
      <c r="B685" s="77"/>
      <c r="C685" s="89"/>
      <c r="D685" s="86"/>
      <c r="E685" s="77"/>
      <c r="F685" s="77"/>
      <c r="G685" s="77"/>
      <c r="H685" s="77"/>
      <c r="I685" s="77"/>
      <c r="J685" s="86"/>
    </row>
    <row r="686" spans="1:10" s="78" customFormat="1" ht="21" customHeight="1">
      <c r="A686" s="77"/>
      <c r="B686" s="77"/>
      <c r="C686" s="89"/>
      <c r="D686" s="86"/>
      <c r="E686" s="77"/>
      <c r="F686" s="77"/>
      <c r="G686" s="77"/>
      <c r="H686" s="77"/>
      <c r="I686" s="77"/>
      <c r="J686" s="86"/>
    </row>
    <row r="687" spans="1:10" s="78" customFormat="1" ht="21" customHeight="1">
      <c r="A687" s="77"/>
      <c r="B687" s="77"/>
      <c r="C687" s="89"/>
      <c r="D687" s="86"/>
      <c r="E687" s="77"/>
      <c r="F687" s="77"/>
      <c r="G687" s="77"/>
      <c r="H687" s="77"/>
      <c r="I687" s="77"/>
      <c r="J687" s="86"/>
    </row>
    <row r="688" spans="1:10" s="78" customFormat="1" ht="21" customHeight="1">
      <c r="A688" s="77"/>
      <c r="B688" s="77"/>
      <c r="C688" s="89"/>
      <c r="D688" s="86"/>
      <c r="E688" s="77"/>
      <c r="F688" s="77"/>
      <c r="G688" s="77"/>
      <c r="H688" s="77"/>
      <c r="I688" s="77"/>
      <c r="J688" s="86"/>
    </row>
    <row r="689" spans="1:10" s="78" customFormat="1" ht="21" customHeight="1">
      <c r="A689" s="77"/>
      <c r="B689" s="77"/>
      <c r="C689" s="89"/>
      <c r="D689" s="86"/>
      <c r="E689" s="77"/>
      <c r="F689" s="77"/>
      <c r="G689" s="77"/>
      <c r="H689" s="77"/>
      <c r="I689" s="77"/>
      <c r="J689" s="86"/>
    </row>
    <row r="690" spans="1:10" s="78" customFormat="1" ht="21" customHeight="1">
      <c r="A690" s="77"/>
      <c r="B690" s="77"/>
      <c r="C690" s="89"/>
      <c r="D690" s="86"/>
      <c r="E690" s="77"/>
      <c r="F690" s="77"/>
      <c r="G690" s="77"/>
      <c r="H690" s="77"/>
      <c r="I690" s="77"/>
      <c r="J690" s="86"/>
    </row>
    <row r="691" spans="1:10" s="78" customFormat="1" ht="21" customHeight="1">
      <c r="A691" s="77"/>
      <c r="B691" s="77"/>
      <c r="C691" s="89"/>
      <c r="D691" s="86"/>
      <c r="E691" s="77"/>
      <c r="F691" s="77"/>
      <c r="G691" s="77"/>
      <c r="H691" s="77"/>
      <c r="I691" s="77"/>
      <c r="J691" s="86"/>
    </row>
    <row r="692" spans="1:10" s="78" customFormat="1" ht="21" customHeight="1">
      <c r="A692" s="77"/>
      <c r="B692" s="77"/>
      <c r="C692" s="89"/>
      <c r="D692" s="86"/>
      <c r="E692" s="77"/>
      <c r="F692" s="77"/>
      <c r="G692" s="77"/>
      <c r="H692" s="77"/>
      <c r="I692" s="77"/>
      <c r="J692" s="86"/>
    </row>
    <row r="693" spans="1:10" s="78" customFormat="1" ht="21" customHeight="1">
      <c r="A693" s="77"/>
      <c r="B693" s="77"/>
      <c r="C693" s="89"/>
      <c r="D693" s="86"/>
      <c r="E693" s="77"/>
      <c r="F693" s="77"/>
      <c r="G693" s="77"/>
      <c r="H693" s="77"/>
      <c r="I693" s="77"/>
      <c r="J693" s="86"/>
    </row>
    <row r="694" spans="1:10" s="78" customFormat="1" ht="21" customHeight="1">
      <c r="A694" s="77"/>
      <c r="B694" s="77"/>
      <c r="C694" s="89"/>
      <c r="D694" s="86"/>
      <c r="E694" s="77"/>
      <c r="F694" s="77"/>
      <c r="G694" s="77"/>
      <c r="H694" s="77"/>
      <c r="I694" s="77"/>
      <c r="J694" s="86"/>
    </row>
    <row r="695" spans="1:10" s="78" customFormat="1" ht="21" customHeight="1">
      <c r="A695" s="77"/>
      <c r="B695" s="77"/>
      <c r="C695" s="89"/>
      <c r="D695" s="86"/>
      <c r="E695" s="77"/>
      <c r="F695" s="77"/>
      <c r="G695" s="77"/>
      <c r="H695" s="77"/>
      <c r="I695" s="77"/>
      <c r="J695" s="86"/>
    </row>
    <row r="696" spans="1:10" s="78" customFormat="1" ht="21" customHeight="1">
      <c r="A696" s="77"/>
      <c r="B696" s="77"/>
      <c r="C696" s="89"/>
      <c r="D696" s="86"/>
      <c r="E696" s="77"/>
      <c r="F696" s="77"/>
      <c r="G696" s="77"/>
      <c r="H696" s="77"/>
      <c r="I696" s="77"/>
      <c r="J696" s="86"/>
    </row>
    <row r="697" spans="1:10" s="78" customFormat="1" ht="21" customHeight="1">
      <c r="A697" s="77"/>
      <c r="B697" s="77"/>
      <c r="C697" s="89"/>
      <c r="D697" s="86"/>
      <c r="E697" s="77"/>
      <c r="F697" s="77"/>
      <c r="G697" s="77"/>
      <c r="H697" s="77"/>
      <c r="I697" s="77"/>
      <c r="J697" s="86"/>
    </row>
    <row r="698" spans="1:10" s="78" customFormat="1" ht="21" customHeight="1">
      <c r="A698" s="77"/>
      <c r="B698" s="77"/>
      <c r="C698" s="89"/>
      <c r="D698" s="86"/>
      <c r="E698" s="77"/>
      <c r="F698" s="77"/>
      <c r="G698" s="77"/>
      <c r="H698" s="77"/>
      <c r="I698" s="77"/>
      <c r="J698" s="86"/>
    </row>
    <row r="699" spans="1:10" s="78" customFormat="1" ht="21" customHeight="1">
      <c r="A699" s="77"/>
      <c r="B699" s="77"/>
      <c r="C699" s="89"/>
      <c r="D699" s="86"/>
      <c r="E699" s="77"/>
      <c r="F699" s="77"/>
      <c r="G699" s="77"/>
      <c r="H699" s="77"/>
      <c r="I699" s="77"/>
      <c r="J699" s="86"/>
    </row>
    <row r="700" spans="1:10" s="78" customFormat="1" ht="21" customHeight="1">
      <c r="A700" s="77"/>
      <c r="B700" s="77"/>
      <c r="C700" s="89"/>
      <c r="D700" s="86"/>
      <c r="E700" s="77"/>
      <c r="F700" s="77"/>
      <c r="G700" s="77"/>
      <c r="H700" s="77"/>
      <c r="I700" s="77"/>
      <c r="J700" s="86"/>
    </row>
    <row r="701" spans="1:10" s="78" customFormat="1" ht="21" customHeight="1">
      <c r="A701" s="77"/>
      <c r="B701" s="77"/>
      <c r="C701" s="89"/>
      <c r="D701" s="86"/>
      <c r="E701" s="77"/>
      <c r="F701" s="77"/>
      <c r="G701" s="77"/>
      <c r="H701" s="77"/>
      <c r="I701" s="77"/>
      <c r="J701" s="86"/>
    </row>
    <row r="702" spans="1:10" s="78" customFormat="1" ht="21" customHeight="1">
      <c r="A702" s="77"/>
      <c r="B702" s="77"/>
      <c r="C702" s="89"/>
      <c r="D702" s="86"/>
      <c r="E702" s="77"/>
      <c r="F702" s="77"/>
      <c r="G702" s="77"/>
      <c r="H702" s="77"/>
      <c r="I702" s="77"/>
      <c r="J702" s="86"/>
    </row>
    <row r="703" spans="1:10" s="78" customFormat="1" ht="21" customHeight="1">
      <c r="A703" s="77"/>
      <c r="B703" s="77"/>
      <c r="C703" s="89"/>
      <c r="D703" s="86"/>
      <c r="E703" s="77"/>
      <c r="F703" s="77"/>
      <c r="G703" s="77"/>
      <c r="H703" s="77"/>
      <c r="I703" s="77"/>
      <c r="J703" s="86"/>
    </row>
    <row r="704" spans="1:10" s="78" customFormat="1" ht="21" customHeight="1">
      <c r="A704" s="77"/>
      <c r="B704" s="77"/>
      <c r="C704" s="89"/>
      <c r="D704" s="86"/>
      <c r="E704" s="77"/>
      <c r="F704" s="77"/>
      <c r="G704" s="77"/>
      <c r="H704" s="77"/>
      <c r="I704" s="77"/>
      <c r="J704" s="86"/>
    </row>
    <row r="705" spans="1:10" s="78" customFormat="1" ht="21" customHeight="1">
      <c r="A705" s="77"/>
      <c r="B705" s="77"/>
      <c r="C705" s="89"/>
      <c r="D705" s="86"/>
      <c r="E705" s="77"/>
      <c r="F705" s="77"/>
      <c r="G705" s="77"/>
      <c r="H705" s="77"/>
      <c r="I705" s="77"/>
      <c r="J705" s="86"/>
    </row>
    <row r="706" spans="1:10" s="78" customFormat="1" ht="21" customHeight="1">
      <c r="A706" s="77"/>
      <c r="B706" s="77"/>
      <c r="C706" s="89"/>
      <c r="D706" s="86"/>
      <c r="E706" s="77"/>
      <c r="F706" s="77"/>
      <c r="G706" s="77"/>
      <c r="H706" s="77"/>
      <c r="I706" s="77"/>
      <c r="J706" s="86"/>
    </row>
    <row r="707" spans="1:10" s="78" customFormat="1" ht="21" customHeight="1">
      <c r="A707" s="77"/>
      <c r="B707" s="77"/>
      <c r="C707" s="89"/>
      <c r="D707" s="86"/>
      <c r="E707" s="77"/>
      <c r="F707" s="77"/>
      <c r="G707" s="77"/>
      <c r="H707" s="77"/>
      <c r="I707" s="77"/>
      <c r="J707" s="86"/>
    </row>
    <row r="708" spans="1:10" s="78" customFormat="1" ht="21" customHeight="1">
      <c r="A708" s="77"/>
      <c r="B708" s="77"/>
      <c r="C708" s="89"/>
      <c r="D708" s="86"/>
      <c r="E708" s="77"/>
      <c r="F708" s="77"/>
      <c r="G708" s="77"/>
      <c r="H708" s="77"/>
      <c r="I708" s="77"/>
      <c r="J708" s="86"/>
    </row>
    <row r="709" spans="1:10" s="78" customFormat="1" ht="21" customHeight="1">
      <c r="A709" s="77"/>
      <c r="B709" s="77"/>
      <c r="C709" s="89"/>
      <c r="D709" s="86"/>
      <c r="E709" s="77"/>
      <c r="F709" s="77"/>
      <c r="G709" s="77"/>
      <c r="H709" s="77"/>
      <c r="I709" s="77"/>
      <c r="J709" s="86"/>
    </row>
    <row r="710" spans="1:10" s="78" customFormat="1" ht="21" customHeight="1">
      <c r="A710" s="77"/>
      <c r="B710" s="77"/>
      <c r="C710" s="89"/>
      <c r="D710" s="86"/>
      <c r="E710" s="77"/>
      <c r="F710" s="77"/>
      <c r="G710" s="77"/>
      <c r="H710" s="77"/>
      <c r="I710" s="77"/>
      <c r="J710" s="86"/>
    </row>
    <row r="711" spans="1:10" s="78" customFormat="1" ht="21" customHeight="1">
      <c r="A711" s="77"/>
      <c r="B711" s="77"/>
      <c r="C711" s="89"/>
      <c r="D711" s="86"/>
      <c r="E711" s="77"/>
      <c r="F711" s="77"/>
      <c r="G711" s="77"/>
      <c r="H711" s="77"/>
      <c r="I711" s="77"/>
      <c r="J711" s="86"/>
    </row>
    <row r="712" spans="1:10" s="78" customFormat="1" ht="21" customHeight="1">
      <c r="A712" s="77"/>
      <c r="B712" s="77"/>
      <c r="C712" s="89"/>
      <c r="D712" s="86"/>
      <c r="E712" s="77"/>
      <c r="F712" s="77"/>
      <c r="G712" s="77"/>
      <c r="H712" s="77"/>
      <c r="I712" s="77"/>
      <c r="J712" s="86"/>
    </row>
    <row r="713" spans="1:10" s="78" customFormat="1" ht="21" customHeight="1">
      <c r="A713" s="77"/>
      <c r="B713" s="77"/>
      <c r="C713" s="89"/>
      <c r="D713" s="86"/>
      <c r="E713" s="77"/>
      <c r="F713" s="77"/>
      <c r="G713" s="77"/>
      <c r="H713" s="77"/>
      <c r="I713" s="77"/>
      <c r="J713" s="86"/>
    </row>
    <row r="714" spans="1:10" s="78" customFormat="1" ht="21" customHeight="1">
      <c r="A714" s="77"/>
      <c r="B714" s="77"/>
      <c r="C714" s="89"/>
      <c r="D714" s="86"/>
      <c r="E714" s="77"/>
      <c r="F714" s="77"/>
      <c r="G714" s="77"/>
      <c r="H714" s="77"/>
      <c r="I714" s="77"/>
      <c r="J714" s="86"/>
    </row>
    <row r="715" spans="1:10" s="78" customFormat="1" ht="21" customHeight="1">
      <c r="A715" s="77"/>
      <c r="B715" s="77"/>
      <c r="C715" s="89"/>
      <c r="D715" s="86"/>
      <c r="E715" s="77"/>
      <c r="F715" s="77"/>
      <c r="G715" s="77"/>
      <c r="H715" s="77"/>
      <c r="I715" s="77"/>
      <c r="J715" s="86"/>
    </row>
    <row r="716" spans="1:10" s="78" customFormat="1" ht="21" customHeight="1">
      <c r="A716" s="77"/>
      <c r="B716" s="77"/>
      <c r="C716" s="89"/>
      <c r="D716" s="86"/>
      <c r="E716" s="77"/>
      <c r="F716" s="77"/>
      <c r="G716" s="77"/>
      <c r="H716" s="77"/>
      <c r="I716" s="77"/>
      <c r="J716" s="86"/>
    </row>
    <row r="717" spans="1:10" s="78" customFormat="1" ht="21" customHeight="1">
      <c r="A717" s="77"/>
      <c r="B717" s="77"/>
      <c r="C717" s="89"/>
      <c r="D717" s="86"/>
      <c r="E717" s="77"/>
      <c r="F717" s="77"/>
      <c r="G717" s="77"/>
      <c r="H717" s="77"/>
      <c r="I717" s="77"/>
      <c r="J717" s="86"/>
    </row>
    <row r="718" spans="1:10" s="78" customFormat="1" ht="21" customHeight="1">
      <c r="A718" s="77"/>
      <c r="B718" s="77"/>
      <c r="C718" s="89"/>
      <c r="D718" s="86"/>
      <c r="E718" s="77"/>
      <c r="F718" s="77"/>
      <c r="G718" s="77"/>
      <c r="H718" s="77"/>
      <c r="I718" s="77"/>
      <c r="J718" s="86"/>
    </row>
    <row r="719" spans="1:10" s="78" customFormat="1" ht="21" customHeight="1">
      <c r="A719" s="77"/>
      <c r="B719" s="77"/>
      <c r="C719" s="89"/>
      <c r="D719" s="86"/>
      <c r="E719" s="77"/>
      <c r="F719" s="77"/>
      <c r="G719" s="77"/>
      <c r="H719" s="77"/>
      <c r="I719" s="77"/>
      <c r="J719" s="86"/>
    </row>
    <row r="720" spans="1:10" s="80" customFormat="1" ht="21" customHeight="1">
      <c r="A720" s="77"/>
      <c r="B720" s="77"/>
      <c r="C720" s="89"/>
      <c r="D720" s="86"/>
      <c r="E720" s="77"/>
      <c r="F720" s="77"/>
      <c r="G720" s="77"/>
      <c r="H720" s="77"/>
      <c r="I720" s="77"/>
      <c r="J720" s="86"/>
    </row>
    <row r="721" spans="1:10" s="80" customFormat="1" ht="21" customHeight="1">
      <c r="A721" s="77"/>
      <c r="B721" s="77"/>
      <c r="C721" s="89"/>
      <c r="D721" s="86"/>
      <c r="E721" s="77"/>
      <c r="F721" s="77"/>
      <c r="G721" s="77"/>
      <c r="H721" s="77"/>
      <c r="I721" s="77"/>
      <c r="J721" s="86"/>
    </row>
    <row r="722" spans="1:10" s="78" customFormat="1" ht="21" customHeight="1">
      <c r="A722" s="77"/>
      <c r="B722" s="77"/>
      <c r="C722" s="89"/>
      <c r="D722" s="86"/>
      <c r="E722" s="77"/>
      <c r="F722" s="77"/>
      <c r="G722" s="77"/>
      <c r="H722" s="77"/>
      <c r="I722" s="77"/>
      <c r="J722" s="86"/>
    </row>
    <row r="723" spans="1:10" s="78" customFormat="1" ht="21" customHeight="1">
      <c r="A723" s="77"/>
      <c r="B723" s="77"/>
      <c r="C723" s="89"/>
      <c r="D723" s="86"/>
      <c r="E723" s="77"/>
      <c r="F723" s="77"/>
      <c r="G723" s="77"/>
      <c r="H723" s="77"/>
      <c r="I723" s="77"/>
      <c r="J723" s="86"/>
    </row>
    <row r="724" spans="1:10" s="78" customFormat="1" ht="21" customHeight="1">
      <c r="A724" s="77"/>
      <c r="B724" s="77"/>
      <c r="C724" s="89"/>
      <c r="D724" s="86"/>
      <c r="E724" s="77"/>
      <c r="F724" s="77"/>
      <c r="G724" s="77"/>
      <c r="H724" s="77"/>
      <c r="I724" s="77"/>
      <c r="J724" s="86"/>
    </row>
    <row r="725" spans="1:10" s="78" customFormat="1" ht="21" customHeight="1">
      <c r="A725" s="77"/>
      <c r="B725" s="77"/>
      <c r="C725" s="89"/>
      <c r="D725" s="86"/>
      <c r="E725" s="77"/>
      <c r="F725" s="77"/>
      <c r="G725" s="77"/>
      <c r="H725" s="77"/>
      <c r="I725" s="77"/>
      <c r="J725" s="86"/>
    </row>
    <row r="726" spans="1:10" s="78" customFormat="1" ht="21" customHeight="1">
      <c r="A726" s="77"/>
      <c r="B726" s="77"/>
      <c r="C726" s="89"/>
      <c r="D726" s="86"/>
      <c r="E726" s="77"/>
      <c r="F726" s="77"/>
      <c r="G726" s="77"/>
      <c r="H726" s="77"/>
      <c r="I726" s="77"/>
      <c r="J726" s="86"/>
    </row>
    <row r="727" spans="1:10" s="78" customFormat="1" ht="21" customHeight="1">
      <c r="A727" s="77"/>
      <c r="B727" s="77"/>
      <c r="C727" s="89"/>
      <c r="D727" s="86"/>
      <c r="E727" s="77"/>
      <c r="F727" s="77"/>
      <c r="G727" s="77"/>
      <c r="H727" s="77"/>
      <c r="I727" s="77"/>
      <c r="J727" s="86"/>
    </row>
    <row r="728" spans="1:10" s="78" customFormat="1" ht="21" customHeight="1">
      <c r="A728" s="77"/>
      <c r="B728" s="77"/>
      <c r="C728" s="89"/>
      <c r="D728" s="86"/>
      <c r="E728" s="77"/>
      <c r="F728" s="77"/>
      <c r="G728" s="77"/>
      <c r="H728" s="77"/>
      <c r="I728" s="77"/>
      <c r="J728" s="86"/>
    </row>
    <row r="729" spans="1:10" s="78" customFormat="1" ht="21" customHeight="1">
      <c r="A729" s="77"/>
      <c r="B729" s="77"/>
      <c r="C729" s="89"/>
      <c r="D729" s="86"/>
      <c r="E729" s="77"/>
      <c r="F729" s="77"/>
      <c r="G729" s="77"/>
      <c r="H729" s="77"/>
      <c r="I729" s="77"/>
      <c r="J729" s="86"/>
    </row>
    <row r="730" spans="1:10" s="78" customFormat="1" ht="21" customHeight="1">
      <c r="A730" s="77"/>
      <c r="B730" s="77"/>
      <c r="C730" s="89"/>
      <c r="D730" s="86"/>
      <c r="E730" s="77"/>
      <c r="F730" s="77"/>
      <c r="G730" s="77"/>
      <c r="H730" s="77"/>
      <c r="I730" s="77"/>
      <c r="J730" s="86"/>
    </row>
    <row r="731" spans="1:10" s="78" customFormat="1" ht="21" customHeight="1">
      <c r="A731" s="77"/>
      <c r="B731" s="77"/>
      <c r="C731" s="89"/>
      <c r="D731" s="86"/>
      <c r="E731" s="77"/>
      <c r="F731" s="77"/>
      <c r="G731" s="77"/>
      <c r="H731" s="77"/>
      <c r="I731" s="77"/>
      <c r="J731" s="86"/>
    </row>
    <row r="732" spans="1:10" s="78" customFormat="1" ht="21" customHeight="1">
      <c r="A732" s="77"/>
      <c r="B732" s="77"/>
      <c r="C732" s="89"/>
      <c r="D732" s="86"/>
      <c r="E732" s="77"/>
      <c r="F732" s="77"/>
      <c r="G732" s="77"/>
      <c r="H732" s="77"/>
      <c r="I732" s="77"/>
      <c r="J732" s="86"/>
    </row>
    <row r="733" spans="1:10" s="78" customFormat="1" ht="21" customHeight="1">
      <c r="A733" s="77"/>
      <c r="B733" s="77"/>
      <c r="C733" s="89"/>
      <c r="D733" s="86"/>
      <c r="E733" s="77"/>
      <c r="F733" s="77"/>
      <c r="G733" s="77"/>
      <c r="H733" s="77"/>
      <c r="I733" s="77"/>
      <c r="J733" s="86"/>
    </row>
    <row r="734" spans="1:10" s="78" customFormat="1" ht="21" customHeight="1">
      <c r="A734" s="77"/>
      <c r="B734" s="77"/>
      <c r="C734" s="89"/>
      <c r="D734" s="86"/>
      <c r="E734" s="77"/>
      <c r="F734" s="77"/>
      <c r="G734" s="77"/>
      <c r="H734" s="77"/>
      <c r="I734" s="77"/>
      <c r="J734" s="86"/>
    </row>
    <row r="735" spans="1:10" s="78" customFormat="1" ht="21" customHeight="1">
      <c r="A735" s="77"/>
      <c r="B735" s="77"/>
      <c r="C735" s="89"/>
      <c r="D735" s="86"/>
      <c r="E735" s="77"/>
      <c r="F735" s="77"/>
      <c r="G735" s="77"/>
      <c r="H735" s="77"/>
      <c r="I735" s="77"/>
      <c r="J735" s="86"/>
    </row>
    <row r="736" spans="1:10" s="78" customFormat="1" ht="21" customHeight="1">
      <c r="A736" s="77"/>
      <c r="B736" s="77"/>
      <c r="C736" s="89"/>
      <c r="D736" s="86"/>
      <c r="E736" s="77"/>
      <c r="F736" s="77"/>
      <c r="G736" s="77"/>
      <c r="H736" s="77"/>
      <c r="I736" s="77"/>
      <c r="J736" s="86"/>
    </row>
    <row r="737" spans="1:10" s="78" customFormat="1" ht="21" customHeight="1">
      <c r="A737" s="77"/>
      <c r="B737" s="77"/>
      <c r="C737" s="89"/>
      <c r="D737" s="86"/>
      <c r="E737" s="77"/>
      <c r="F737" s="77"/>
      <c r="G737" s="77"/>
      <c r="H737" s="77"/>
      <c r="I737" s="77"/>
      <c r="J737" s="86"/>
    </row>
    <row r="738" spans="1:10" s="78" customFormat="1" ht="21" customHeight="1">
      <c r="A738" s="77"/>
      <c r="B738" s="77"/>
      <c r="C738" s="89"/>
      <c r="D738" s="86"/>
      <c r="E738" s="77"/>
      <c r="F738" s="77"/>
      <c r="G738" s="77"/>
      <c r="H738" s="77"/>
      <c r="I738" s="77"/>
      <c r="J738" s="86"/>
    </row>
    <row r="739" spans="1:10" s="78" customFormat="1" ht="21" customHeight="1">
      <c r="A739" s="77"/>
      <c r="B739" s="77"/>
      <c r="C739" s="89"/>
      <c r="D739" s="86"/>
      <c r="E739" s="77"/>
      <c r="F739" s="77"/>
      <c r="G739" s="77"/>
      <c r="H739" s="77"/>
      <c r="I739" s="77"/>
      <c r="J739" s="86"/>
    </row>
    <row r="740" spans="1:10" s="81" customFormat="1" ht="21" customHeight="1">
      <c r="A740" s="77"/>
      <c r="B740" s="77"/>
      <c r="C740" s="89"/>
      <c r="D740" s="86"/>
      <c r="E740" s="77"/>
      <c r="F740" s="77"/>
      <c r="G740" s="77"/>
      <c r="H740" s="77"/>
      <c r="I740" s="77"/>
      <c r="J740" s="86"/>
    </row>
    <row r="741" spans="1:10" s="81" customFormat="1" ht="21" customHeight="1">
      <c r="A741" s="77"/>
      <c r="B741" s="77"/>
      <c r="C741" s="89"/>
      <c r="D741" s="86"/>
      <c r="E741" s="77"/>
      <c r="F741" s="77"/>
      <c r="G741" s="77"/>
      <c r="H741" s="77"/>
      <c r="I741" s="77"/>
      <c r="J741" s="86"/>
    </row>
    <row r="742" spans="1:10" s="81" customFormat="1" ht="21" customHeight="1">
      <c r="A742" s="77"/>
      <c r="B742" s="77"/>
      <c r="C742" s="89"/>
      <c r="D742" s="86"/>
      <c r="E742" s="77"/>
      <c r="F742" s="77"/>
      <c r="G742" s="77"/>
      <c r="H742" s="77"/>
      <c r="I742" s="77"/>
      <c r="J742" s="86"/>
    </row>
    <row r="743" spans="1:10" s="81" customFormat="1" ht="21" customHeight="1">
      <c r="A743" s="77"/>
      <c r="B743" s="77"/>
      <c r="C743" s="89"/>
      <c r="D743" s="86"/>
      <c r="E743" s="77"/>
      <c r="F743" s="77"/>
      <c r="G743" s="77"/>
      <c r="H743" s="77"/>
      <c r="I743" s="77"/>
      <c r="J743" s="86"/>
    </row>
    <row r="744" spans="1:10" s="81" customFormat="1" ht="21" customHeight="1">
      <c r="A744" s="77"/>
      <c r="B744" s="77"/>
      <c r="C744" s="89"/>
      <c r="D744" s="86"/>
      <c r="E744" s="77"/>
      <c r="F744" s="77"/>
      <c r="G744" s="77"/>
      <c r="H744" s="77"/>
      <c r="I744" s="77"/>
      <c r="J744" s="86"/>
    </row>
    <row r="745" spans="1:10" s="81" customFormat="1" ht="21" customHeight="1">
      <c r="A745" s="77"/>
      <c r="B745" s="77"/>
      <c r="C745" s="89"/>
      <c r="D745" s="86"/>
      <c r="E745" s="77"/>
      <c r="F745" s="77"/>
      <c r="G745" s="77"/>
      <c r="H745" s="77"/>
      <c r="I745" s="77"/>
      <c r="J745" s="86"/>
    </row>
    <row r="746" spans="1:10" s="81" customFormat="1" ht="21" customHeight="1">
      <c r="A746" s="77"/>
      <c r="B746" s="77"/>
      <c r="C746" s="89"/>
      <c r="D746" s="86"/>
      <c r="E746" s="77"/>
      <c r="F746" s="77"/>
      <c r="G746" s="77"/>
      <c r="H746" s="77"/>
      <c r="I746" s="77"/>
      <c r="J746" s="86"/>
    </row>
    <row r="747" spans="1:10" s="78" customFormat="1" ht="21" customHeight="1">
      <c r="A747" s="77"/>
      <c r="B747" s="77"/>
      <c r="C747" s="89"/>
      <c r="D747" s="86"/>
      <c r="E747" s="77"/>
      <c r="F747" s="77"/>
      <c r="G747" s="77"/>
      <c r="H747" s="77"/>
      <c r="I747" s="77"/>
      <c r="J747" s="86"/>
    </row>
    <row r="748" spans="1:10" s="78" customFormat="1" ht="21" customHeight="1">
      <c r="A748" s="77"/>
      <c r="B748" s="77"/>
      <c r="C748" s="89"/>
      <c r="D748" s="86"/>
      <c r="E748" s="77"/>
      <c r="F748" s="77"/>
      <c r="G748" s="77"/>
      <c r="H748" s="77"/>
      <c r="I748" s="77"/>
      <c r="J748" s="86"/>
    </row>
    <row r="749" spans="1:10" s="78" customFormat="1" ht="21" customHeight="1">
      <c r="A749" s="77"/>
      <c r="B749" s="77"/>
      <c r="C749" s="89"/>
      <c r="D749" s="86"/>
      <c r="E749" s="77"/>
      <c r="F749" s="77"/>
      <c r="G749" s="77"/>
      <c r="H749" s="77"/>
      <c r="I749" s="77"/>
      <c r="J749" s="86"/>
    </row>
    <row r="750" spans="1:10" s="78" customFormat="1" ht="21" customHeight="1">
      <c r="A750" s="77"/>
      <c r="B750" s="77"/>
      <c r="C750" s="89"/>
      <c r="D750" s="86"/>
      <c r="E750" s="77"/>
      <c r="F750" s="77"/>
      <c r="G750" s="77"/>
      <c r="H750" s="77"/>
      <c r="I750" s="77"/>
      <c r="J750" s="86"/>
    </row>
    <row r="751" spans="1:10" s="78" customFormat="1" ht="21" customHeight="1">
      <c r="A751" s="77"/>
      <c r="B751" s="77"/>
      <c r="C751" s="89"/>
      <c r="D751" s="86"/>
      <c r="E751" s="77"/>
      <c r="F751" s="77"/>
      <c r="G751" s="77"/>
      <c r="H751" s="77"/>
      <c r="I751" s="77"/>
      <c r="J751" s="86"/>
    </row>
    <row r="752" spans="1:10" s="78" customFormat="1" ht="21" customHeight="1">
      <c r="A752" s="77"/>
      <c r="B752" s="77"/>
      <c r="C752" s="89"/>
      <c r="D752" s="86"/>
      <c r="E752" s="77"/>
      <c r="F752" s="77"/>
      <c r="G752" s="77"/>
      <c r="H752" s="77"/>
      <c r="I752" s="77"/>
      <c r="J752" s="86"/>
    </row>
    <row r="753" spans="1:10" s="78" customFormat="1" ht="21" customHeight="1">
      <c r="A753" s="77"/>
      <c r="B753" s="77"/>
      <c r="C753" s="89"/>
      <c r="D753" s="86"/>
      <c r="E753" s="77"/>
      <c r="F753" s="77"/>
      <c r="G753" s="77"/>
      <c r="H753" s="77"/>
      <c r="I753" s="77"/>
      <c r="J753" s="86"/>
    </row>
    <row r="754" spans="1:10" s="78" customFormat="1" ht="21" customHeight="1">
      <c r="A754" s="77"/>
      <c r="B754" s="77"/>
      <c r="C754" s="89"/>
      <c r="D754" s="86"/>
      <c r="E754" s="77"/>
      <c r="F754" s="77"/>
      <c r="G754" s="77"/>
      <c r="H754" s="77"/>
      <c r="I754" s="77"/>
      <c r="J754" s="86"/>
    </row>
    <row r="755" spans="1:10" s="78" customFormat="1" ht="21" customHeight="1">
      <c r="A755" s="77"/>
      <c r="B755" s="77"/>
      <c r="C755" s="89"/>
      <c r="D755" s="86"/>
      <c r="E755" s="77"/>
      <c r="F755" s="77"/>
      <c r="G755" s="77"/>
      <c r="H755" s="77"/>
      <c r="I755" s="77"/>
      <c r="J755" s="86"/>
    </row>
    <row r="756" spans="1:10" s="78" customFormat="1" ht="21" customHeight="1">
      <c r="A756" s="77"/>
      <c r="B756" s="77"/>
      <c r="C756" s="89"/>
      <c r="D756" s="86"/>
      <c r="E756" s="77"/>
      <c r="F756" s="77"/>
      <c r="G756" s="77"/>
      <c r="H756" s="77"/>
      <c r="I756" s="77"/>
      <c r="J756" s="86"/>
    </row>
    <row r="757" spans="1:10" s="78" customFormat="1" ht="21" customHeight="1">
      <c r="A757" s="77"/>
      <c r="B757" s="77"/>
      <c r="C757" s="89"/>
      <c r="D757" s="86"/>
      <c r="E757" s="77"/>
      <c r="F757" s="77"/>
      <c r="G757" s="77"/>
      <c r="H757" s="77"/>
      <c r="I757" s="77"/>
      <c r="J757" s="86"/>
    </row>
    <row r="758" spans="1:10" s="78" customFormat="1" ht="21" customHeight="1">
      <c r="A758" s="77"/>
      <c r="B758" s="77"/>
      <c r="C758" s="89"/>
      <c r="D758" s="86"/>
      <c r="E758" s="77"/>
      <c r="F758" s="77"/>
      <c r="G758" s="77"/>
      <c r="H758" s="77"/>
      <c r="I758" s="77"/>
      <c r="J758" s="86"/>
    </row>
    <row r="759" spans="1:10" s="78" customFormat="1" ht="21" customHeight="1">
      <c r="A759" s="77"/>
      <c r="B759" s="77"/>
      <c r="C759" s="89"/>
      <c r="D759" s="86"/>
      <c r="E759" s="77"/>
      <c r="F759" s="77"/>
      <c r="G759" s="77"/>
      <c r="H759" s="77"/>
      <c r="I759" s="77"/>
      <c r="J759" s="86"/>
    </row>
    <row r="760" spans="1:10" s="78" customFormat="1" ht="21" customHeight="1">
      <c r="A760" s="77"/>
      <c r="B760" s="77"/>
      <c r="C760" s="89"/>
      <c r="D760" s="86"/>
      <c r="E760" s="77"/>
      <c r="F760" s="77"/>
      <c r="G760" s="77"/>
      <c r="H760" s="77"/>
      <c r="I760" s="77"/>
      <c r="J760" s="86"/>
    </row>
    <row r="761" spans="1:10" s="78" customFormat="1" ht="21" customHeight="1">
      <c r="A761" s="77"/>
      <c r="B761" s="77"/>
      <c r="C761" s="89"/>
      <c r="D761" s="86"/>
      <c r="E761" s="77"/>
      <c r="F761" s="77"/>
      <c r="G761" s="77"/>
      <c r="H761" s="77"/>
      <c r="I761" s="77"/>
      <c r="J761" s="86"/>
    </row>
    <row r="762" spans="1:10" s="78" customFormat="1" ht="21" customHeight="1">
      <c r="A762" s="77"/>
      <c r="B762" s="77"/>
      <c r="C762" s="89"/>
      <c r="D762" s="86"/>
      <c r="E762" s="77"/>
      <c r="F762" s="77"/>
      <c r="G762" s="77"/>
      <c r="H762" s="77"/>
      <c r="I762" s="77"/>
      <c r="J762" s="86"/>
    </row>
    <row r="763" spans="1:10" s="80" customFormat="1" ht="21" customHeight="1">
      <c r="A763" s="77"/>
      <c r="B763" s="77"/>
      <c r="C763" s="89"/>
      <c r="D763" s="86"/>
      <c r="E763" s="77"/>
      <c r="F763" s="77"/>
      <c r="G763" s="77"/>
      <c r="H763" s="77"/>
      <c r="I763" s="77"/>
      <c r="J763" s="86"/>
    </row>
    <row r="764" spans="1:10" s="78" customFormat="1" ht="21" customHeight="1">
      <c r="A764" s="77"/>
      <c r="B764" s="77"/>
      <c r="C764" s="89"/>
      <c r="D764" s="86"/>
      <c r="E764" s="77"/>
      <c r="F764" s="77"/>
      <c r="G764" s="77"/>
      <c r="H764" s="77"/>
      <c r="I764" s="77"/>
      <c r="J764" s="86"/>
    </row>
    <row r="765" spans="1:10" s="78" customFormat="1" ht="21" customHeight="1">
      <c r="A765" s="77"/>
      <c r="B765" s="77"/>
      <c r="C765" s="89"/>
      <c r="D765" s="86"/>
      <c r="E765" s="77"/>
      <c r="F765" s="77"/>
      <c r="G765" s="77"/>
      <c r="H765" s="77"/>
      <c r="I765" s="77"/>
      <c r="J765" s="86"/>
    </row>
    <row r="766" spans="1:10" s="78" customFormat="1" ht="21" customHeight="1">
      <c r="A766" s="77"/>
      <c r="B766" s="77"/>
      <c r="C766" s="89"/>
      <c r="D766" s="86"/>
      <c r="E766" s="77"/>
      <c r="F766" s="77"/>
      <c r="G766" s="77"/>
      <c r="H766" s="77"/>
      <c r="I766" s="77"/>
      <c r="J766" s="86"/>
    </row>
    <row r="767" spans="1:10" s="78" customFormat="1" ht="21" customHeight="1">
      <c r="A767" s="77"/>
      <c r="B767" s="77"/>
      <c r="C767" s="89"/>
      <c r="D767" s="86"/>
      <c r="E767" s="77"/>
      <c r="F767" s="77"/>
      <c r="G767" s="77"/>
      <c r="H767" s="77"/>
      <c r="I767" s="77"/>
      <c r="J767" s="86"/>
    </row>
    <row r="768" spans="1:10" s="78" customFormat="1" ht="21" customHeight="1">
      <c r="A768" s="77"/>
      <c r="B768" s="77"/>
      <c r="C768" s="89"/>
      <c r="D768" s="86"/>
      <c r="E768" s="77"/>
      <c r="F768" s="77"/>
      <c r="G768" s="77"/>
      <c r="H768" s="77"/>
      <c r="I768" s="77"/>
      <c r="J768" s="86"/>
    </row>
    <row r="769" spans="1:10" s="78" customFormat="1" ht="21" customHeight="1">
      <c r="A769" s="77"/>
      <c r="B769" s="77"/>
      <c r="C769" s="89"/>
      <c r="D769" s="86"/>
      <c r="E769" s="77"/>
      <c r="F769" s="77"/>
      <c r="G769" s="77"/>
      <c r="H769" s="77"/>
      <c r="I769" s="77"/>
      <c r="J769" s="86"/>
    </row>
    <row r="770" spans="1:10" s="78" customFormat="1" ht="21" customHeight="1">
      <c r="A770" s="77"/>
      <c r="B770" s="77"/>
      <c r="C770" s="89"/>
      <c r="D770" s="86"/>
      <c r="E770" s="77"/>
      <c r="F770" s="77"/>
      <c r="G770" s="77"/>
      <c r="H770" s="77"/>
      <c r="I770" s="77"/>
      <c r="J770" s="86"/>
    </row>
    <row r="771" spans="1:10" s="78" customFormat="1" ht="21" customHeight="1">
      <c r="A771" s="77"/>
      <c r="B771" s="77"/>
      <c r="C771" s="89"/>
      <c r="D771" s="86"/>
      <c r="E771" s="77"/>
      <c r="F771" s="77"/>
      <c r="G771" s="77"/>
      <c r="H771" s="77"/>
      <c r="I771" s="77"/>
      <c r="J771" s="86"/>
    </row>
    <row r="772" spans="1:10" s="78" customFormat="1" ht="21" customHeight="1">
      <c r="A772" s="77"/>
      <c r="B772" s="77"/>
      <c r="C772" s="89"/>
      <c r="D772" s="86"/>
      <c r="E772" s="77"/>
      <c r="F772" s="77"/>
      <c r="G772" s="77"/>
      <c r="H772" s="77"/>
      <c r="I772" s="77"/>
      <c r="J772" s="86"/>
    </row>
    <row r="773" spans="1:10" s="78" customFormat="1" ht="21" customHeight="1">
      <c r="A773" s="77"/>
      <c r="B773" s="77"/>
      <c r="C773" s="89"/>
      <c r="D773" s="86"/>
      <c r="E773" s="77"/>
      <c r="F773" s="77"/>
      <c r="G773" s="77"/>
      <c r="H773" s="77"/>
      <c r="I773" s="77"/>
      <c r="J773" s="86"/>
    </row>
    <row r="774" spans="1:10" s="78" customFormat="1" ht="21" customHeight="1">
      <c r="A774" s="77"/>
      <c r="B774" s="77"/>
      <c r="C774" s="89"/>
      <c r="D774" s="86"/>
      <c r="E774" s="77"/>
      <c r="F774" s="77"/>
      <c r="G774" s="77"/>
      <c r="H774" s="77"/>
      <c r="I774" s="77"/>
      <c r="J774" s="86"/>
    </row>
    <row r="775" spans="1:10" s="78" customFormat="1" ht="21" customHeight="1">
      <c r="A775" s="77"/>
      <c r="B775" s="77"/>
      <c r="C775" s="89"/>
      <c r="D775" s="86"/>
      <c r="E775" s="77"/>
      <c r="F775" s="77"/>
      <c r="G775" s="77"/>
      <c r="H775" s="77"/>
      <c r="I775" s="77"/>
      <c r="J775" s="86"/>
    </row>
    <row r="776" spans="1:10" s="78" customFormat="1" ht="21" customHeight="1">
      <c r="A776" s="77"/>
      <c r="B776" s="77"/>
      <c r="C776" s="89"/>
      <c r="D776" s="86"/>
      <c r="E776" s="77"/>
      <c r="F776" s="77"/>
      <c r="G776" s="77"/>
      <c r="H776" s="77"/>
      <c r="I776" s="77"/>
      <c r="J776" s="86"/>
    </row>
    <row r="777" spans="1:10" s="78" customFormat="1" ht="21" customHeight="1">
      <c r="A777" s="77"/>
      <c r="B777" s="77"/>
      <c r="C777" s="89"/>
      <c r="D777" s="86"/>
      <c r="E777" s="77"/>
      <c r="F777" s="77"/>
      <c r="G777" s="77"/>
      <c r="H777" s="77"/>
      <c r="I777" s="77"/>
      <c r="J777" s="86"/>
    </row>
    <row r="778" spans="1:10" s="78" customFormat="1" ht="21" customHeight="1">
      <c r="A778" s="77"/>
      <c r="B778" s="77"/>
      <c r="C778" s="89"/>
      <c r="D778" s="86"/>
      <c r="E778" s="77"/>
      <c r="F778" s="77"/>
      <c r="G778" s="77"/>
      <c r="H778" s="77"/>
      <c r="I778" s="77"/>
      <c r="J778" s="86"/>
    </row>
    <row r="779" spans="1:10" s="78" customFormat="1" ht="21" customHeight="1">
      <c r="A779" s="77"/>
      <c r="B779" s="77"/>
      <c r="C779" s="89"/>
      <c r="D779" s="86"/>
      <c r="E779" s="77"/>
      <c r="F779" s="77"/>
      <c r="G779" s="77"/>
      <c r="H779" s="77"/>
      <c r="I779" s="77"/>
      <c r="J779" s="86"/>
    </row>
    <row r="780" spans="1:10" s="78" customFormat="1" ht="21" customHeight="1">
      <c r="A780" s="77"/>
      <c r="B780" s="77"/>
      <c r="C780" s="89"/>
      <c r="D780" s="86"/>
      <c r="E780" s="77"/>
      <c r="F780" s="77"/>
      <c r="G780" s="77"/>
      <c r="H780" s="77"/>
      <c r="I780" s="77"/>
      <c r="J780" s="86"/>
    </row>
    <row r="781" spans="1:10" s="78" customFormat="1" ht="21" customHeight="1">
      <c r="A781" s="77"/>
      <c r="B781" s="77"/>
      <c r="C781" s="89"/>
      <c r="D781" s="86"/>
      <c r="E781" s="77"/>
      <c r="F781" s="77"/>
      <c r="G781" s="77"/>
      <c r="H781" s="77"/>
      <c r="I781" s="77"/>
      <c r="J781" s="86"/>
    </row>
    <row r="782" spans="1:10" s="80" customFormat="1" ht="21" customHeight="1">
      <c r="A782" s="77"/>
      <c r="B782" s="77"/>
      <c r="C782" s="89"/>
      <c r="D782" s="86"/>
      <c r="E782" s="77"/>
      <c r="F782" s="77"/>
      <c r="G782" s="77"/>
      <c r="H782" s="77"/>
      <c r="I782" s="77"/>
      <c r="J782" s="86"/>
    </row>
    <row r="783" spans="1:10" s="80" customFormat="1" ht="21" customHeight="1">
      <c r="A783" s="77"/>
      <c r="B783" s="77"/>
      <c r="C783" s="89"/>
      <c r="D783" s="86"/>
      <c r="E783" s="77"/>
      <c r="F783" s="77"/>
      <c r="G783" s="77"/>
      <c r="H783" s="77"/>
      <c r="I783" s="77"/>
      <c r="J783" s="86"/>
    </row>
    <row r="784" spans="1:10" s="80" customFormat="1" ht="21" customHeight="1">
      <c r="A784" s="77"/>
      <c r="B784" s="77"/>
      <c r="C784" s="89"/>
      <c r="D784" s="86"/>
      <c r="E784" s="77"/>
      <c r="F784" s="77"/>
      <c r="G784" s="77"/>
      <c r="H784" s="77"/>
      <c r="I784" s="77"/>
      <c r="J784" s="86"/>
    </row>
    <row r="785" spans="1:10" s="80" customFormat="1" ht="21" customHeight="1">
      <c r="A785" s="77"/>
      <c r="B785" s="77"/>
      <c r="C785" s="89"/>
      <c r="D785" s="86"/>
      <c r="E785" s="77"/>
      <c r="F785" s="77"/>
      <c r="G785" s="77"/>
      <c r="H785" s="77"/>
      <c r="I785" s="77"/>
      <c r="J785" s="86"/>
    </row>
    <row r="786" spans="1:10" s="80" customFormat="1" ht="21" customHeight="1">
      <c r="A786" s="77"/>
      <c r="B786" s="77"/>
      <c r="C786" s="89"/>
      <c r="D786" s="86"/>
      <c r="E786" s="77"/>
      <c r="F786" s="77"/>
      <c r="G786" s="77"/>
      <c r="H786" s="77"/>
      <c r="I786" s="77"/>
      <c r="J786" s="86"/>
    </row>
    <row r="787" spans="1:10" s="80" customFormat="1" ht="21" customHeight="1">
      <c r="A787" s="77"/>
      <c r="B787" s="77"/>
      <c r="C787" s="89"/>
      <c r="D787" s="86"/>
      <c r="E787" s="77"/>
      <c r="F787" s="77"/>
      <c r="G787" s="77"/>
      <c r="H787" s="77"/>
      <c r="I787" s="77"/>
      <c r="J787" s="86"/>
    </row>
    <row r="788" spans="1:10" s="80" customFormat="1" ht="21" customHeight="1">
      <c r="A788" s="77"/>
      <c r="B788" s="77"/>
      <c r="C788" s="89"/>
      <c r="D788" s="86"/>
      <c r="E788" s="77"/>
      <c r="F788" s="77"/>
      <c r="G788" s="77"/>
      <c r="H788" s="77"/>
      <c r="I788" s="77"/>
      <c r="J788" s="86"/>
    </row>
    <row r="789" spans="1:10" s="80" customFormat="1" ht="63" customHeight="1">
      <c r="A789" s="77"/>
      <c r="B789" s="77"/>
      <c r="C789" s="89"/>
      <c r="D789" s="86"/>
      <c r="E789" s="77"/>
      <c r="F789" s="77"/>
      <c r="G789" s="77"/>
      <c r="H789" s="77"/>
      <c r="I789" s="77"/>
      <c r="J789" s="86"/>
    </row>
    <row r="790" spans="1:10" s="80" customFormat="1" ht="63" customHeight="1">
      <c r="A790" s="77"/>
      <c r="B790" s="77"/>
      <c r="C790" s="89"/>
      <c r="D790" s="86"/>
      <c r="E790" s="77"/>
      <c r="F790" s="77"/>
      <c r="G790" s="77"/>
      <c r="H790" s="77"/>
      <c r="I790" s="77"/>
      <c r="J790" s="86"/>
    </row>
    <row r="791" spans="1:10" s="80" customFormat="1" ht="63" customHeight="1">
      <c r="A791" s="77"/>
      <c r="B791" s="77"/>
      <c r="C791" s="89"/>
      <c r="D791" s="86"/>
      <c r="E791" s="77"/>
      <c r="F791" s="77"/>
      <c r="G791" s="77"/>
      <c r="H791" s="77"/>
      <c r="I791" s="77"/>
      <c r="J791" s="86"/>
    </row>
    <row r="792" spans="1:10" s="82" customFormat="1" ht="42" customHeight="1">
      <c r="A792" s="77"/>
      <c r="B792" s="77"/>
      <c r="C792" s="89"/>
      <c r="D792" s="86"/>
      <c r="E792" s="77"/>
      <c r="F792" s="77"/>
      <c r="G792" s="77"/>
      <c r="H792" s="77"/>
      <c r="I792" s="77"/>
      <c r="J792" s="86"/>
    </row>
    <row r="793" spans="1:10" s="82" customFormat="1" ht="42" customHeight="1">
      <c r="A793" s="77"/>
      <c r="B793" s="77"/>
      <c r="C793" s="89"/>
      <c r="D793" s="86"/>
      <c r="E793" s="77"/>
      <c r="F793" s="77"/>
      <c r="G793" s="77"/>
      <c r="H793" s="77"/>
      <c r="I793" s="77"/>
      <c r="J793" s="86"/>
    </row>
    <row r="794" spans="1:10" s="80" customFormat="1" ht="21" customHeight="1">
      <c r="A794" s="77"/>
      <c r="B794" s="77"/>
      <c r="C794" s="89"/>
      <c r="D794" s="86"/>
      <c r="E794" s="77"/>
      <c r="F794" s="77"/>
      <c r="G794" s="77"/>
      <c r="H794" s="77"/>
      <c r="I794" s="77"/>
      <c r="J794" s="86"/>
    </row>
    <row r="795" spans="1:10" s="80" customFormat="1" ht="21" customHeight="1">
      <c r="A795" s="77"/>
      <c r="B795" s="77"/>
      <c r="C795" s="89"/>
      <c r="D795" s="86"/>
      <c r="E795" s="77"/>
      <c r="F795" s="77"/>
      <c r="G795" s="77"/>
      <c r="H795" s="77"/>
      <c r="I795" s="77"/>
      <c r="J795" s="86"/>
    </row>
    <row r="796" spans="1:10" s="80" customFormat="1" ht="21" customHeight="1">
      <c r="A796" s="77"/>
      <c r="B796" s="77"/>
      <c r="C796" s="89"/>
      <c r="D796" s="86"/>
      <c r="E796" s="77"/>
      <c r="F796" s="77"/>
      <c r="G796" s="77"/>
      <c r="H796" s="77"/>
      <c r="I796" s="77"/>
      <c r="J796" s="86"/>
    </row>
    <row r="797" spans="1:10" s="80" customFormat="1" ht="42" customHeight="1">
      <c r="A797" s="77"/>
      <c r="B797" s="77"/>
      <c r="C797" s="89"/>
      <c r="D797" s="86"/>
      <c r="E797" s="77"/>
      <c r="F797" s="77"/>
      <c r="G797" s="77"/>
      <c r="H797" s="77"/>
      <c r="I797" s="77"/>
      <c r="J797" s="86"/>
    </row>
    <row r="798" spans="1:10" s="80" customFormat="1" ht="42" customHeight="1">
      <c r="A798" s="77"/>
      <c r="B798" s="77"/>
      <c r="C798" s="89"/>
      <c r="D798" s="86"/>
      <c r="E798" s="77"/>
      <c r="F798" s="77"/>
      <c r="G798" s="77"/>
      <c r="H798" s="77"/>
      <c r="I798" s="77"/>
      <c r="J798" s="86"/>
    </row>
    <row r="799" spans="1:10" s="80" customFormat="1" ht="42" customHeight="1">
      <c r="A799" s="77"/>
      <c r="B799" s="77"/>
      <c r="C799" s="89"/>
      <c r="D799" s="86"/>
      <c r="E799" s="77"/>
      <c r="F799" s="77"/>
      <c r="G799" s="77"/>
      <c r="H799" s="77"/>
      <c r="I799" s="77"/>
      <c r="J799" s="86"/>
    </row>
    <row r="800" spans="1:10" s="83" customFormat="1" ht="21" customHeight="1">
      <c r="A800" s="77"/>
      <c r="B800" s="77"/>
      <c r="C800" s="89"/>
      <c r="D800" s="86"/>
      <c r="E800" s="77"/>
      <c r="F800" s="77"/>
      <c r="G800" s="77"/>
      <c r="H800" s="77"/>
      <c r="I800" s="77"/>
      <c r="J800" s="86"/>
    </row>
    <row r="801" spans="1:10" s="83" customFormat="1" ht="21" customHeight="1">
      <c r="A801" s="77"/>
      <c r="B801" s="77"/>
      <c r="C801" s="89"/>
      <c r="D801" s="86"/>
      <c r="E801" s="77"/>
      <c r="F801" s="77"/>
      <c r="G801" s="77"/>
      <c r="H801" s="77"/>
      <c r="I801" s="77"/>
      <c r="J801" s="86"/>
    </row>
  </sheetData>
  <mergeCells count="9">
    <mergeCell ref="A406:D406"/>
    <mergeCell ref="A1:J1"/>
    <mergeCell ref="A8:A9"/>
    <mergeCell ref="B8:B9"/>
    <mergeCell ref="C8:C9"/>
    <mergeCell ref="D8:D9"/>
    <mergeCell ref="E8:F8"/>
    <mergeCell ref="G8:H8"/>
    <mergeCell ref="J8:J9"/>
  </mergeCells>
  <conditionalFormatting sqref="B118">
    <cfRule type="cellIs" dxfId="1" priority="2" operator="equal">
      <formula>"เหล็กเส้น"</formula>
    </cfRule>
  </conditionalFormatting>
  <conditionalFormatting sqref="B128">
    <cfRule type="cellIs" dxfId="0" priority="1" operator="equal">
      <formula>"เหล็กเส้น"</formula>
    </cfRule>
  </conditionalFormatting>
  <printOptions horizontalCentered="1"/>
  <pageMargins left="0.47244094488188981" right="0.47244094488188981" top="0.43307086614173229" bottom="0.78740157480314965" header="0.27559055118110237" footer="0.27559055118110237"/>
  <pageSetup paperSize="9" scale="75" fitToHeight="0" orientation="landscape" r:id="rId1"/>
  <headerFooter>
    <oddHeader>&amp;R&amp;"TH SarabunPSK,ตัวหนา"แบบ ปร.4(ก)  แผ่นที่ &amp;P/&amp;N</oddHeader>
    <oddFooter>&amp;C&amp;"TH Sarabun New,ธรรมดา"นายเทอดพงษ์  ไชยณรงค์                            นางสาวศิริวรรณ  โรโห                        นายสายันต์  ขอนพุดซา                           นายขจรศักดิ์  อสุชีวะ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429"/>
  <sheetViews>
    <sheetView view="pageBreakPreview" zoomScale="115" zoomScaleNormal="130" zoomScaleSheetLayoutView="115" workbookViewId="0">
      <selection activeCell="F24" sqref="F24"/>
    </sheetView>
  </sheetViews>
  <sheetFormatPr defaultColWidth="9.33203125" defaultRowHeight="21" customHeight="1"/>
  <cols>
    <col min="1" max="1" width="8.5" style="77" customWidth="1"/>
    <col min="2" max="2" width="78" style="77" customWidth="1"/>
    <col min="3" max="3" width="12.6640625" style="89" customWidth="1"/>
    <col min="4" max="4" width="9.33203125" style="86" customWidth="1"/>
    <col min="5" max="5" width="17.5" style="77" customWidth="1"/>
    <col min="6" max="6" width="18.5" style="77" customWidth="1"/>
    <col min="7" max="7" width="19.33203125" style="77" customWidth="1"/>
    <col min="8" max="8" width="18.5" style="77" customWidth="1"/>
    <col min="9" max="9" width="20" style="77" customWidth="1"/>
    <col min="10" max="10" width="15.5" style="86" customWidth="1"/>
    <col min="11" max="11" width="4" style="77" customWidth="1"/>
    <col min="12" max="16384" width="9.33203125" style="77"/>
  </cols>
  <sheetData>
    <row r="1" spans="1:10" s="69" customFormat="1" ht="21" customHeight="1">
      <c r="A1" s="438" t="s">
        <v>33</v>
      </c>
      <c r="B1" s="438"/>
      <c r="C1" s="438"/>
      <c r="D1" s="438"/>
      <c r="E1" s="438"/>
      <c r="F1" s="438"/>
      <c r="G1" s="438"/>
      <c r="H1" s="438"/>
      <c r="I1" s="438"/>
      <c r="J1" s="438"/>
    </row>
    <row r="2" spans="1:10" s="69" customFormat="1" ht="21" customHeight="1">
      <c r="A2" s="363" t="str">
        <f>[4]ชื่อโครงการ!A2</f>
        <v>ชื่อโครงการ : โครงการปรับปรุงศูนย์เทคโนโลยีเพื่อการเรียนรู้และพัฒนาทักษะด้านยานยนต์พลังงานใหม่ครบวงจร</v>
      </c>
      <c r="B2" s="71"/>
      <c r="C2" s="72"/>
      <c r="D2" s="72"/>
      <c r="E2" s="70"/>
      <c r="F2" s="70"/>
      <c r="G2" s="70"/>
      <c r="H2" s="70"/>
      <c r="I2" s="70" t="s">
        <v>18</v>
      </c>
      <c r="J2" s="72"/>
    </row>
    <row r="3" spans="1:10" s="69" customFormat="1" ht="21" customHeight="1">
      <c r="A3" s="363" t="str">
        <f>[4]ชื่อโครงการ!A4</f>
        <v>กลุ่มงาน : งานก่อสร้าง</v>
      </c>
      <c r="B3" s="71"/>
      <c r="C3" s="72"/>
      <c r="D3" s="72"/>
      <c r="E3" s="70"/>
      <c r="F3" s="70"/>
      <c r="G3" s="70"/>
      <c r="H3" s="70"/>
      <c r="I3" s="70"/>
      <c r="J3" s="72"/>
    </row>
    <row r="4" spans="1:10" s="69" customFormat="1" ht="21" customHeight="1">
      <c r="A4" s="362" t="str">
        <f>[4]ชื่อโครงการ!B11</f>
        <v>สถานที่ก่อสร้าง : 744 ถนนสุรนารายณ์ ตำบลในเมือง อำเภอเมืองนครราชสีมา จังหวัดนครราชสีมา</v>
      </c>
      <c r="B4" s="74"/>
      <c r="C4" s="75"/>
      <c r="D4" s="75"/>
      <c r="E4" s="73"/>
      <c r="F4" s="73"/>
      <c r="G4" s="73"/>
      <c r="H4" s="362" t="s">
        <v>20</v>
      </c>
      <c r="I4" s="73"/>
      <c r="J4" s="75"/>
    </row>
    <row r="5" spans="1:10" s="69" customFormat="1" ht="21" customHeight="1">
      <c r="A5" s="362" t="str">
        <f>[4]ชื่อโครงการ!C13</f>
        <v>หน่วยงานเจ้าของโครงการ : กองนโยบายและแผน มหาวิทยาลัยเทคโนโลยีราชมงคลอีสาน</v>
      </c>
      <c r="B5" s="74"/>
      <c r="C5" s="75"/>
      <c r="D5" s="75"/>
      <c r="E5" s="73"/>
      <c r="F5" s="73"/>
      <c r="G5" s="73"/>
      <c r="H5" s="73"/>
      <c r="I5" s="73"/>
      <c r="J5" s="75"/>
    </row>
    <row r="6" spans="1:10" s="69" customFormat="1" ht="21" customHeight="1">
      <c r="A6" s="362" t="str">
        <f>ชื่อโครงการ!A9</f>
        <v>คำนวณราคากลาง : โดยคณะกรรมการกำหนดราคากลาง  เมื่อวันที่  16  เดือน  เมษายน  พ.ศ. 2569</v>
      </c>
      <c r="B6" s="93"/>
      <c r="C6" s="75"/>
      <c r="D6" s="75"/>
      <c r="E6" s="76"/>
      <c r="F6" s="76"/>
      <c r="G6" s="73"/>
      <c r="H6" s="76"/>
      <c r="I6" s="76"/>
      <c r="J6" s="75"/>
    </row>
    <row r="7" spans="1:10" ht="21" customHeight="1" thickBot="1">
      <c r="A7" s="94"/>
      <c r="B7" s="91"/>
      <c r="C7" s="95"/>
      <c r="D7" s="95"/>
      <c r="E7" s="94"/>
      <c r="F7" s="94"/>
      <c r="G7" s="94"/>
      <c r="H7" s="94"/>
      <c r="I7" s="94"/>
      <c r="J7" s="95" t="s">
        <v>21</v>
      </c>
    </row>
    <row r="8" spans="1:10" ht="21" customHeight="1" thickTop="1">
      <c r="A8" s="439" t="s">
        <v>15</v>
      </c>
      <c r="B8" s="439" t="s">
        <v>16</v>
      </c>
      <c r="C8" s="439" t="s">
        <v>5</v>
      </c>
      <c r="D8" s="439" t="s">
        <v>6</v>
      </c>
      <c r="E8" s="439" t="s">
        <v>30</v>
      </c>
      <c r="F8" s="439"/>
      <c r="G8" s="439" t="s">
        <v>1</v>
      </c>
      <c r="H8" s="439"/>
      <c r="I8" s="90" t="s">
        <v>31</v>
      </c>
      <c r="J8" s="439" t="s">
        <v>8</v>
      </c>
    </row>
    <row r="9" spans="1:10" ht="21" customHeight="1" thickBot="1">
      <c r="A9" s="440"/>
      <c r="B9" s="440"/>
      <c r="C9" s="441"/>
      <c r="D9" s="441"/>
      <c r="E9" s="92" t="s">
        <v>13</v>
      </c>
      <c r="F9" s="92" t="s">
        <v>7</v>
      </c>
      <c r="G9" s="92" t="s">
        <v>13</v>
      </c>
      <c r="H9" s="92" t="s">
        <v>7</v>
      </c>
      <c r="I9" s="92" t="s">
        <v>12</v>
      </c>
      <c r="J9" s="441"/>
    </row>
    <row r="10" spans="1:10" s="365" customFormat="1" ht="23.1" customHeight="1">
      <c r="A10" s="223">
        <v>1</v>
      </c>
      <c r="B10" s="225" t="s">
        <v>300</v>
      </c>
      <c r="C10" s="209"/>
      <c r="D10" s="371"/>
      <c r="E10" s="219"/>
      <c r="F10" s="372"/>
      <c r="G10" s="208"/>
      <c r="H10" s="208"/>
      <c r="I10" s="367"/>
      <c r="J10" s="220"/>
    </row>
    <row r="11" spans="1:10" s="365" customFormat="1" ht="23.1" customHeight="1">
      <c r="A11" s="224">
        <v>1.1000000000000001</v>
      </c>
      <c r="B11" s="221" t="s">
        <v>301</v>
      </c>
      <c r="C11" s="370">
        <v>1</v>
      </c>
      <c r="D11" s="371" t="s">
        <v>71</v>
      </c>
      <c r="E11" s="219">
        <v>0</v>
      </c>
      <c r="F11" s="367">
        <f t="shared" ref="F11:F17" si="0">E11*C11</f>
        <v>0</v>
      </c>
      <c r="G11" s="206">
        <v>0</v>
      </c>
      <c r="H11" s="206">
        <v>0</v>
      </c>
      <c r="I11" s="367">
        <f t="shared" ref="I11:I17" si="1">F11+H11</f>
        <v>0</v>
      </c>
      <c r="J11" s="207" t="s">
        <v>185</v>
      </c>
    </row>
    <row r="12" spans="1:10" s="365" customFormat="1" ht="23.1" customHeight="1">
      <c r="A12" s="224">
        <v>1.2</v>
      </c>
      <c r="B12" s="221" t="s">
        <v>302</v>
      </c>
      <c r="C12" s="370">
        <v>1</v>
      </c>
      <c r="D12" s="371" t="s">
        <v>71</v>
      </c>
      <c r="E12" s="219">
        <v>0</v>
      </c>
      <c r="F12" s="367">
        <f t="shared" si="0"/>
        <v>0</v>
      </c>
      <c r="G12" s="206">
        <v>0</v>
      </c>
      <c r="H12" s="206">
        <v>0</v>
      </c>
      <c r="I12" s="367">
        <f t="shared" si="1"/>
        <v>0</v>
      </c>
      <c r="J12" s="207" t="s">
        <v>108</v>
      </c>
    </row>
    <row r="13" spans="1:10" s="365" customFormat="1" ht="23.1" customHeight="1">
      <c r="A13" s="224">
        <v>1.3</v>
      </c>
      <c r="B13" s="222" t="s">
        <v>303</v>
      </c>
      <c r="C13" s="370">
        <v>3</v>
      </c>
      <c r="D13" s="371" t="s">
        <v>71</v>
      </c>
      <c r="E13" s="219">
        <v>0</v>
      </c>
      <c r="F13" s="367">
        <f t="shared" si="0"/>
        <v>0</v>
      </c>
      <c r="G13" s="206">
        <v>0</v>
      </c>
      <c r="H13" s="206">
        <v>0</v>
      </c>
      <c r="I13" s="367">
        <f t="shared" si="1"/>
        <v>0</v>
      </c>
      <c r="J13" s="207" t="s">
        <v>185</v>
      </c>
    </row>
    <row r="14" spans="1:10" s="365" customFormat="1" ht="23.1" customHeight="1">
      <c r="A14" s="224">
        <v>1.4</v>
      </c>
      <c r="B14" s="221" t="s">
        <v>279</v>
      </c>
      <c r="C14" s="370">
        <v>1</v>
      </c>
      <c r="D14" s="371" t="s">
        <v>71</v>
      </c>
      <c r="E14" s="219">
        <v>0</v>
      </c>
      <c r="F14" s="367">
        <f t="shared" si="0"/>
        <v>0</v>
      </c>
      <c r="G14" s="206">
        <v>0</v>
      </c>
      <c r="H14" s="206">
        <v>0</v>
      </c>
      <c r="I14" s="367">
        <f t="shared" si="1"/>
        <v>0</v>
      </c>
      <c r="J14" s="207" t="s">
        <v>108</v>
      </c>
    </row>
    <row r="15" spans="1:10" s="365" customFormat="1" ht="23.1" customHeight="1">
      <c r="A15" s="224">
        <v>1.5</v>
      </c>
      <c r="B15" s="221" t="s">
        <v>304</v>
      </c>
      <c r="C15" s="370">
        <v>1</v>
      </c>
      <c r="D15" s="371" t="s">
        <v>71</v>
      </c>
      <c r="E15" s="219">
        <v>0</v>
      </c>
      <c r="F15" s="367">
        <f t="shared" si="0"/>
        <v>0</v>
      </c>
      <c r="G15" s="206">
        <v>0</v>
      </c>
      <c r="H15" s="206">
        <v>0</v>
      </c>
      <c r="I15" s="367">
        <f t="shared" si="1"/>
        <v>0</v>
      </c>
      <c r="J15" s="207" t="s">
        <v>185</v>
      </c>
    </row>
    <row r="16" spans="1:10" s="365" customFormat="1" ht="23.1" customHeight="1">
      <c r="A16" s="224">
        <v>1.6</v>
      </c>
      <c r="B16" s="221" t="s">
        <v>305</v>
      </c>
      <c r="C16" s="370">
        <v>1</v>
      </c>
      <c r="D16" s="369" t="s">
        <v>71</v>
      </c>
      <c r="E16" s="219">
        <v>0</v>
      </c>
      <c r="F16" s="367">
        <f t="shared" si="0"/>
        <v>0</v>
      </c>
      <c r="G16" s="206">
        <v>0</v>
      </c>
      <c r="H16" s="206">
        <v>0</v>
      </c>
      <c r="I16" s="367">
        <f t="shared" si="1"/>
        <v>0</v>
      </c>
      <c r="J16" s="207" t="s">
        <v>108</v>
      </c>
    </row>
    <row r="17" spans="1:10" s="365" customFormat="1" ht="23.1" customHeight="1">
      <c r="A17" s="238" t="s">
        <v>489</v>
      </c>
      <c r="B17" s="239" t="s">
        <v>388</v>
      </c>
      <c r="C17" s="370">
        <v>1</v>
      </c>
      <c r="D17" s="369" t="s">
        <v>71</v>
      </c>
      <c r="E17" s="219">
        <v>0</v>
      </c>
      <c r="F17" s="368">
        <f t="shared" si="0"/>
        <v>0</v>
      </c>
      <c r="G17" s="206">
        <v>0</v>
      </c>
      <c r="H17" s="206">
        <v>0</v>
      </c>
      <c r="I17" s="367">
        <f t="shared" si="1"/>
        <v>0</v>
      </c>
      <c r="J17" s="207" t="s">
        <v>108</v>
      </c>
    </row>
    <row r="18" spans="1:10" s="365" customFormat="1" ht="23.1" customHeight="1">
      <c r="A18" s="115"/>
      <c r="B18" s="118" t="s">
        <v>387</v>
      </c>
      <c r="C18" s="117"/>
      <c r="D18" s="117"/>
      <c r="E18" s="219">
        <v>0</v>
      </c>
      <c r="F18" s="117"/>
      <c r="G18" s="117"/>
      <c r="H18" s="117"/>
      <c r="I18" s="119"/>
      <c r="J18" s="366"/>
    </row>
    <row r="19" spans="1:10" s="325" customFormat="1" ht="20.45" customHeight="1">
      <c r="A19" s="168">
        <v>3</v>
      </c>
      <c r="B19" s="391" t="s">
        <v>401</v>
      </c>
      <c r="C19" s="192"/>
      <c r="D19" s="188"/>
      <c r="E19" s="219">
        <v>0</v>
      </c>
      <c r="F19" s="188"/>
      <c r="G19" s="187"/>
      <c r="H19" s="188"/>
      <c r="I19" s="189"/>
      <c r="J19" s="190"/>
    </row>
    <row r="20" spans="1:10" s="325" customFormat="1" ht="20.45" customHeight="1">
      <c r="A20" s="173"/>
      <c r="B20" s="191" t="s">
        <v>392</v>
      </c>
      <c r="C20" s="192">
        <v>2</v>
      </c>
      <c r="D20" s="188" t="s">
        <v>188</v>
      </c>
      <c r="E20" s="219">
        <v>0</v>
      </c>
      <c r="F20" s="188">
        <f t="shared" ref="F20:F28" si="2">E20*C20</f>
        <v>0</v>
      </c>
      <c r="G20" s="187"/>
      <c r="H20" s="188">
        <f t="shared" ref="H20:H28" si="3">G20*C20</f>
        <v>0</v>
      </c>
      <c r="I20" s="189">
        <f t="shared" ref="I20:I28" si="4">H20+F20</f>
        <v>0</v>
      </c>
      <c r="J20" s="190" t="s">
        <v>108</v>
      </c>
    </row>
    <row r="21" spans="1:10" s="270" customFormat="1" ht="20.45" customHeight="1">
      <c r="A21" s="173"/>
      <c r="B21" s="191" t="s">
        <v>393</v>
      </c>
      <c r="C21" s="192">
        <v>1</v>
      </c>
      <c r="D21" s="188" t="s">
        <v>188</v>
      </c>
      <c r="E21" s="219">
        <v>0</v>
      </c>
      <c r="F21" s="188">
        <f t="shared" si="2"/>
        <v>0</v>
      </c>
      <c r="G21" s="187"/>
      <c r="H21" s="188">
        <f t="shared" si="3"/>
        <v>0</v>
      </c>
      <c r="I21" s="189">
        <f t="shared" si="4"/>
        <v>0</v>
      </c>
      <c r="J21" s="190" t="s">
        <v>108</v>
      </c>
    </row>
    <row r="22" spans="1:10" s="325" customFormat="1" ht="20.45" customHeight="1">
      <c r="A22" s="173"/>
      <c r="B22" s="191" t="s">
        <v>394</v>
      </c>
      <c r="C22" s="192">
        <v>4</v>
      </c>
      <c r="D22" s="188" t="s">
        <v>188</v>
      </c>
      <c r="E22" s="219">
        <v>0</v>
      </c>
      <c r="F22" s="188">
        <f t="shared" si="2"/>
        <v>0</v>
      </c>
      <c r="G22" s="187"/>
      <c r="H22" s="188">
        <f t="shared" si="3"/>
        <v>0</v>
      </c>
      <c r="I22" s="189">
        <f t="shared" si="4"/>
        <v>0</v>
      </c>
      <c r="J22" s="190" t="s">
        <v>108</v>
      </c>
    </row>
    <row r="23" spans="1:10" s="270" customFormat="1" ht="20.45" customHeight="1">
      <c r="A23" s="173"/>
      <c r="B23" s="191" t="s">
        <v>395</v>
      </c>
      <c r="C23" s="192">
        <v>1</v>
      </c>
      <c r="D23" s="188" t="s">
        <v>188</v>
      </c>
      <c r="E23" s="219">
        <v>0</v>
      </c>
      <c r="F23" s="188">
        <f t="shared" si="2"/>
        <v>0</v>
      </c>
      <c r="G23" s="187"/>
      <c r="H23" s="188">
        <f t="shared" si="3"/>
        <v>0</v>
      </c>
      <c r="I23" s="189">
        <f t="shared" si="4"/>
        <v>0</v>
      </c>
      <c r="J23" s="190" t="s">
        <v>108</v>
      </c>
    </row>
    <row r="24" spans="1:10" s="325" customFormat="1" ht="20.45" customHeight="1">
      <c r="A24" s="173"/>
      <c r="B24" s="191" t="s">
        <v>396</v>
      </c>
      <c r="C24" s="192">
        <v>1</v>
      </c>
      <c r="D24" s="188" t="s">
        <v>188</v>
      </c>
      <c r="E24" s="219">
        <v>0</v>
      </c>
      <c r="F24" s="188">
        <f t="shared" si="2"/>
        <v>0</v>
      </c>
      <c r="G24" s="187"/>
      <c r="H24" s="188">
        <f t="shared" si="3"/>
        <v>0</v>
      </c>
      <c r="I24" s="189">
        <f t="shared" si="4"/>
        <v>0</v>
      </c>
      <c r="J24" s="190" t="s">
        <v>108</v>
      </c>
    </row>
    <row r="25" spans="1:10" s="270" customFormat="1" ht="20.45" customHeight="1">
      <c r="A25" s="173"/>
      <c r="B25" s="191" t="s">
        <v>398</v>
      </c>
      <c r="C25" s="192">
        <v>3</v>
      </c>
      <c r="D25" s="188" t="s">
        <v>188</v>
      </c>
      <c r="E25" s="219">
        <v>0</v>
      </c>
      <c r="F25" s="188">
        <f t="shared" si="2"/>
        <v>0</v>
      </c>
      <c r="G25" s="187"/>
      <c r="H25" s="188">
        <f t="shared" si="3"/>
        <v>0</v>
      </c>
      <c r="I25" s="189">
        <f t="shared" si="4"/>
        <v>0</v>
      </c>
      <c r="J25" s="190" t="s">
        <v>108</v>
      </c>
    </row>
    <row r="26" spans="1:10" s="325" customFormat="1" ht="20.45" customHeight="1">
      <c r="A26" s="173"/>
      <c r="B26" s="191" t="s">
        <v>397</v>
      </c>
      <c r="C26" s="192">
        <v>3</v>
      </c>
      <c r="D26" s="188" t="s">
        <v>188</v>
      </c>
      <c r="E26" s="219">
        <v>0</v>
      </c>
      <c r="F26" s="188">
        <f t="shared" si="2"/>
        <v>0</v>
      </c>
      <c r="G26" s="187"/>
      <c r="H26" s="188">
        <f t="shared" si="3"/>
        <v>0</v>
      </c>
      <c r="I26" s="189">
        <f t="shared" si="4"/>
        <v>0</v>
      </c>
      <c r="J26" s="190" t="s">
        <v>108</v>
      </c>
    </row>
    <row r="27" spans="1:10" s="270" customFormat="1" ht="20.45" customHeight="1">
      <c r="A27" s="173"/>
      <c r="B27" s="191" t="s">
        <v>399</v>
      </c>
      <c r="C27" s="192">
        <v>4</v>
      </c>
      <c r="D27" s="188" t="s">
        <v>188</v>
      </c>
      <c r="E27" s="219">
        <v>0</v>
      </c>
      <c r="F27" s="188">
        <f t="shared" si="2"/>
        <v>0</v>
      </c>
      <c r="G27" s="187"/>
      <c r="H27" s="188">
        <f t="shared" si="3"/>
        <v>0</v>
      </c>
      <c r="I27" s="189">
        <f t="shared" si="4"/>
        <v>0</v>
      </c>
      <c r="J27" s="190" t="s">
        <v>108</v>
      </c>
    </row>
    <row r="28" spans="1:10" s="325" customFormat="1" ht="20.45" customHeight="1" thickBot="1">
      <c r="A28" s="173"/>
      <c r="B28" s="191" t="s">
        <v>400</v>
      </c>
      <c r="C28" s="192">
        <v>3</v>
      </c>
      <c r="D28" s="188" t="s">
        <v>188</v>
      </c>
      <c r="E28" s="219">
        <v>0</v>
      </c>
      <c r="F28" s="188">
        <f t="shared" si="2"/>
        <v>0</v>
      </c>
      <c r="G28" s="187"/>
      <c r="H28" s="188">
        <f t="shared" si="3"/>
        <v>0</v>
      </c>
      <c r="I28" s="189">
        <f t="shared" si="4"/>
        <v>0</v>
      </c>
      <c r="J28" s="190" t="s">
        <v>108</v>
      </c>
    </row>
    <row r="29" spans="1:10" s="237" customFormat="1" ht="23.1" customHeight="1" thickBot="1">
      <c r="A29" s="84"/>
      <c r="B29" s="97" t="s">
        <v>70</v>
      </c>
      <c r="C29" s="235"/>
      <c r="D29" s="235"/>
      <c r="E29" s="236"/>
      <c r="F29" s="85">
        <f>SUM(F10:F28)</f>
        <v>0</v>
      </c>
      <c r="G29" s="236"/>
      <c r="H29" s="85">
        <f>SUM(H10:H18)</f>
        <v>0</v>
      </c>
      <c r="I29" s="85">
        <f>SUM(I10:I28)</f>
        <v>0</v>
      </c>
      <c r="J29" s="85"/>
    </row>
    <row r="30" spans="1:10" s="78" customFormat="1" ht="23.1" customHeight="1">
      <c r="A30" s="86"/>
      <c r="B30" s="77"/>
      <c r="C30" s="87"/>
      <c r="D30" s="86"/>
      <c r="E30" s="86"/>
      <c r="F30" s="86"/>
      <c r="G30" s="86"/>
      <c r="H30" s="86"/>
      <c r="I30" s="86"/>
      <c r="J30" s="86"/>
    </row>
    <row r="31" spans="1:10" s="78" customFormat="1" ht="23.1" customHeight="1">
      <c r="A31" s="437" t="s">
        <v>38</v>
      </c>
      <c r="B31" s="437"/>
      <c r="C31" s="437"/>
      <c r="D31" s="437"/>
      <c r="E31" s="77"/>
      <c r="F31" s="77"/>
      <c r="G31" s="77"/>
      <c r="H31" s="77"/>
      <c r="I31" s="77"/>
      <c r="J31" s="86"/>
    </row>
    <row r="32" spans="1:10" s="78" customFormat="1" ht="23.1" customHeight="1">
      <c r="A32" s="77" t="s">
        <v>43</v>
      </c>
      <c r="B32" s="77"/>
      <c r="C32" s="88"/>
      <c r="D32" s="86"/>
      <c r="E32" s="77"/>
      <c r="F32" s="77"/>
      <c r="G32" s="77"/>
      <c r="H32" s="77"/>
      <c r="I32" s="77"/>
      <c r="J32" s="86"/>
    </row>
    <row r="33" spans="1:10" s="78" customFormat="1" ht="23.1" customHeight="1">
      <c r="A33" s="77" t="s">
        <v>39</v>
      </c>
      <c r="B33" s="77"/>
      <c r="C33" s="88"/>
      <c r="D33" s="86"/>
      <c r="E33" s="77"/>
      <c r="F33" s="77"/>
      <c r="G33" s="77"/>
      <c r="H33" s="77"/>
      <c r="I33" s="77"/>
      <c r="J33" s="86"/>
    </row>
    <row r="34" spans="1:10" s="78" customFormat="1" ht="23.1" customHeight="1">
      <c r="A34" s="77" t="s">
        <v>42</v>
      </c>
      <c r="B34" s="77"/>
      <c r="C34" s="88"/>
      <c r="D34" s="86"/>
      <c r="E34" s="77"/>
      <c r="F34" s="77"/>
      <c r="G34" s="77"/>
      <c r="H34" s="77"/>
      <c r="I34" s="77"/>
      <c r="J34" s="86"/>
    </row>
    <row r="35" spans="1:10" s="78" customFormat="1" ht="23.1" customHeight="1">
      <c r="A35" s="77" t="s">
        <v>44</v>
      </c>
      <c r="B35" s="77"/>
      <c r="C35" s="88"/>
      <c r="D35" s="86"/>
      <c r="E35" s="77"/>
      <c r="F35" s="77"/>
      <c r="G35" s="77"/>
      <c r="H35" s="77"/>
      <c r="I35" s="77"/>
      <c r="J35" s="86"/>
    </row>
    <row r="36" spans="1:10" s="78" customFormat="1" ht="18.95" customHeight="1">
      <c r="A36" s="77" t="s">
        <v>45</v>
      </c>
      <c r="B36" s="77"/>
      <c r="C36" s="88"/>
      <c r="D36" s="86"/>
      <c r="E36" s="77"/>
      <c r="F36" s="77"/>
      <c r="G36" s="77"/>
      <c r="H36" s="77"/>
      <c r="I36" s="77"/>
      <c r="J36" s="86"/>
    </row>
    <row r="37" spans="1:10" s="79" customFormat="1" ht="18.95" customHeight="1">
      <c r="A37" s="77" t="s">
        <v>41</v>
      </c>
      <c r="B37" s="77"/>
      <c r="C37" s="88"/>
      <c r="D37" s="86"/>
      <c r="E37" s="77"/>
      <c r="F37" s="77"/>
      <c r="G37" s="77"/>
      <c r="H37" s="77"/>
      <c r="I37" s="77"/>
      <c r="J37" s="86"/>
    </row>
    <row r="38" spans="1:10" s="79" customFormat="1" ht="18.95" customHeight="1">
      <c r="A38" s="77" t="s">
        <v>40</v>
      </c>
      <c r="B38" s="77"/>
      <c r="C38" s="88"/>
      <c r="D38" s="86"/>
      <c r="E38" s="77"/>
      <c r="F38" s="77"/>
      <c r="G38" s="77"/>
      <c r="H38" s="77"/>
      <c r="I38" s="77"/>
      <c r="J38" s="86"/>
    </row>
    <row r="39" spans="1:10" s="79" customFormat="1" ht="23.1" customHeight="1">
      <c r="A39" s="77"/>
      <c r="B39" s="77"/>
      <c r="C39" s="89"/>
      <c r="D39" s="86"/>
      <c r="E39" s="77"/>
      <c r="F39" s="77"/>
      <c r="G39" s="77"/>
      <c r="H39" s="77"/>
      <c r="I39" s="77"/>
      <c r="J39" s="86"/>
    </row>
    <row r="40" spans="1:10" s="79" customFormat="1" ht="23.1" customHeight="1">
      <c r="A40" s="77"/>
      <c r="B40" s="77"/>
      <c r="C40" s="89"/>
      <c r="D40" s="86"/>
      <c r="E40" s="77"/>
      <c r="F40" s="77"/>
      <c r="G40" s="77"/>
      <c r="H40" s="77"/>
      <c r="I40" s="77"/>
      <c r="J40" s="86"/>
    </row>
    <row r="41" spans="1:10" s="79" customFormat="1" ht="23.1" customHeight="1">
      <c r="A41" s="77"/>
      <c r="B41" s="77"/>
      <c r="C41" s="89"/>
      <c r="D41" s="86"/>
      <c r="E41" s="77"/>
      <c r="F41" s="77"/>
      <c r="G41" s="77"/>
      <c r="H41" s="77"/>
      <c r="I41" s="77"/>
      <c r="J41" s="86"/>
    </row>
    <row r="42" spans="1:10" s="79" customFormat="1" ht="18.95" customHeight="1">
      <c r="A42" s="77"/>
      <c r="B42" s="364"/>
      <c r="C42" s="89"/>
      <c r="D42" s="86"/>
      <c r="E42" s="77"/>
      <c r="F42" s="77"/>
      <c r="G42" s="77"/>
      <c r="H42" s="77"/>
      <c r="I42" s="77"/>
      <c r="J42" s="86"/>
    </row>
    <row r="43" spans="1:10" s="79" customFormat="1" ht="18.95" customHeight="1">
      <c r="A43" s="77"/>
      <c r="B43" s="77"/>
      <c r="C43" s="89"/>
      <c r="D43" s="86"/>
      <c r="E43" s="77"/>
      <c r="F43" s="77"/>
      <c r="G43" s="77"/>
      <c r="H43" s="77"/>
      <c r="I43" s="77"/>
      <c r="J43" s="86"/>
    </row>
    <row r="44" spans="1:10" s="79" customFormat="1" ht="18.95" customHeight="1">
      <c r="A44" s="77"/>
      <c r="B44" s="77"/>
      <c r="C44" s="89"/>
      <c r="D44" s="86"/>
      <c r="E44" s="77"/>
      <c r="F44" s="77"/>
      <c r="G44" s="77"/>
      <c r="H44" s="77"/>
      <c r="I44" s="77"/>
      <c r="J44" s="86"/>
    </row>
    <row r="45" spans="1:10" s="79" customFormat="1" ht="18.95" customHeight="1">
      <c r="A45" s="77"/>
      <c r="B45" s="77"/>
      <c r="C45" s="89"/>
      <c r="D45" s="86"/>
      <c r="E45" s="77"/>
      <c r="F45" s="77"/>
      <c r="G45" s="77"/>
      <c r="H45" s="77"/>
      <c r="I45" s="77"/>
      <c r="J45" s="86"/>
    </row>
    <row r="46" spans="1:10" s="79" customFormat="1" ht="18.95" customHeight="1">
      <c r="A46" s="77"/>
      <c r="B46" s="77"/>
      <c r="C46" s="89"/>
      <c r="D46" s="86"/>
      <c r="E46" s="77"/>
      <c r="F46" s="77"/>
      <c r="G46" s="77"/>
      <c r="H46" s="77"/>
      <c r="I46" s="77"/>
      <c r="J46" s="86"/>
    </row>
    <row r="47" spans="1:10" s="79" customFormat="1" ht="18.95" customHeight="1">
      <c r="A47" s="77"/>
      <c r="B47" s="77"/>
      <c r="C47" s="89"/>
      <c r="D47" s="86"/>
      <c r="E47" s="77"/>
      <c r="F47" s="77"/>
      <c r="G47" s="77"/>
      <c r="H47" s="77"/>
      <c r="I47" s="77"/>
      <c r="J47" s="86"/>
    </row>
    <row r="48" spans="1:10" s="79" customFormat="1" ht="18.95" customHeight="1">
      <c r="A48" s="77"/>
      <c r="B48" s="77"/>
      <c r="C48" s="89"/>
      <c r="D48" s="86"/>
      <c r="E48" s="77"/>
      <c r="F48" s="77"/>
      <c r="G48" s="77"/>
      <c r="H48" s="77"/>
      <c r="I48" s="77"/>
      <c r="J48" s="86"/>
    </row>
    <row r="49" spans="1:10" s="79" customFormat="1" ht="18.95" customHeight="1">
      <c r="A49" s="77"/>
      <c r="B49" s="77"/>
      <c r="C49" s="89"/>
      <c r="D49" s="86"/>
      <c r="E49" s="77"/>
      <c r="F49" s="77"/>
      <c r="G49" s="77"/>
      <c r="H49" s="77"/>
      <c r="I49" s="77"/>
      <c r="J49" s="86"/>
    </row>
    <row r="50" spans="1:10" s="79" customFormat="1" ht="18.95" customHeight="1">
      <c r="A50" s="77"/>
      <c r="B50" s="77"/>
      <c r="C50" s="89"/>
      <c r="D50" s="86"/>
      <c r="E50" s="77"/>
      <c r="F50" s="77"/>
      <c r="G50" s="77"/>
      <c r="H50" s="77"/>
      <c r="I50" s="77"/>
      <c r="J50" s="86"/>
    </row>
    <row r="51" spans="1:10" s="79" customFormat="1" ht="18.95" customHeight="1">
      <c r="A51" s="77"/>
      <c r="B51" s="77"/>
      <c r="C51" s="89"/>
      <c r="D51" s="86"/>
      <c r="E51" s="77"/>
      <c r="F51" s="77"/>
      <c r="G51" s="77"/>
      <c r="H51" s="77"/>
      <c r="I51" s="77"/>
      <c r="J51" s="86"/>
    </row>
    <row r="52" spans="1:10" s="79" customFormat="1" ht="18.95" customHeight="1">
      <c r="A52" s="77"/>
      <c r="B52" s="77"/>
      <c r="C52" s="89"/>
      <c r="D52" s="86"/>
      <c r="E52" s="77"/>
      <c r="F52" s="77"/>
      <c r="G52" s="77"/>
      <c r="H52" s="77"/>
      <c r="I52" s="77"/>
      <c r="J52" s="86"/>
    </row>
    <row r="53" spans="1:10" s="79" customFormat="1" ht="18.95" customHeight="1">
      <c r="A53" s="77"/>
      <c r="B53" s="77"/>
      <c r="C53" s="89"/>
      <c r="D53" s="86"/>
      <c r="E53" s="77"/>
      <c r="F53" s="77"/>
      <c r="G53" s="77"/>
      <c r="H53" s="77"/>
      <c r="I53" s="77"/>
      <c r="J53" s="86"/>
    </row>
    <row r="54" spans="1:10" s="78" customFormat="1" ht="18.95" customHeight="1">
      <c r="A54" s="77"/>
      <c r="B54" s="77"/>
      <c r="C54" s="89"/>
      <c r="D54" s="86"/>
      <c r="E54" s="77"/>
      <c r="F54" s="77"/>
      <c r="G54" s="77"/>
      <c r="H54" s="77"/>
      <c r="I54" s="77"/>
      <c r="J54" s="86"/>
    </row>
    <row r="55" spans="1:10" s="79" customFormat="1" ht="18.95" customHeight="1">
      <c r="A55" s="77"/>
      <c r="B55" s="77"/>
      <c r="C55" s="89"/>
      <c r="D55" s="86"/>
      <c r="E55" s="77"/>
      <c r="F55" s="77"/>
      <c r="G55" s="77"/>
      <c r="H55" s="77"/>
      <c r="I55" s="77"/>
      <c r="J55" s="86"/>
    </row>
    <row r="56" spans="1:10" s="79" customFormat="1" ht="18.95" customHeight="1">
      <c r="A56" s="77"/>
      <c r="B56" s="77"/>
      <c r="C56" s="89"/>
      <c r="D56" s="86"/>
      <c r="E56" s="77"/>
      <c r="F56" s="77"/>
      <c r="G56" s="77"/>
      <c r="H56" s="77"/>
      <c r="I56" s="77"/>
      <c r="J56" s="86"/>
    </row>
    <row r="57" spans="1:10" s="78" customFormat="1" ht="23.1" customHeight="1">
      <c r="A57" s="77"/>
      <c r="B57" s="77"/>
      <c r="C57" s="89"/>
      <c r="D57" s="86"/>
      <c r="E57" s="77"/>
      <c r="F57" s="77"/>
      <c r="G57" s="77"/>
      <c r="H57" s="77"/>
      <c r="I57" s="77"/>
      <c r="J57" s="86"/>
    </row>
    <row r="58" spans="1:10" s="78" customFormat="1" ht="23.1" customHeight="1">
      <c r="A58" s="77"/>
      <c r="B58" s="77"/>
      <c r="C58" s="89"/>
      <c r="D58" s="86"/>
      <c r="E58" s="77"/>
      <c r="F58" s="77"/>
      <c r="G58" s="77"/>
      <c r="H58" s="77"/>
      <c r="I58" s="77"/>
      <c r="J58" s="86"/>
    </row>
    <row r="59" spans="1:10" s="78" customFormat="1" ht="21" customHeight="1">
      <c r="A59" s="77"/>
      <c r="B59" s="77"/>
      <c r="C59" s="89"/>
      <c r="D59" s="86"/>
      <c r="E59" s="77"/>
      <c r="F59" s="77"/>
      <c r="G59" s="77"/>
      <c r="H59" s="77"/>
      <c r="I59" s="77"/>
      <c r="J59" s="86"/>
    </row>
    <row r="60" spans="1:10" s="78" customFormat="1" ht="21" customHeight="1">
      <c r="A60" s="77"/>
      <c r="B60" s="77"/>
      <c r="C60" s="89"/>
      <c r="D60" s="86"/>
      <c r="E60" s="77"/>
      <c r="F60" s="77"/>
      <c r="G60" s="77"/>
      <c r="H60" s="77"/>
      <c r="I60" s="77"/>
      <c r="J60" s="86"/>
    </row>
    <row r="61" spans="1:10" s="78" customFormat="1" ht="21" customHeight="1">
      <c r="A61" s="77"/>
      <c r="B61" s="77"/>
      <c r="C61" s="89"/>
      <c r="D61" s="86"/>
      <c r="E61" s="77"/>
      <c r="F61" s="77"/>
      <c r="G61" s="77"/>
      <c r="H61" s="77"/>
      <c r="I61" s="77"/>
      <c r="J61" s="86"/>
    </row>
    <row r="62" spans="1:10" s="78" customFormat="1" ht="21" customHeight="1">
      <c r="A62" s="77"/>
      <c r="B62" s="77"/>
      <c r="C62" s="89"/>
      <c r="D62" s="86"/>
      <c r="E62" s="77"/>
      <c r="F62" s="77"/>
      <c r="G62" s="77"/>
      <c r="H62" s="77"/>
      <c r="I62" s="77"/>
      <c r="J62" s="86"/>
    </row>
    <row r="63" spans="1:10" s="78" customFormat="1" ht="21" customHeight="1">
      <c r="A63" s="77"/>
      <c r="B63" s="77"/>
      <c r="C63" s="89"/>
      <c r="D63" s="86"/>
      <c r="E63" s="77"/>
      <c r="F63" s="77"/>
      <c r="G63" s="77"/>
      <c r="H63" s="77"/>
      <c r="I63" s="77"/>
      <c r="J63" s="86"/>
    </row>
    <row r="64" spans="1:10" s="78" customFormat="1" ht="21" customHeight="1">
      <c r="A64" s="77"/>
      <c r="B64" s="77"/>
      <c r="C64" s="89"/>
      <c r="D64" s="86"/>
      <c r="E64" s="77"/>
      <c r="F64" s="77"/>
      <c r="G64" s="77"/>
      <c r="H64" s="77"/>
      <c r="I64" s="77"/>
      <c r="J64" s="86"/>
    </row>
    <row r="65" spans="1:10" s="78" customFormat="1" ht="21" customHeight="1">
      <c r="A65" s="77"/>
      <c r="B65" s="77"/>
      <c r="C65" s="89"/>
      <c r="D65" s="86"/>
      <c r="E65" s="77"/>
      <c r="F65" s="77"/>
      <c r="G65" s="77"/>
      <c r="H65" s="77"/>
      <c r="I65" s="77"/>
      <c r="J65" s="86"/>
    </row>
    <row r="66" spans="1:10" s="78" customFormat="1" ht="21" customHeight="1">
      <c r="A66" s="77"/>
      <c r="B66" s="77"/>
      <c r="C66" s="89"/>
      <c r="D66" s="86"/>
      <c r="E66" s="77"/>
      <c r="F66" s="77"/>
      <c r="G66" s="77"/>
      <c r="H66" s="77"/>
      <c r="I66" s="77"/>
      <c r="J66" s="86"/>
    </row>
    <row r="67" spans="1:10" s="78" customFormat="1" ht="21" customHeight="1">
      <c r="A67" s="77"/>
      <c r="B67" s="77"/>
      <c r="C67" s="89"/>
      <c r="D67" s="86"/>
      <c r="E67" s="77"/>
      <c r="F67" s="77"/>
      <c r="G67" s="77"/>
      <c r="H67" s="77"/>
      <c r="I67" s="77"/>
      <c r="J67" s="86"/>
    </row>
    <row r="68" spans="1:10" s="78" customFormat="1" ht="21" customHeight="1">
      <c r="A68" s="77"/>
      <c r="B68" s="77"/>
      <c r="C68" s="89"/>
      <c r="D68" s="86"/>
      <c r="E68" s="77"/>
      <c r="F68" s="77"/>
      <c r="G68" s="77"/>
      <c r="H68" s="77"/>
      <c r="I68" s="77"/>
      <c r="J68" s="86"/>
    </row>
    <row r="69" spans="1:10" s="78" customFormat="1" ht="21" customHeight="1">
      <c r="A69" s="77"/>
      <c r="B69" s="77"/>
      <c r="C69" s="89"/>
      <c r="D69" s="86"/>
      <c r="E69" s="77"/>
      <c r="F69" s="77"/>
      <c r="G69" s="77"/>
      <c r="H69" s="77"/>
      <c r="I69" s="77"/>
      <c r="J69" s="86"/>
    </row>
    <row r="70" spans="1:10" s="78" customFormat="1" ht="21" customHeight="1">
      <c r="A70" s="77"/>
      <c r="B70" s="77"/>
      <c r="C70" s="89"/>
      <c r="D70" s="86"/>
      <c r="E70" s="77"/>
      <c r="F70" s="77"/>
      <c r="G70" s="77"/>
      <c r="H70" s="77"/>
      <c r="I70" s="77"/>
      <c r="J70" s="86"/>
    </row>
    <row r="71" spans="1:10" s="78" customFormat="1" ht="21" customHeight="1">
      <c r="A71" s="77"/>
      <c r="B71" s="77"/>
      <c r="C71" s="89"/>
      <c r="D71" s="86"/>
      <c r="E71" s="77"/>
      <c r="F71" s="77"/>
      <c r="G71" s="77"/>
      <c r="H71" s="77"/>
      <c r="I71" s="77"/>
      <c r="J71" s="86"/>
    </row>
    <row r="72" spans="1:10" s="78" customFormat="1" ht="21" customHeight="1">
      <c r="A72" s="77"/>
      <c r="B72" s="77"/>
      <c r="C72" s="89"/>
      <c r="D72" s="86"/>
      <c r="E72" s="77"/>
      <c r="F72" s="77"/>
      <c r="G72" s="77"/>
      <c r="H72" s="77"/>
      <c r="I72" s="77"/>
      <c r="J72" s="86"/>
    </row>
    <row r="73" spans="1:10" s="78" customFormat="1" ht="21" customHeight="1">
      <c r="A73" s="77"/>
      <c r="B73" s="77"/>
      <c r="C73" s="89"/>
      <c r="D73" s="86"/>
      <c r="E73" s="77"/>
      <c r="F73" s="77"/>
      <c r="G73" s="77"/>
      <c r="H73" s="77"/>
      <c r="I73" s="77"/>
      <c r="J73" s="86"/>
    </row>
    <row r="74" spans="1:10" s="78" customFormat="1" ht="21" customHeight="1">
      <c r="A74" s="77"/>
      <c r="B74" s="77"/>
      <c r="C74" s="89"/>
      <c r="D74" s="86"/>
      <c r="E74" s="77"/>
      <c r="F74" s="77"/>
      <c r="G74" s="77"/>
      <c r="H74" s="77"/>
      <c r="I74" s="77"/>
      <c r="J74" s="86"/>
    </row>
    <row r="75" spans="1:10" s="78" customFormat="1" ht="21" customHeight="1">
      <c r="A75" s="77"/>
      <c r="B75" s="77"/>
      <c r="C75" s="89"/>
      <c r="D75" s="86"/>
      <c r="E75" s="77"/>
      <c r="F75" s="77"/>
      <c r="G75" s="77"/>
      <c r="H75" s="77"/>
      <c r="I75" s="77"/>
      <c r="J75" s="86"/>
    </row>
    <row r="76" spans="1:10" s="78" customFormat="1" ht="21" customHeight="1">
      <c r="A76" s="77"/>
      <c r="B76" s="77"/>
      <c r="C76" s="89"/>
      <c r="D76" s="86"/>
      <c r="E76" s="77"/>
      <c r="F76" s="77"/>
      <c r="G76" s="77"/>
      <c r="H76" s="77"/>
      <c r="I76" s="77"/>
      <c r="J76" s="86"/>
    </row>
    <row r="77" spans="1:10" s="78" customFormat="1" ht="21" customHeight="1">
      <c r="A77" s="77"/>
      <c r="B77" s="77"/>
      <c r="C77" s="89"/>
      <c r="D77" s="86"/>
      <c r="E77" s="77"/>
      <c r="F77" s="77"/>
      <c r="G77" s="77"/>
      <c r="H77" s="77"/>
      <c r="I77" s="77"/>
      <c r="J77" s="86"/>
    </row>
    <row r="78" spans="1:10" s="78" customFormat="1" ht="21" customHeight="1">
      <c r="A78" s="77"/>
      <c r="B78" s="77"/>
      <c r="C78" s="89"/>
      <c r="D78" s="86"/>
      <c r="E78" s="77"/>
      <c r="F78" s="77"/>
      <c r="G78" s="77"/>
      <c r="H78" s="77"/>
      <c r="I78" s="77"/>
      <c r="J78" s="86"/>
    </row>
    <row r="79" spans="1:10" s="78" customFormat="1" ht="21" customHeight="1">
      <c r="A79" s="77"/>
      <c r="B79" s="77"/>
      <c r="C79" s="89"/>
      <c r="D79" s="86"/>
      <c r="E79" s="77"/>
      <c r="F79" s="77"/>
      <c r="G79" s="77"/>
      <c r="H79" s="77"/>
      <c r="I79" s="77"/>
      <c r="J79" s="86"/>
    </row>
    <row r="80" spans="1:10" s="78" customFormat="1" ht="21" customHeight="1">
      <c r="A80" s="77"/>
      <c r="B80" s="77"/>
      <c r="C80" s="89"/>
      <c r="D80" s="86"/>
      <c r="E80" s="77"/>
      <c r="F80" s="77"/>
      <c r="G80" s="77"/>
      <c r="H80" s="77"/>
      <c r="I80" s="77"/>
      <c r="J80" s="86"/>
    </row>
    <row r="81" spans="1:10" s="78" customFormat="1" ht="21" customHeight="1">
      <c r="A81" s="77"/>
      <c r="B81" s="77"/>
      <c r="C81" s="89"/>
      <c r="D81" s="86"/>
      <c r="E81" s="77"/>
      <c r="F81" s="77"/>
      <c r="G81" s="77"/>
      <c r="H81" s="77"/>
      <c r="I81" s="77"/>
      <c r="J81" s="86"/>
    </row>
    <row r="82" spans="1:10" s="78" customFormat="1" ht="21" customHeight="1">
      <c r="A82" s="77"/>
      <c r="B82" s="77"/>
      <c r="C82" s="89"/>
      <c r="D82" s="86"/>
      <c r="E82" s="77"/>
      <c r="F82" s="77"/>
      <c r="G82" s="77"/>
      <c r="H82" s="77"/>
      <c r="I82" s="77"/>
      <c r="J82" s="86"/>
    </row>
    <row r="83" spans="1:10" s="78" customFormat="1" ht="21" customHeight="1">
      <c r="A83" s="77"/>
      <c r="B83" s="77"/>
      <c r="C83" s="89"/>
      <c r="D83" s="86"/>
      <c r="E83" s="77"/>
      <c r="F83" s="77"/>
      <c r="G83" s="77"/>
      <c r="H83" s="77"/>
      <c r="I83" s="77"/>
      <c r="J83" s="86"/>
    </row>
    <row r="84" spans="1:10" s="78" customFormat="1" ht="21" customHeight="1">
      <c r="A84" s="77"/>
      <c r="B84" s="77"/>
      <c r="C84" s="89"/>
      <c r="D84" s="86"/>
      <c r="E84" s="77"/>
      <c r="F84" s="77"/>
      <c r="G84" s="77"/>
      <c r="H84" s="77"/>
      <c r="I84" s="77"/>
      <c r="J84" s="86"/>
    </row>
    <row r="85" spans="1:10" s="78" customFormat="1" ht="21" customHeight="1">
      <c r="A85" s="77"/>
      <c r="B85" s="77"/>
      <c r="C85" s="89"/>
      <c r="D85" s="86"/>
      <c r="E85" s="77"/>
      <c r="F85" s="77"/>
      <c r="G85" s="77"/>
      <c r="H85" s="77"/>
      <c r="I85" s="77"/>
      <c r="J85" s="86"/>
    </row>
    <row r="86" spans="1:10" s="78" customFormat="1" ht="21" customHeight="1">
      <c r="A86" s="77"/>
      <c r="B86" s="77"/>
      <c r="C86" s="89"/>
      <c r="D86" s="86"/>
      <c r="E86" s="77"/>
      <c r="F86" s="77"/>
      <c r="G86" s="77"/>
      <c r="H86" s="77"/>
      <c r="I86" s="77"/>
      <c r="J86" s="86"/>
    </row>
    <row r="87" spans="1:10" s="78" customFormat="1" ht="21" customHeight="1">
      <c r="A87" s="77"/>
      <c r="B87" s="77"/>
      <c r="C87" s="89"/>
      <c r="D87" s="86"/>
      <c r="E87" s="77"/>
      <c r="F87" s="77"/>
      <c r="G87" s="77"/>
      <c r="H87" s="77"/>
      <c r="I87" s="77"/>
      <c r="J87" s="86"/>
    </row>
    <row r="88" spans="1:10" s="78" customFormat="1" ht="21" customHeight="1">
      <c r="A88" s="77"/>
      <c r="B88" s="77"/>
      <c r="C88" s="89"/>
      <c r="D88" s="86"/>
      <c r="E88" s="77"/>
      <c r="F88" s="77"/>
      <c r="G88" s="77"/>
      <c r="H88" s="77"/>
      <c r="I88" s="77"/>
      <c r="J88" s="86"/>
    </row>
    <row r="89" spans="1:10" s="78" customFormat="1" ht="21" customHeight="1">
      <c r="A89" s="77"/>
      <c r="B89" s="77"/>
      <c r="C89" s="89"/>
      <c r="D89" s="86"/>
      <c r="E89" s="77"/>
      <c r="F89" s="77"/>
      <c r="G89" s="77"/>
      <c r="H89" s="77"/>
      <c r="I89" s="77"/>
      <c r="J89" s="86"/>
    </row>
    <row r="90" spans="1:10" s="78" customFormat="1" ht="21" customHeight="1">
      <c r="A90" s="77"/>
      <c r="B90" s="77"/>
      <c r="C90" s="89"/>
      <c r="D90" s="86"/>
      <c r="E90" s="77"/>
      <c r="F90" s="77"/>
      <c r="G90" s="77"/>
      <c r="H90" s="77"/>
      <c r="I90" s="77"/>
      <c r="J90" s="86"/>
    </row>
    <row r="91" spans="1:10" s="78" customFormat="1" ht="21" customHeight="1">
      <c r="A91" s="77"/>
      <c r="B91" s="77"/>
      <c r="C91" s="89"/>
      <c r="D91" s="86"/>
      <c r="E91" s="77"/>
      <c r="F91" s="77"/>
      <c r="G91" s="77"/>
      <c r="H91" s="77"/>
      <c r="I91" s="77"/>
      <c r="J91" s="86"/>
    </row>
    <row r="92" spans="1:10" s="78" customFormat="1" ht="21" customHeight="1">
      <c r="A92" s="77"/>
      <c r="B92" s="77"/>
      <c r="C92" s="89"/>
      <c r="D92" s="86"/>
      <c r="E92" s="77"/>
      <c r="F92" s="77"/>
      <c r="G92" s="77"/>
      <c r="H92" s="77"/>
      <c r="I92" s="77"/>
      <c r="J92" s="86"/>
    </row>
    <row r="93" spans="1:10" s="78" customFormat="1" ht="21" customHeight="1">
      <c r="A93" s="77"/>
      <c r="B93" s="77"/>
      <c r="C93" s="89"/>
      <c r="D93" s="86"/>
      <c r="E93" s="77"/>
      <c r="F93" s="77"/>
      <c r="G93" s="77"/>
      <c r="H93" s="77"/>
      <c r="I93" s="77"/>
      <c r="J93" s="86"/>
    </row>
    <row r="94" spans="1:10" s="78" customFormat="1" ht="21" customHeight="1">
      <c r="A94" s="77"/>
      <c r="B94" s="77"/>
      <c r="C94" s="89"/>
      <c r="D94" s="86"/>
      <c r="E94" s="77"/>
      <c r="F94" s="77"/>
      <c r="G94" s="77"/>
      <c r="H94" s="77"/>
      <c r="I94" s="77"/>
      <c r="J94" s="86"/>
    </row>
    <row r="95" spans="1:10" s="78" customFormat="1" ht="21" customHeight="1">
      <c r="A95" s="77"/>
      <c r="B95" s="77"/>
      <c r="C95" s="89"/>
      <c r="D95" s="86"/>
      <c r="E95" s="77"/>
      <c r="F95" s="77"/>
      <c r="G95" s="77"/>
      <c r="H95" s="77"/>
      <c r="I95" s="77"/>
      <c r="J95" s="86"/>
    </row>
    <row r="96" spans="1:10" s="78" customFormat="1" ht="21" customHeight="1">
      <c r="A96" s="77"/>
      <c r="B96" s="77"/>
      <c r="C96" s="89"/>
      <c r="D96" s="86"/>
      <c r="E96" s="77"/>
      <c r="F96" s="77"/>
      <c r="G96" s="77"/>
      <c r="H96" s="77"/>
      <c r="I96" s="77"/>
      <c r="J96" s="86"/>
    </row>
    <row r="97" spans="1:10" s="78" customFormat="1" ht="21" customHeight="1">
      <c r="A97" s="77"/>
      <c r="B97" s="77"/>
      <c r="C97" s="89"/>
      <c r="D97" s="86"/>
      <c r="E97" s="77"/>
      <c r="F97" s="77"/>
      <c r="G97" s="77"/>
      <c r="H97" s="77"/>
      <c r="I97" s="77"/>
      <c r="J97" s="86"/>
    </row>
    <row r="98" spans="1:10" s="78" customFormat="1" ht="21" customHeight="1">
      <c r="A98" s="77"/>
      <c r="B98" s="77"/>
      <c r="C98" s="89"/>
      <c r="D98" s="86"/>
      <c r="E98" s="77"/>
      <c r="F98" s="77"/>
      <c r="G98" s="77"/>
      <c r="H98" s="77"/>
      <c r="I98" s="77"/>
      <c r="J98" s="86"/>
    </row>
    <row r="99" spans="1:10" s="78" customFormat="1" ht="21" customHeight="1">
      <c r="A99" s="77"/>
      <c r="B99" s="77"/>
      <c r="C99" s="89"/>
      <c r="D99" s="86"/>
      <c r="E99" s="77"/>
      <c r="F99" s="77"/>
      <c r="G99" s="77"/>
      <c r="H99" s="77"/>
      <c r="I99" s="77"/>
      <c r="J99" s="86"/>
    </row>
    <row r="100" spans="1:10" s="78" customFormat="1" ht="21" customHeight="1">
      <c r="A100" s="77"/>
      <c r="B100" s="77"/>
      <c r="C100" s="89"/>
      <c r="D100" s="86"/>
      <c r="E100" s="77"/>
      <c r="F100" s="77"/>
      <c r="G100" s="77"/>
      <c r="H100" s="77"/>
      <c r="I100" s="77"/>
      <c r="J100" s="86"/>
    </row>
    <row r="101" spans="1:10" s="78" customFormat="1" ht="21" customHeight="1">
      <c r="A101" s="77"/>
      <c r="B101" s="77"/>
      <c r="C101" s="89"/>
      <c r="D101" s="86"/>
      <c r="E101" s="77"/>
      <c r="F101" s="77"/>
      <c r="G101" s="77"/>
      <c r="H101" s="77"/>
      <c r="I101" s="77"/>
      <c r="J101" s="86"/>
    </row>
    <row r="102" spans="1:10" s="78" customFormat="1" ht="21" customHeight="1">
      <c r="A102" s="77"/>
      <c r="B102" s="77"/>
      <c r="C102" s="89"/>
      <c r="D102" s="86"/>
      <c r="E102" s="77"/>
      <c r="F102" s="77"/>
      <c r="G102" s="77"/>
      <c r="H102" s="77"/>
      <c r="I102" s="77"/>
      <c r="J102" s="86"/>
    </row>
    <row r="103" spans="1:10" s="78" customFormat="1" ht="21" customHeight="1">
      <c r="A103" s="77"/>
      <c r="B103" s="77"/>
      <c r="C103" s="89"/>
      <c r="D103" s="86"/>
      <c r="E103" s="77"/>
      <c r="F103" s="77"/>
      <c r="G103" s="77"/>
      <c r="H103" s="77"/>
      <c r="I103" s="77"/>
      <c r="J103" s="86"/>
    </row>
    <row r="104" spans="1:10" s="78" customFormat="1" ht="21" customHeight="1">
      <c r="A104" s="77"/>
      <c r="B104" s="77"/>
      <c r="C104" s="89"/>
      <c r="D104" s="86"/>
      <c r="E104" s="77"/>
      <c r="F104" s="77"/>
      <c r="G104" s="77"/>
      <c r="H104" s="77"/>
      <c r="I104" s="77"/>
      <c r="J104" s="86"/>
    </row>
    <row r="105" spans="1:10" s="78" customFormat="1" ht="21" customHeight="1">
      <c r="A105" s="77"/>
      <c r="B105" s="77"/>
      <c r="C105" s="89"/>
      <c r="D105" s="86"/>
      <c r="E105" s="77"/>
      <c r="F105" s="77"/>
      <c r="G105" s="77"/>
      <c r="H105" s="77"/>
      <c r="I105" s="77"/>
      <c r="J105" s="86"/>
    </row>
    <row r="106" spans="1:10" s="78" customFormat="1" ht="21" customHeight="1">
      <c r="A106" s="77"/>
      <c r="B106" s="77"/>
      <c r="C106" s="89"/>
      <c r="D106" s="86"/>
      <c r="E106" s="77"/>
      <c r="F106" s="77"/>
      <c r="G106" s="77"/>
      <c r="H106" s="77"/>
      <c r="I106" s="77"/>
      <c r="J106" s="86"/>
    </row>
    <row r="107" spans="1:10" s="78" customFormat="1" ht="21" customHeight="1">
      <c r="A107" s="77"/>
      <c r="B107" s="77"/>
      <c r="C107" s="89"/>
      <c r="D107" s="86"/>
      <c r="E107" s="77"/>
      <c r="F107" s="77"/>
      <c r="G107" s="77"/>
      <c r="H107" s="77"/>
      <c r="I107" s="77"/>
      <c r="J107" s="86"/>
    </row>
    <row r="108" spans="1:10" s="78" customFormat="1" ht="21" customHeight="1">
      <c r="A108" s="77"/>
      <c r="B108" s="77"/>
      <c r="C108" s="89"/>
      <c r="D108" s="86"/>
      <c r="E108" s="77"/>
      <c r="F108" s="77"/>
      <c r="G108" s="77"/>
      <c r="H108" s="77"/>
      <c r="I108" s="77"/>
      <c r="J108" s="86"/>
    </row>
    <row r="109" spans="1:10" s="78" customFormat="1" ht="21" customHeight="1">
      <c r="A109" s="77"/>
      <c r="B109" s="77"/>
      <c r="C109" s="89"/>
      <c r="D109" s="86"/>
      <c r="E109" s="77"/>
      <c r="F109" s="77"/>
      <c r="G109" s="77"/>
      <c r="H109" s="77"/>
      <c r="I109" s="77"/>
      <c r="J109" s="86"/>
    </row>
    <row r="110" spans="1:10" s="78" customFormat="1" ht="21" customHeight="1">
      <c r="A110" s="77"/>
      <c r="B110" s="77"/>
      <c r="C110" s="89"/>
      <c r="D110" s="86"/>
      <c r="E110" s="77"/>
      <c r="F110" s="77"/>
      <c r="G110" s="77"/>
      <c r="H110" s="77"/>
      <c r="I110" s="77"/>
      <c r="J110" s="86"/>
    </row>
    <row r="111" spans="1:10" s="78" customFormat="1" ht="21" customHeight="1">
      <c r="A111" s="77"/>
      <c r="B111" s="77"/>
      <c r="C111" s="89"/>
      <c r="D111" s="86"/>
      <c r="E111" s="77"/>
      <c r="F111" s="77"/>
      <c r="G111" s="77"/>
      <c r="H111" s="77"/>
      <c r="I111" s="77"/>
      <c r="J111" s="86"/>
    </row>
    <row r="112" spans="1:10" s="78" customFormat="1" ht="21" customHeight="1">
      <c r="A112" s="77"/>
      <c r="B112" s="77"/>
      <c r="C112" s="89"/>
      <c r="D112" s="86"/>
      <c r="E112" s="77"/>
      <c r="F112" s="77"/>
      <c r="G112" s="77"/>
      <c r="H112" s="77"/>
      <c r="I112" s="77"/>
      <c r="J112" s="86"/>
    </row>
    <row r="113" spans="1:10" s="78" customFormat="1" ht="21" customHeight="1">
      <c r="A113" s="77"/>
      <c r="B113" s="77"/>
      <c r="C113" s="89"/>
      <c r="D113" s="86"/>
      <c r="E113" s="77"/>
      <c r="F113" s="77"/>
      <c r="G113" s="77"/>
      <c r="H113" s="77"/>
      <c r="I113" s="77"/>
      <c r="J113" s="86"/>
    </row>
    <row r="114" spans="1:10" s="78" customFormat="1" ht="21" customHeight="1">
      <c r="A114" s="77"/>
      <c r="B114" s="77"/>
      <c r="C114" s="89"/>
      <c r="D114" s="86"/>
      <c r="E114" s="77"/>
      <c r="F114" s="77"/>
      <c r="G114" s="77"/>
      <c r="H114" s="77"/>
      <c r="I114" s="77"/>
      <c r="J114" s="86"/>
    </row>
    <row r="115" spans="1:10" s="78" customFormat="1" ht="21" customHeight="1">
      <c r="A115" s="77"/>
      <c r="B115" s="77"/>
      <c r="C115" s="89"/>
      <c r="D115" s="86"/>
      <c r="E115" s="77"/>
      <c r="F115" s="77"/>
      <c r="G115" s="77"/>
      <c r="H115" s="77"/>
      <c r="I115" s="77"/>
      <c r="J115" s="86"/>
    </row>
    <row r="116" spans="1:10" s="80" customFormat="1" ht="21" customHeight="1">
      <c r="A116" s="77"/>
      <c r="B116" s="77"/>
      <c r="C116" s="89"/>
      <c r="D116" s="86"/>
      <c r="E116" s="77"/>
      <c r="F116" s="77"/>
      <c r="G116" s="77"/>
      <c r="H116" s="77"/>
      <c r="I116" s="77"/>
      <c r="J116" s="86"/>
    </row>
    <row r="117" spans="1:10" s="80" customFormat="1" ht="21" customHeight="1">
      <c r="A117" s="77"/>
      <c r="B117" s="77"/>
      <c r="C117" s="89"/>
      <c r="D117" s="86"/>
      <c r="E117" s="77"/>
      <c r="F117" s="77"/>
      <c r="G117" s="77"/>
      <c r="H117" s="77"/>
      <c r="I117" s="77"/>
      <c r="J117" s="86"/>
    </row>
    <row r="118" spans="1:10" s="80" customFormat="1" ht="21" customHeight="1">
      <c r="A118" s="77"/>
      <c r="B118" s="77"/>
      <c r="C118" s="89"/>
      <c r="D118" s="86"/>
      <c r="E118" s="77"/>
      <c r="F118" s="77"/>
      <c r="G118" s="77"/>
      <c r="H118" s="77"/>
      <c r="I118" s="77"/>
      <c r="J118" s="86"/>
    </row>
    <row r="119" spans="1:10" s="80" customFormat="1" ht="21" customHeight="1">
      <c r="A119" s="77"/>
      <c r="B119" s="77"/>
      <c r="C119" s="89"/>
      <c r="D119" s="86"/>
      <c r="E119" s="77"/>
      <c r="F119" s="77"/>
      <c r="G119" s="77"/>
      <c r="H119" s="77"/>
      <c r="I119" s="77"/>
      <c r="J119" s="86"/>
    </row>
    <row r="120" spans="1:10" s="80" customFormat="1" ht="21" customHeight="1">
      <c r="A120" s="77"/>
      <c r="B120" s="77"/>
      <c r="C120" s="89"/>
      <c r="D120" s="86"/>
      <c r="E120" s="77"/>
      <c r="F120" s="77"/>
      <c r="G120" s="77"/>
      <c r="H120" s="77"/>
      <c r="I120" s="77"/>
      <c r="J120" s="86"/>
    </row>
    <row r="121" spans="1:10" s="80" customFormat="1" ht="21" customHeight="1">
      <c r="A121" s="77"/>
      <c r="B121" s="77"/>
      <c r="C121" s="89"/>
      <c r="D121" s="86"/>
      <c r="E121" s="77"/>
      <c r="F121" s="77"/>
      <c r="G121" s="77"/>
      <c r="H121" s="77"/>
      <c r="I121" s="77"/>
      <c r="J121" s="86"/>
    </row>
    <row r="122" spans="1:10" s="78" customFormat="1" ht="21" customHeight="1">
      <c r="A122" s="77"/>
      <c r="B122" s="77"/>
      <c r="C122" s="89"/>
      <c r="D122" s="86"/>
      <c r="E122" s="77"/>
      <c r="F122" s="77"/>
      <c r="G122" s="77"/>
      <c r="H122" s="77"/>
      <c r="I122" s="77"/>
      <c r="J122" s="86"/>
    </row>
    <row r="123" spans="1:10" s="78" customFormat="1" ht="21" customHeight="1">
      <c r="A123" s="77"/>
      <c r="B123" s="77"/>
      <c r="C123" s="89"/>
      <c r="D123" s="86"/>
      <c r="E123" s="77"/>
      <c r="F123" s="77"/>
      <c r="G123" s="77"/>
      <c r="H123" s="77"/>
      <c r="I123" s="77"/>
      <c r="J123" s="86"/>
    </row>
    <row r="124" spans="1:10" s="78" customFormat="1" ht="21" customHeight="1">
      <c r="A124" s="77"/>
      <c r="B124" s="77"/>
      <c r="C124" s="89"/>
      <c r="D124" s="86"/>
      <c r="E124" s="77"/>
      <c r="F124" s="77"/>
      <c r="G124" s="77"/>
      <c r="H124" s="77"/>
      <c r="I124" s="77"/>
      <c r="J124" s="86"/>
    </row>
    <row r="125" spans="1:10" s="78" customFormat="1" ht="21" customHeight="1">
      <c r="A125" s="77"/>
      <c r="B125" s="77"/>
      <c r="C125" s="89"/>
      <c r="D125" s="86"/>
      <c r="E125" s="77"/>
      <c r="F125" s="77"/>
      <c r="G125" s="77"/>
      <c r="H125" s="77"/>
      <c r="I125" s="77"/>
      <c r="J125" s="86"/>
    </row>
    <row r="126" spans="1:10" s="78" customFormat="1" ht="21" customHeight="1">
      <c r="A126" s="77"/>
      <c r="B126" s="77"/>
      <c r="C126" s="89"/>
      <c r="D126" s="86"/>
      <c r="E126" s="77"/>
      <c r="F126" s="77"/>
      <c r="G126" s="77"/>
      <c r="H126" s="77"/>
      <c r="I126" s="77"/>
      <c r="J126" s="86"/>
    </row>
    <row r="127" spans="1:10" s="78" customFormat="1" ht="21" customHeight="1">
      <c r="A127" s="77"/>
      <c r="B127" s="77"/>
      <c r="C127" s="89"/>
      <c r="D127" s="86"/>
      <c r="E127" s="77"/>
      <c r="F127" s="77"/>
      <c r="G127" s="77"/>
      <c r="H127" s="77"/>
      <c r="I127" s="77"/>
      <c r="J127" s="86"/>
    </row>
    <row r="128" spans="1:10" s="78" customFormat="1" ht="21" customHeight="1">
      <c r="A128" s="77"/>
      <c r="B128" s="77"/>
      <c r="C128" s="89"/>
      <c r="D128" s="86"/>
      <c r="E128" s="77"/>
      <c r="F128" s="77"/>
      <c r="G128" s="77"/>
      <c r="H128" s="77"/>
      <c r="I128" s="77"/>
      <c r="J128" s="86"/>
    </row>
    <row r="129" spans="1:10" s="78" customFormat="1" ht="21" customHeight="1">
      <c r="A129" s="77"/>
      <c r="B129" s="77"/>
      <c r="C129" s="89"/>
      <c r="D129" s="86"/>
      <c r="E129" s="77"/>
      <c r="F129" s="77"/>
      <c r="G129" s="77"/>
      <c r="H129" s="77"/>
      <c r="I129" s="77"/>
      <c r="J129" s="86"/>
    </row>
    <row r="130" spans="1:10" s="78" customFormat="1" ht="21" customHeight="1">
      <c r="A130" s="77"/>
      <c r="B130" s="77"/>
      <c r="C130" s="89"/>
      <c r="D130" s="86"/>
      <c r="E130" s="77"/>
      <c r="F130" s="77"/>
      <c r="G130" s="77"/>
      <c r="H130" s="77"/>
      <c r="I130" s="77"/>
      <c r="J130" s="86"/>
    </row>
    <row r="131" spans="1:10" s="79" customFormat="1" ht="21" customHeight="1">
      <c r="A131" s="77"/>
      <c r="B131" s="77"/>
      <c r="C131" s="89"/>
      <c r="D131" s="86"/>
      <c r="E131" s="77"/>
      <c r="F131" s="77"/>
      <c r="G131" s="77"/>
      <c r="H131" s="77"/>
      <c r="I131" s="77"/>
      <c r="J131" s="86"/>
    </row>
    <row r="132" spans="1:10" s="79" customFormat="1" ht="21" customHeight="1">
      <c r="A132" s="77"/>
      <c r="B132" s="77"/>
      <c r="C132" s="89"/>
      <c r="D132" s="86"/>
      <c r="E132" s="77"/>
      <c r="F132" s="77"/>
      <c r="G132" s="77"/>
      <c r="H132" s="77"/>
      <c r="I132" s="77"/>
      <c r="J132" s="86"/>
    </row>
    <row r="133" spans="1:10" s="79" customFormat="1" ht="21" customHeight="1">
      <c r="A133" s="77"/>
      <c r="B133" s="77"/>
      <c r="C133" s="89"/>
      <c r="D133" s="86"/>
      <c r="E133" s="77"/>
      <c r="F133" s="77"/>
      <c r="G133" s="77"/>
      <c r="H133" s="77"/>
      <c r="I133" s="77"/>
      <c r="J133" s="86"/>
    </row>
    <row r="134" spans="1:10" s="79" customFormat="1" ht="21" customHeight="1">
      <c r="A134" s="77"/>
      <c r="B134" s="77"/>
      <c r="C134" s="89"/>
      <c r="D134" s="86"/>
      <c r="E134" s="77"/>
      <c r="F134" s="77"/>
      <c r="G134" s="77"/>
      <c r="H134" s="77"/>
      <c r="I134" s="77"/>
      <c r="J134" s="86"/>
    </row>
    <row r="135" spans="1:10" s="79" customFormat="1" ht="21" customHeight="1">
      <c r="A135" s="77"/>
      <c r="B135" s="77"/>
      <c r="C135" s="89"/>
      <c r="D135" s="86"/>
      <c r="E135" s="77"/>
      <c r="F135" s="77"/>
      <c r="G135" s="77"/>
      <c r="H135" s="77"/>
      <c r="I135" s="77"/>
      <c r="J135" s="86"/>
    </row>
    <row r="136" spans="1:10" s="79" customFormat="1" ht="21" customHeight="1">
      <c r="A136" s="77"/>
      <c r="B136" s="77"/>
      <c r="C136" s="89"/>
      <c r="D136" s="86"/>
      <c r="E136" s="77"/>
      <c r="F136" s="77"/>
      <c r="G136" s="77"/>
      <c r="H136" s="77"/>
      <c r="I136" s="77"/>
      <c r="J136" s="86"/>
    </row>
    <row r="137" spans="1:10" s="79" customFormat="1" ht="21" customHeight="1">
      <c r="A137" s="77"/>
      <c r="B137" s="77"/>
      <c r="C137" s="89"/>
      <c r="D137" s="86"/>
      <c r="E137" s="77"/>
      <c r="F137" s="77"/>
      <c r="G137" s="77"/>
      <c r="H137" s="77"/>
      <c r="I137" s="77"/>
      <c r="J137" s="86"/>
    </row>
    <row r="138" spans="1:10" s="79" customFormat="1" ht="21" customHeight="1">
      <c r="A138" s="77"/>
      <c r="B138" s="77"/>
      <c r="C138" s="89"/>
      <c r="D138" s="86"/>
      <c r="E138" s="77"/>
      <c r="F138" s="77"/>
      <c r="G138" s="77"/>
      <c r="H138" s="77"/>
      <c r="I138" s="77"/>
      <c r="J138" s="86"/>
    </row>
    <row r="139" spans="1:10" s="79" customFormat="1" ht="21" customHeight="1">
      <c r="A139" s="77"/>
      <c r="B139" s="77"/>
      <c r="C139" s="89"/>
      <c r="D139" s="86"/>
      <c r="E139" s="77"/>
      <c r="F139" s="77"/>
      <c r="G139" s="77"/>
      <c r="H139" s="77"/>
      <c r="I139" s="77"/>
      <c r="J139" s="86"/>
    </row>
    <row r="140" spans="1:10" s="79" customFormat="1" ht="21" customHeight="1">
      <c r="A140" s="77"/>
      <c r="B140" s="77"/>
      <c r="C140" s="89"/>
      <c r="D140" s="86"/>
      <c r="E140" s="77"/>
      <c r="F140" s="77"/>
      <c r="G140" s="77"/>
      <c r="H140" s="77"/>
      <c r="I140" s="77"/>
      <c r="J140" s="86"/>
    </row>
    <row r="141" spans="1:10" s="79" customFormat="1" ht="21" customHeight="1">
      <c r="A141" s="77"/>
      <c r="B141" s="77"/>
      <c r="C141" s="89"/>
      <c r="D141" s="86"/>
      <c r="E141" s="77"/>
      <c r="F141" s="77"/>
      <c r="G141" s="77"/>
      <c r="H141" s="77"/>
      <c r="I141" s="77"/>
      <c r="J141" s="86"/>
    </row>
    <row r="142" spans="1:10" s="79" customFormat="1" ht="21" customHeight="1">
      <c r="A142" s="77"/>
      <c r="B142" s="77"/>
      <c r="C142" s="89"/>
      <c r="D142" s="86"/>
      <c r="E142" s="77"/>
      <c r="F142" s="77"/>
      <c r="G142" s="77"/>
      <c r="H142" s="77"/>
      <c r="I142" s="77"/>
      <c r="J142" s="86"/>
    </row>
    <row r="143" spans="1:10" s="79" customFormat="1" ht="21" customHeight="1">
      <c r="A143" s="77"/>
      <c r="B143" s="77"/>
      <c r="C143" s="89"/>
      <c r="D143" s="86"/>
      <c r="E143" s="77"/>
      <c r="F143" s="77"/>
      <c r="G143" s="77"/>
      <c r="H143" s="77"/>
      <c r="I143" s="77"/>
      <c r="J143" s="86"/>
    </row>
    <row r="144" spans="1:10" s="79" customFormat="1" ht="21" customHeight="1">
      <c r="A144" s="77"/>
      <c r="B144" s="77"/>
      <c r="C144" s="89"/>
      <c r="D144" s="86"/>
      <c r="E144" s="77"/>
      <c r="F144" s="77"/>
      <c r="G144" s="77"/>
      <c r="H144" s="77"/>
      <c r="I144" s="77"/>
      <c r="J144" s="86"/>
    </row>
    <row r="145" spans="1:10" s="79" customFormat="1" ht="21" customHeight="1">
      <c r="A145" s="77"/>
      <c r="B145" s="77"/>
      <c r="C145" s="89"/>
      <c r="D145" s="86"/>
      <c r="E145" s="77"/>
      <c r="F145" s="77"/>
      <c r="G145" s="77"/>
      <c r="H145" s="77"/>
      <c r="I145" s="77"/>
      <c r="J145" s="86"/>
    </row>
    <row r="146" spans="1:10" s="79" customFormat="1" ht="21" customHeight="1">
      <c r="A146" s="77"/>
      <c r="B146" s="77"/>
      <c r="C146" s="89"/>
      <c r="D146" s="86"/>
      <c r="E146" s="77"/>
      <c r="F146" s="77"/>
      <c r="G146" s="77"/>
      <c r="H146" s="77"/>
      <c r="I146" s="77"/>
      <c r="J146" s="86"/>
    </row>
    <row r="147" spans="1:10" s="79" customFormat="1" ht="21" customHeight="1">
      <c r="A147" s="77"/>
      <c r="B147" s="77"/>
      <c r="C147" s="89"/>
      <c r="D147" s="86"/>
      <c r="E147" s="77"/>
      <c r="F147" s="77"/>
      <c r="G147" s="77"/>
      <c r="H147" s="77"/>
      <c r="I147" s="77"/>
      <c r="J147" s="86"/>
    </row>
    <row r="148" spans="1:10" s="79" customFormat="1" ht="21" customHeight="1">
      <c r="A148" s="77"/>
      <c r="B148" s="77"/>
      <c r="C148" s="89"/>
      <c r="D148" s="86"/>
      <c r="E148" s="77"/>
      <c r="F148" s="77"/>
      <c r="G148" s="77"/>
      <c r="H148" s="77"/>
      <c r="I148" s="77"/>
      <c r="J148" s="86"/>
    </row>
    <row r="149" spans="1:10" s="78" customFormat="1" ht="21" customHeight="1">
      <c r="A149" s="77"/>
      <c r="B149" s="77"/>
      <c r="C149" s="89"/>
      <c r="D149" s="86"/>
      <c r="E149" s="77"/>
      <c r="F149" s="77"/>
      <c r="G149" s="77"/>
      <c r="H149" s="77"/>
      <c r="I149" s="77"/>
      <c r="J149" s="86"/>
    </row>
    <row r="150" spans="1:10" s="79" customFormat="1" ht="21" customHeight="1">
      <c r="A150" s="77"/>
      <c r="B150" s="77"/>
      <c r="C150" s="89"/>
      <c r="D150" s="86"/>
      <c r="E150" s="77"/>
      <c r="F150" s="77"/>
      <c r="G150" s="77"/>
      <c r="H150" s="77"/>
      <c r="I150" s="77"/>
      <c r="J150" s="86"/>
    </row>
    <row r="151" spans="1:10" s="79" customFormat="1" ht="21" customHeight="1">
      <c r="A151" s="77"/>
      <c r="B151" s="77"/>
      <c r="C151" s="89"/>
      <c r="D151" s="86"/>
      <c r="E151" s="77"/>
      <c r="F151" s="77"/>
      <c r="G151" s="77"/>
      <c r="H151" s="77"/>
      <c r="I151" s="77"/>
      <c r="J151" s="86"/>
    </row>
    <row r="152" spans="1:10" s="78" customFormat="1" ht="21" customHeight="1">
      <c r="A152" s="77"/>
      <c r="B152" s="77"/>
      <c r="C152" s="89"/>
      <c r="D152" s="86"/>
      <c r="E152" s="77"/>
      <c r="F152" s="77"/>
      <c r="G152" s="77"/>
      <c r="H152" s="77"/>
      <c r="I152" s="77"/>
      <c r="J152" s="86"/>
    </row>
    <row r="153" spans="1:10" s="78" customFormat="1" ht="21" customHeight="1">
      <c r="A153" s="77"/>
      <c r="B153" s="77"/>
      <c r="C153" s="89"/>
      <c r="D153" s="86"/>
      <c r="E153" s="77"/>
      <c r="F153" s="77"/>
      <c r="G153" s="77"/>
      <c r="H153" s="77"/>
      <c r="I153" s="77"/>
      <c r="J153" s="86"/>
    </row>
    <row r="154" spans="1:10" s="78" customFormat="1" ht="21" customHeight="1">
      <c r="A154" s="77"/>
      <c r="B154" s="77"/>
      <c r="C154" s="89"/>
      <c r="D154" s="86"/>
      <c r="E154" s="77"/>
      <c r="F154" s="77"/>
      <c r="G154" s="77"/>
      <c r="H154" s="77"/>
      <c r="I154" s="77"/>
      <c r="J154" s="86"/>
    </row>
    <row r="155" spans="1:10" s="78" customFormat="1" ht="21" customHeight="1">
      <c r="A155" s="77"/>
      <c r="B155" s="77"/>
      <c r="C155" s="89"/>
      <c r="D155" s="86"/>
      <c r="E155" s="77"/>
      <c r="F155" s="77"/>
      <c r="G155" s="77"/>
      <c r="H155" s="77"/>
      <c r="I155" s="77"/>
      <c r="J155" s="86"/>
    </row>
    <row r="156" spans="1:10" s="78" customFormat="1" ht="21" customHeight="1">
      <c r="A156" s="77"/>
      <c r="B156" s="77"/>
      <c r="C156" s="89"/>
      <c r="D156" s="86"/>
      <c r="E156" s="77"/>
      <c r="F156" s="77"/>
      <c r="G156" s="77"/>
      <c r="H156" s="77"/>
      <c r="I156" s="77"/>
      <c r="J156" s="86"/>
    </row>
    <row r="157" spans="1:10" s="78" customFormat="1" ht="21" customHeight="1">
      <c r="A157" s="77"/>
      <c r="B157" s="77"/>
      <c r="C157" s="89"/>
      <c r="D157" s="86"/>
      <c r="E157" s="77"/>
      <c r="F157" s="77"/>
      <c r="G157" s="77"/>
      <c r="H157" s="77"/>
      <c r="I157" s="77"/>
      <c r="J157" s="86"/>
    </row>
    <row r="158" spans="1:10" s="78" customFormat="1" ht="21" customHeight="1">
      <c r="A158" s="77"/>
      <c r="B158" s="77"/>
      <c r="C158" s="89"/>
      <c r="D158" s="86"/>
      <c r="E158" s="77"/>
      <c r="F158" s="77"/>
      <c r="G158" s="77"/>
      <c r="H158" s="77"/>
      <c r="I158" s="77"/>
      <c r="J158" s="86"/>
    </row>
    <row r="159" spans="1:10" s="78" customFormat="1" ht="21" customHeight="1">
      <c r="A159" s="77"/>
      <c r="B159" s="77"/>
      <c r="C159" s="89"/>
      <c r="D159" s="86"/>
      <c r="E159" s="77"/>
      <c r="F159" s="77"/>
      <c r="G159" s="77"/>
      <c r="H159" s="77"/>
      <c r="I159" s="77"/>
      <c r="J159" s="86"/>
    </row>
    <row r="160" spans="1:10" s="78" customFormat="1" ht="21" customHeight="1">
      <c r="A160" s="77"/>
      <c r="B160" s="77"/>
      <c r="C160" s="89"/>
      <c r="D160" s="86"/>
      <c r="E160" s="77"/>
      <c r="F160" s="77"/>
      <c r="G160" s="77"/>
      <c r="H160" s="77"/>
      <c r="I160" s="77"/>
      <c r="J160" s="86"/>
    </row>
    <row r="161" spans="1:10" s="78" customFormat="1" ht="21" customHeight="1">
      <c r="A161" s="77"/>
      <c r="B161" s="77"/>
      <c r="C161" s="89"/>
      <c r="D161" s="86"/>
      <c r="E161" s="77"/>
      <c r="F161" s="77"/>
      <c r="G161" s="77"/>
      <c r="H161" s="77"/>
      <c r="I161" s="77"/>
      <c r="J161" s="86"/>
    </row>
    <row r="162" spans="1:10" s="78" customFormat="1" ht="21" customHeight="1">
      <c r="A162" s="77"/>
      <c r="B162" s="77"/>
      <c r="C162" s="89"/>
      <c r="D162" s="86"/>
      <c r="E162" s="77"/>
      <c r="F162" s="77"/>
      <c r="G162" s="77"/>
      <c r="H162" s="77"/>
      <c r="I162" s="77"/>
      <c r="J162" s="86"/>
    </row>
    <row r="163" spans="1:10" s="78" customFormat="1" ht="21" customHeight="1">
      <c r="A163" s="77"/>
      <c r="B163" s="77"/>
      <c r="C163" s="89"/>
      <c r="D163" s="86"/>
      <c r="E163" s="77"/>
      <c r="F163" s="77"/>
      <c r="G163" s="77"/>
      <c r="H163" s="77"/>
      <c r="I163" s="77"/>
      <c r="J163" s="86"/>
    </row>
    <row r="164" spans="1:10" s="78" customFormat="1" ht="21" customHeight="1">
      <c r="A164" s="77"/>
      <c r="B164" s="77"/>
      <c r="C164" s="89"/>
      <c r="D164" s="86"/>
      <c r="E164" s="77"/>
      <c r="F164" s="77"/>
      <c r="G164" s="77"/>
      <c r="H164" s="77"/>
      <c r="I164" s="77"/>
      <c r="J164" s="86"/>
    </row>
    <row r="165" spans="1:10" s="78" customFormat="1" ht="21" customHeight="1">
      <c r="A165" s="77"/>
      <c r="B165" s="77"/>
      <c r="C165" s="89"/>
      <c r="D165" s="86"/>
      <c r="E165" s="77"/>
      <c r="F165" s="77"/>
      <c r="G165" s="77"/>
      <c r="H165" s="77"/>
      <c r="I165" s="77"/>
      <c r="J165" s="86"/>
    </row>
    <row r="166" spans="1:10" s="78" customFormat="1" ht="21" customHeight="1">
      <c r="A166" s="77"/>
      <c r="B166" s="77"/>
      <c r="C166" s="89"/>
      <c r="D166" s="86"/>
      <c r="E166" s="77"/>
      <c r="F166" s="77"/>
      <c r="G166" s="77"/>
      <c r="H166" s="77"/>
      <c r="I166" s="77"/>
      <c r="J166" s="86"/>
    </row>
    <row r="167" spans="1:10" s="78" customFormat="1" ht="21" customHeight="1">
      <c r="A167" s="77"/>
      <c r="B167" s="77"/>
      <c r="C167" s="89"/>
      <c r="D167" s="86"/>
      <c r="E167" s="77"/>
      <c r="F167" s="77"/>
      <c r="G167" s="77"/>
      <c r="H167" s="77"/>
      <c r="I167" s="77"/>
      <c r="J167" s="86"/>
    </row>
    <row r="168" spans="1:10" s="78" customFormat="1" ht="21" customHeight="1">
      <c r="A168" s="77"/>
      <c r="B168" s="77"/>
      <c r="C168" s="89"/>
      <c r="D168" s="86"/>
      <c r="E168" s="77"/>
      <c r="F168" s="77"/>
      <c r="G168" s="77"/>
      <c r="H168" s="77"/>
      <c r="I168" s="77"/>
      <c r="J168" s="86"/>
    </row>
    <row r="169" spans="1:10" s="78" customFormat="1" ht="21" customHeight="1">
      <c r="A169" s="77"/>
      <c r="B169" s="77"/>
      <c r="C169" s="89"/>
      <c r="D169" s="86"/>
      <c r="E169" s="77"/>
      <c r="F169" s="77"/>
      <c r="G169" s="77"/>
      <c r="H169" s="77"/>
      <c r="I169" s="77"/>
      <c r="J169" s="86"/>
    </row>
    <row r="170" spans="1:10" s="78" customFormat="1" ht="21" customHeight="1">
      <c r="A170" s="77"/>
      <c r="B170" s="77"/>
      <c r="C170" s="89"/>
      <c r="D170" s="86"/>
      <c r="E170" s="77"/>
      <c r="F170" s="77"/>
      <c r="G170" s="77"/>
      <c r="H170" s="77"/>
      <c r="I170" s="77"/>
      <c r="J170" s="86"/>
    </row>
    <row r="171" spans="1:10" s="78" customFormat="1" ht="21" customHeight="1">
      <c r="A171" s="77"/>
      <c r="B171" s="77"/>
      <c r="C171" s="89"/>
      <c r="D171" s="86"/>
      <c r="E171" s="77"/>
      <c r="F171" s="77"/>
      <c r="G171" s="77"/>
      <c r="H171" s="77"/>
      <c r="I171" s="77"/>
      <c r="J171" s="86"/>
    </row>
    <row r="172" spans="1:10" s="78" customFormat="1" ht="21" customHeight="1">
      <c r="A172" s="77"/>
      <c r="B172" s="77"/>
      <c r="C172" s="89"/>
      <c r="D172" s="86"/>
      <c r="E172" s="77"/>
      <c r="F172" s="77"/>
      <c r="G172" s="77"/>
      <c r="H172" s="77"/>
      <c r="I172" s="77"/>
      <c r="J172" s="86"/>
    </row>
    <row r="173" spans="1:10" s="78" customFormat="1" ht="21" customHeight="1">
      <c r="A173" s="77"/>
      <c r="B173" s="77"/>
      <c r="C173" s="89"/>
      <c r="D173" s="86"/>
      <c r="E173" s="77"/>
      <c r="F173" s="77"/>
      <c r="G173" s="77"/>
      <c r="H173" s="77"/>
      <c r="I173" s="77"/>
      <c r="J173" s="86"/>
    </row>
    <row r="174" spans="1:10" s="78" customFormat="1" ht="21" customHeight="1">
      <c r="A174" s="77"/>
      <c r="B174" s="77"/>
      <c r="C174" s="89"/>
      <c r="D174" s="86"/>
      <c r="E174" s="77"/>
      <c r="F174" s="77"/>
      <c r="G174" s="77"/>
      <c r="H174" s="77"/>
      <c r="I174" s="77"/>
      <c r="J174" s="86"/>
    </row>
    <row r="175" spans="1:10" s="78" customFormat="1" ht="21" customHeight="1">
      <c r="A175" s="77"/>
      <c r="B175" s="77"/>
      <c r="C175" s="89"/>
      <c r="D175" s="86"/>
      <c r="E175" s="77"/>
      <c r="F175" s="77"/>
      <c r="G175" s="77"/>
      <c r="H175" s="77"/>
      <c r="I175" s="77"/>
      <c r="J175" s="86"/>
    </row>
    <row r="176" spans="1:10" s="78" customFormat="1" ht="21" customHeight="1">
      <c r="A176" s="77"/>
      <c r="B176" s="77"/>
      <c r="C176" s="89"/>
      <c r="D176" s="86"/>
      <c r="E176" s="77"/>
      <c r="F176" s="77"/>
      <c r="G176" s="77"/>
      <c r="H176" s="77"/>
      <c r="I176" s="77"/>
      <c r="J176" s="86"/>
    </row>
    <row r="177" spans="1:10" s="78" customFormat="1" ht="21" customHeight="1">
      <c r="A177" s="77"/>
      <c r="B177" s="77"/>
      <c r="C177" s="89"/>
      <c r="D177" s="86"/>
      <c r="E177" s="77"/>
      <c r="F177" s="77"/>
      <c r="G177" s="77"/>
      <c r="H177" s="77"/>
      <c r="I177" s="77"/>
      <c r="J177" s="86"/>
    </row>
    <row r="178" spans="1:10" s="78" customFormat="1" ht="21" customHeight="1">
      <c r="A178" s="77"/>
      <c r="B178" s="77"/>
      <c r="C178" s="89"/>
      <c r="D178" s="86"/>
      <c r="E178" s="77"/>
      <c r="F178" s="77"/>
      <c r="G178" s="77"/>
      <c r="H178" s="77"/>
      <c r="I178" s="77"/>
      <c r="J178" s="86"/>
    </row>
    <row r="179" spans="1:10" s="78" customFormat="1" ht="21" customHeight="1">
      <c r="A179" s="77"/>
      <c r="B179" s="77"/>
      <c r="C179" s="89"/>
      <c r="D179" s="86"/>
      <c r="E179" s="77"/>
      <c r="F179" s="77"/>
      <c r="G179" s="77"/>
      <c r="H179" s="77"/>
      <c r="I179" s="77"/>
      <c r="J179" s="86"/>
    </row>
    <row r="180" spans="1:10" s="78" customFormat="1" ht="21" customHeight="1">
      <c r="A180" s="77"/>
      <c r="B180" s="77"/>
      <c r="C180" s="89"/>
      <c r="D180" s="86"/>
      <c r="E180" s="77"/>
      <c r="F180" s="77"/>
      <c r="G180" s="77"/>
      <c r="H180" s="77"/>
      <c r="I180" s="77"/>
      <c r="J180" s="86"/>
    </row>
    <row r="181" spans="1:10" s="78" customFormat="1" ht="21" customHeight="1">
      <c r="A181" s="77"/>
      <c r="B181" s="77"/>
      <c r="C181" s="89"/>
      <c r="D181" s="86"/>
      <c r="E181" s="77"/>
      <c r="F181" s="77"/>
      <c r="G181" s="77"/>
      <c r="H181" s="77"/>
      <c r="I181" s="77"/>
      <c r="J181" s="86"/>
    </row>
    <row r="182" spans="1:10" s="78" customFormat="1" ht="21" customHeight="1">
      <c r="A182" s="77"/>
      <c r="B182" s="77"/>
      <c r="C182" s="89"/>
      <c r="D182" s="86"/>
      <c r="E182" s="77"/>
      <c r="F182" s="77"/>
      <c r="G182" s="77"/>
      <c r="H182" s="77"/>
      <c r="I182" s="77"/>
      <c r="J182" s="86"/>
    </row>
    <row r="183" spans="1:10" s="78" customFormat="1" ht="21" customHeight="1">
      <c r="A183" s="77"/>
      <c r="B183" s="77"/>
      <c r="C183" s="89"/>
      <c r="D183" s="86"/>
      <c r="E183" s="77"/>
      <c r="F183" s="77"/>
      <c r="G183" s="77"/>
      <c r="H183" s="77"/>
      <c r="I183" s="77"/>
      <c r="J183" s="86"/>
    </row>
    <row r="184" spans="1:10" s="78" customFormat="1" ht="21" customHeight="1">
      <c r="A184" s="77"/>
      <c r="B184" s="77"/>
      <c r="C184" s="89"/>
      <c r="D184" s="86"/>
      <c r="E184" s="77"/>
      <c r="F184" s="77"/>
      <c r="G184" s="77"/>
      <c r="H184" s="77"/>
      <c r="I184" s="77"/>
      <c r="J184" s="86"/>
    </row>
    <row r="185" spans="1:10" s="78" customFormat="1" ht="21" customHeight="1">
      <c r="A185" s="77"/>
      <c r="B185" s="77"/>
      <c r="C185" s="89"/>
      <c r="D185" s="86"/>
      <c r="E185" s="77"/>
      <c r="F185" s="77"/>
      <c r="G185" s="77"/>
      <c r="H185" s="77"/>
      <c r="I185" s="77"/>
      <c r="J185" s="86"/>
    </row>
    <row r="186" spans="1:10" s="78" customFormat="1" ht="21" customHeight="1">
      <c r="A186" s="77"/>
      <c r="B186" s="77"/>
      <c r="C186" s="89"/>
      <c r="D186" s="86"/>
      <c r="E186" s="77"/>
      <c r="F186" s="77"/>
      <c r="G186" s="77"/>
      <c r="H186" s="77"/>
      <c r="I186" s="77"/>
      <c r="J186" s="86"/>
    </row>
    <row r="187" spans="1:10" s="78" customFormat="1" ht="21" customHeight="1">
      <c r="A187" s="77"/>
      <c r="B187" s="77"/>
      <c r="C187" s="89"/>
      <c r="D187" s="86"/>
      <c r="E187" s="77"/>
      <c r="F187" s="77"/>
      <c r="G187" s="77"/>
      <c r="H187" s="77"/>
      <c r="I187" s="77"/>
      <c r="J187" s="86"/>
    </row>
    <row r="188" spans="1:10" s="78" customFormat="1" ht="21" customHeight="1">
      <c r="A188" s="77"/>
      <c r="B188" s="77"/>
      <c r="C188" s="89"/>
      <c r="D188" s="86"/>
      <c r="E188" s="77"/>
      <c r="F188" s="77"/>
      <c r="G188" s="77"/>
      <c r="H188" s="77"/>
      <c r="I188" s="77"/>
      <c r="J188" s="86"/>
    </row>
    <row r="189" spans="1:10" s="78" customFormat="1" ht="21" customHeight="1">
      <c r="A189" s="77"/>
      <c r="B189" s="77"/>
      <c r="C189" s="89"/>
      <c r="D189" s="86"/>
      <c r="E189" s="77"/>
      <c r="F189" s="77"/>
      <c r="G189" s="77"/>
      <c r="H189" s="77"/>
      <c r="I189" s="77"/>
      <c r="J189" s="86"/>
    </row>
    <row r="190" spans="1:10" s="78" customFormat="1" ht="21" customHeight="1">
      <c r="A190" s="77"/>
      <c r="B190" s="77"/>
      <c r="C190" s="89"/>
      <c r="D190" s="86"/>
      <c r="E190" s="77"/>
      <c r="F190" s="77"/>
      <c r="G190" s="77"/>
      <c r="H190" s="77"/>
      <c r="I190" s="77"/>
      <c r="J190" s="86"/>
    </row>
    <row r="191" spans="1:10" s="78" customFormat="1" ht="21" customHeight="1">
      <c r="A191" s="77"/>
      <c r="B191" s="77"/>
      <c r="C191" s="89"/>
      <c r="D191" s="86"/>
      <c r="E191" s="77"/>
      <c r="F191" s="77"/>
      <c r="G191" s="77"/>
      <c r="H191" s="77"/>
      <c r="I191" s="77"/>
      <c r="J191" s="86"/>
    </row>
    <row r="192" spans="1:10" s="78" customFormat="1" ht="21" customHeight="1">
      <c r="A192" s="77"/>
      <c r="B192" s="77"/>
      <c r="C192" s="89"/>
      <c r="D192" s="86"/>
      <c r="E192" s="77"/>
      <c r="F192" s="77"/>
      <c r="G192" s="77"/>
      <c r="H192" s="77"/>
      <c r="I192" s="77"/>
      <c r="J192" s="86"/>
    </row>
    <row r="193" spans="1:10" s="78" customFormat="1" ht="21" customHeight="1">
      <c r="A193" s="77"/>
      <c r="B193" s="77"/>
      <c r="C193" s="89"/>
      <c r="D193" s="86"/>
      <c r="E193" s="77"/>
      <c r="F193" s="77"/>
      <c r="G193" s="77"/>
      <c r="H193" s="77"/>
      <c r="I193" s="77"/>
      <c r="J193" s="86"/>
    </row>
    <row r="194" spans="1:10" s="78" customFormat="1" ht="21" customHeight="1">
      <c r="A194" s="77"/>
      <c r="B194" s="77"/>
      <c r="C194" s="89"/>
      <c r="D194" s="86"/>
      <c r="E194" s="77"/>
      <c r="F194" s="77"/>
      <c r="G194" s="77"/>
      <c r="H194" s="77"/>
      <c r="I194" s="77"/>
      <c r="J194" s="86"/>
    </row>
    <row r="195" spans="1:10" s="78" customFormat="1" ht="21" customHeight="1">
      <c r="A195" s="77"/>
      <c r="B195" s="77"/>
      <c r="C195" s="89"/>
      <c r="D195" s="86"/>
      <c r="E195" s="77"/>
      <c r="F195" s="77"/>
      <c r="G195" s="77"/>
      <c r="H195" s="77"/>
      <c r="I195" s="77"/>
      <c r="J195" s="86"/>
    </row>
    <row r="196" spans="1:10" s="78" customFormat="1" ht="21" customHeight="1">
      <c r="A196" s="77"/>
      <c r="B196" s="77"/>
      <c r="C196" s="89"/>
      <c r="D196" s="86"/>
      <c r="E196" s="77"/>
      <c r="F196" s="77"/>
      <c r="G196" s="77"/>
      <c r="H196" s="77"/>
      <c r="I196" s="77"/>
      <c r="J196" s="86"/>
    </row>
    <row r="197" spans="1:10" s="78" customFormat="1" ht="21" customHeight="1">
      <c r="A197" s="77"/>
      <c r="B197" s="77"/>
      <c r="C197" s="89"/>
      <c r="D197" s="86"/>
      <c r="E197" s="77"/>
      <c r="F197" s="77"/>
      <c r="G197" s="77"/>
      <c r="H197" s="77"/>
      <c r="I197" s="77"/>
      <c r="J197" s="86"/>
    </row>
    <row r="198" spans="1:10" s="78" customFormat="1" ht="21" customHeight="1">
      <c r="A198" s="77"/>
      <c r="B198" s="77"/>
      <c r="C198" s="89"/>
      <c r="D198" s="86"/>
      <c r="E198" s="77"/>
      <c r="F198" s="77"/>
      <c r="G198" s="77"/>
      <c r="H198" s="77"/>
      <c r="I198" s="77"/>
      <c r="J198" s="86"/>
    </row>
    <row r="199" spans="1:10" s="78" customFormat="1" ht="21" customHeight="1">
      <c r="A199" s="77"/>
      <c r="B199" s="77"/>
      <c r="C199" s="89"/>
      <c r="D199" s="86"/>
      <c r="E199" s="77"/>
      <c r="F199" s="77"/>
      <c r="G199" s="77"/>
      <c r="H199" s="77"/>
      <c r="I199" s="77"/>
      <c r="J199" s="86"/>
    </row>
    <row r="200" spans="1:10" s="78" customFormat="1" ht="21" customHeight="1">
      <c r="A200" s="77"/>
      <c r="B200" s="77"/>
      <c r="C200" s="89"/>
      <c r="D200" s="86"/>
      <c r="E200" s="77"/>
      <c r="F200" s="77"/>
      <c r="G200" s="77"/>
      <c r="H200" s="77"/>
      <c r="I200" s="77"/>
      <c r="J200" s="86"/>
    </row>
    <row r="201" spans="1:10" s="78" customFormat="1" ht="21" customHeight="1">
      <c r="A201" s="77"/>
      <c r="B201" s="77"/>
      <c r="C201" s="89"/>
      <c r="D201" s="86"/>
      <c r="E201" s="77"/>
      <c r="F201" s="77"/>
      <c r="G201" s="77"/>
      <c r="H201" s="77"/>
      <c r="I201" s="77"/>
      <c r="J201" s="86"/>
    </row>
    <row r="202" spans="1:10" s="78" customFormat="1" ht="21" customHeight="1">
      <c r="A202" s="77"/>
      <c r="B202" s="77"/>
      <c r="C202" s="89"/>
      <c r="D202" s="86"/>
      <c r="E202" s="77"/>
      <c r="F202" s="77"/>
      <c r="G202" s="77"/>
      <c r="H202" s="77"/>
      <c r="I202" s="77"/>
      <c r="J202" s="86"/>
    </row>
    <row r="203" spans="1:10" s="78" customFormat="1" ht="21" customHeight="1">
      <c r="A203" s="77"/>
      <c r="B203" s="77"/>
      <c r="C203" s="89"/>
      <c r="D203" s="86"/>
      <c r="E203" s="77"/>
      <c r="F203" s="77"/>
      <c r="G203" s="77"/>
      <c r="H203" s="77"/>
      <c r="I203" s="77"/>
      <c r="J203" s="86"/>
    </row>
    <row r="204" spans="1:10" s="78" customFormat="1" ht="21" customHeight="1">
      <c r="A204" s="77"/>
      <c r="B204" s="77"/>
      <c r="C204" s="89"/>
      <c r="D204" s="86"/>
      <c r="E204" s="77"/>
      <c r="F204" s="77"/>
      <c r="G204" s="77"/>
      <c r="H204" s="77"/>
      <c r="I204" s="77"/>
      <c r="J204" s="86"/>
    </row>
    <row r="205" spans="1:10" s="78" customFormat="1" ht="21" customHeight="1">
      <c r="A205" s="77"/>
      <c r="B205" s="77"/>
      <c r="C205" s="89"/>
      <c r="D205" s="86"/>
      <c r="E205" s="77"/>
      <c r="F205" s="77"/>
      <c r="G205" s="77"/>
      <c r="H205" s="77"/>
      <c r="I205" s="77"/>
      <c r="J205" s="86"/>
    </row>
    <row r="206" spans="1:10" s="78" customFormat="1" ht="21" customHeight="1">
      <c r="A206" s="77"/>
      <c r="B206" s="77"/>
      <c r="C206" s="89"/>
      <c r="D206" s="86"/>
      <c r="E206" s="77"/>
      <c r="F206" s="77"/>
      <c r="G206" s="77"/>
      <c r="H206" s="77"/>
      <c r="I206" s="77"/>
      <c r="J206" s="86"/>
    </row>
    <row r="207" spans="1:10" s="78" customFormat="1" ht="21" customHeight="1">
      <c r="A207" s="77"/>
      <c r="B207" s="77"/>
      <c r="C207" s="89"/>
      <c r="D207" s="86"/>
      <c r="E207" s="77"/>
      <c r="F207" s="77"/>
      <c r="G207" s="77"/>
      <c r="H207" s="77"/>
      <c r="I207" s="77"/>
      <c r="J207" s="86"/>
    </row>
    <row r="208" spans="1:10" s="78" customFormat="1" ht="21" customHeight="1">
      <c r="A208" s="77"/>
      <c r="B208" s="77"/>
      <c r="C208" s="89"/>
      <c r="D208" s="86"/>
      <c r="E208" s="77"/>
      <c r="F208" s="77"/>
      <c r="G208" s="77"/>
      <c r="H208" s="77"/>
      <c r="I208" s="77"/>
      <c r="J208" s="86"/>
    </row>
    <row r="209" spans="1:10" s="78" customFormat="1" ht="21" customHeight="1">
      <c r="A209" s="77"/>
      <c r="B209" s="77"/>
      <c r="C209" s="89"/>
      <c r="D209" s="86"/>
      <c r="E209" s="77"/>
      <c r="F209" s="77"/>
      <c r="G209" s="77"/>
      <c r="H209" s="77"/>
      <c r="I209" s="77"/>
      <c r="J209" s="86"/>
    </row>
    <row r="210" spans="1:10" s="78" customFormat="1" ht="21" customHeight="1">
      <c r="A210" s="77"/>
      <c r="B210" s="77"/>
      <c r="C210" s="89"/>
      <c r="D210" s="86"/>
      <c r="E210" s="77"/>
      <c r="F210" s="77"/>
      <c r="G210" s="77"/>
      <c r="H210" s="77"/>
      <c r="I210" s="77"/>
      <c r="J210" s="86"/>
    </row>
    <row r="211" spans="1:10" s="78" customFormat="1" ht="21" customHeight="1">
      <c r="A211" s="77"/>
      <c r="B211" s="77"/>
      <c r="C211" s="89"/>
      <c r="D211" s="86"/>
      <c r="E211" s="77"/>
      <c r="F211" s="77"/>
      <c r="G211" s="77"/>
      <c r="H211" s="77"/>
      <c r="I211" s="77"/>
      <c r="J211" s="86"/>
    </row>
    <row r="212" spans="1:10" s="78" customFormat="1" ht="21" customHeight="1">
      <c r="A212" s="77"/>
      <c r="B212" s="77"/>
      <c r="C212" s="89"/>
      <c r="D212" s="86"/>
      <c r="E212" s="77"/>
      <c r="F212" s="77"/>
      <c r="G212" s="77"/>
      <c r="H212" s="77"/>
      <c r="I212" s="77"/>
      <c r="J212" s="86"/>
    </row>
    <row r="213" spans="1:10" s="78" customFormat="1" ht="21" customHeight="1">
      <c r="A213" s="77"/>
      <c r="B213" s="77"/>
      <c r="C213" s="89"/>
      <c r="D213" s="86"/>
      <c r="E213" s="77"/>
      <c r="F213" s="77"/>
      <c r="G213" s="77"/>
      <c r="H213" s="77"/>
      <c r="I213" s="77"/>
      <c r="J213" s="86"/>
    </row>
    <row r="214" spans="1:10" s="78" customFormat="1" ht="21" customHeight="1">
      <c r="A214" s="77"/>
      <c r="B214" s="77"/>
      <c r="C214" s="89"/>
      <c r="D214" s="86"/>
      <c r="E214" s="77"/>
      <c r="F214" s="77"/>
      <c r="G214" s="77"/>
      <c r="H214" s="77"/>
      <c r="I214" s="77"/>
      <c r="J214" s="86"/>
    </row>
    <row r="215" spans="1:10" s="78" customFormat="1" ht="21" customHeight="1">
      <c r="A215" s="77"/>
      <c r="B215" s="77"/>
      <c r="C215" s="89"/>
      <c r="D215" s="86"/>
      <c r="E215" s="77"/>
      <c r="F215" s="77"/>
      <c r="G215" s="77"/>
      <c r="H215" s="77"/>
      <c r="I215" s="77"/>
      <c r="J215" s="86"/>
    </row>
    <row r="216" spans="1:10" s="78" customFormat="1" ht="21" customHeight="1">
      <c r="A216" s="77"/>
      <c r="B216" s="77"/>
      <c r="C216" s="89"/>
      <c r="D216" s="86"/>
      <c r="E216" s="77"/>
      <c r="F216" s="77"/>
      <c r="G216" s="77"/>
      <c r="H216" s="77"/>
      <c r="I216" s="77"/>
      <c r="J216" s="86"/>
    </row>
    <row r="217" spans="1:10" s="78" customFormat="1" ht="21" customHeight="1">
      <c r="A217" s="77"/>
      <c r="B217" s="77"/>
      <c r="C217" s="89"/>
      <c r="D217" s="86"/>
      <c r="E217" s="77"/>
      <c r="F217" s="77"/>
      <c r="G217" s="77"/>
      <c r="H217" s="77"/>
      <c r="I217" s="77"/>
      <c r="J217" s="86"/>
    </row>
    <row r="218" spans="1:10" s="78" customFormat="1" ht="21" customHeight="1">
      <c r="A218" s="77"/>
      <c r="B218" s="77"/>
      <c r="C218" s="89"/>
      <c r="D218" s="86"/>
      <c r="E218" s="77"/>
      <c r="F218" s="77"/>
      <c r="G218" s="77"/>
      <c r="H218" s="77"/>
      <c r="I218" s="77"/>
      <c r="J218" s="86"/>
    </row>
    <row r="219" spans="1:10" s="78" customFormat="1" ht="21" customHeight="1">
      <c r="A219" s="77"/>
      <c r="B219" s="77"/>
      <c r="C219" s="89"/>
      <c r="D219" s="86"/>
      <c r="E219" s="77"/>
      <c r="F219" s="77"/>
      <c r="G219" s="77"/>
      <c r="H219" s="77"/>
      <c r="I219" s="77"/>
      <c r="J219" s="86"/>
    </row>
    <row r="220" spans="1:10" s="78" customFormat="1" ht="21" customHeight="1">
      <c r="A220" s="77"/>
      <c r="B220" s="77"/>
      <c r="C220" s="89"/>
      <c r="D220" s="86"/>
      <c r="E220" s="77"/>
      <c r="F220" s="77"/>
      <c r="G220" s="77"/>
      <c r="H220" s="77"/>
      <c r="I220" s="77"/>
      <c r="J220" s="86"/>
    </row>
    <row r="221" spans="1:10" s="78" customFormat="1" ht="21" customHeight="1">
      <c r="A221" s="77"/>
      <c r="B221" s="77"/>
      <c r="C221" s="89"/>
      <c r="D221" s="86"/>
      <c r="E221" s="77"/>
      <c r="F221" s="77"/>
      <c r="G221" s="77"/>
      <c r="H221" s="77"/>
      <c r="I221" s="77"/>
      <c r="J221" s="86"/>
    </row>
    <row r="222" spans="1:10" s="78" customFormat="1" ht="21" customHeight="1">
      <c r="A222" s="77"/>
      <c r="B222" s="77"/>
      <c r="C222" s="89"/>
      <c r="D222" s="86"/>
      <c r="E222" s="77"/>
      <c r="F222" s="77"/>
      <c r="G222" s="77"/>
      <c r="H222" s="77"/>
      <c r="I222" s="77"/>
      <c r="J222" s="86"/>
    </row>
    <row r="223" spans="1:10" s="78" customFormat="1" ht="21" customHeight="1">
      <c r="A223" s="77"/>
      <c r="B223" s="77"/>
      <c r="C223" s="89"/>
      <c r="D223" s="86"/>
      <c r="E223" s="77"/>
      <c r="F223" s="77"/>
      <c r="G223" s="77"/>
      <c r="H223" s="77"/>
      <c r="I223" s="77"/>
      <c r="J223" s="86"/>
    </row>
    <row r="224" spans="1:10" s="78" customFormat="1" ht="21" customHeight="1">
      <c r="A224" s="77"/>
      <c r="B224" s="77"/>
      <c r="C224" s="89"/>
      <c r="D224" s="86"/>
      <c r="E224" s="77"/>
      <c r="F224" s="77"/>
      <c r="G224" s="77"/>
      <c r="H224" s="77"/>
      <c r="I224" s="77"/>
      <c r="J224" s="86"/>
    </row>
    <row r="225" spans="1:10" s="78" customFormat="1" ht="21" customHeight="1">
      <c r="A225" s="77"/>
      <c r="B225" s="77"/>
      <c r="C225" s="89"/>
      <c r="D225" s="86"/>
      <c r="E225" s="77"/>
      <c r="F225" s="77"/>
      <c r="G225" s="77"/>
      <c r="H225" s="77"/>
      <c r="I225" s="77"/>
      <c r="J225" s="86"/>
    </row>
    <row r="226" spans="1:10" s="78" customFormat="1" ht="21" customHeight="1">
      <c r="A226" s="77"/>
      <c r="B226" s="77"/>
      <c r="C226" s="89"/>
      <c r="D226" s="86"/>
      <c r="E226" s="77"/>
      <c r="F226" s="77"/>
      <c r="G226" s="77"/>
      <c r="H226" s="77"/>
      <c r="I226" s="77"/>
      <c r="J226" s="86"/>
    </row>
    <row r="227" spans="1:10" s="78" customFormat="1" ht="21" customHeight="1">
      <c r="A227" s="77"/>
      <c r="B227" s="77"/>
      <c r="C227" s="89"/>
      <c r="D227" s="86"/>
      <c r="E227" s="77"/>
      <c r="F227" s="77"/>
      <c r="G227" s="77"/>
      <c r="H227" s="77"/>
      <c r="I227" s="77"/>
      <c r="J227" s="86"/>
    </row>
    <row r="228" spans="1:10" s="78" customFormat="1" ht="21" customHeight="1">
      <c r="A228" s="77"/>
      <c r="B228" s="77"/>
      <c r="C228" s="89"/>
      <c r="D228" s="86"/>
      <c r="E228" s="77"/>
      <c r="F228" s="77"/>
      <c r="G228" s="77"/>
      <c r="H228" s="77"/>
      <c r="I228" s="77"/>
      <c r="J228" s="86"/>
    </row>
    <row r="229" spans="1:10" s="78" customFormat="1" ht="21" customHeight="1">
      <c r="A229" s="77"/>
      <c r="B229" s="77"/>
      <c r="C229" s="89"/>
      <c r="D229" s="86"/>
      <c r="E229" s="77"/>
      <c r="F229" s="77"/>
      <c r="G229" s="77"/>
      <c r="H229" s="77"/>
      <c r="I229" s="77"/>
      <c r="J229" s="86"/>
    </row>
    <row r="230" spans="1:10" s="78" customFormat="1" ht="21" customHeight="1">
      <c r="A230" s="77"/>
      <c r="B230" s="77"/>
      <c r="C230" s="89"/>
      <c r="D230" s="86"/>
      <c r="E230" s="77"/>
      <c r="F230" s="77"/>
      <c r="G230" s="77"/>
      <c r="H230" s="77"/>
      <c r="I230" s="77"/>
      <c r="J230" s="86"/>
    </row>
    <row r="231" spans="1:10" s="78" customFormat="1" ht="21" customHeight="1">
      <c r="A231" s="77"/>
      <c r="B231" s="77"/>
      <c r="C231" s="89"/>
      <c r="D231" s="86"/>
      <c r="E231" s="77"/>
      <c r="F231" s="77"/>
      <c r="G231" s="77"/>
      <c r="H231" s="77"/>
      <c r="I231" s="77"/>
      <c r="J231" s="86"/>
    </row>
    <row r="232" spans="1:10" s="78" customFormat="1" ht="21" customHeight="1">
      <c r="A232" s="77"/>
      <c r="B232" s="77"/>
      <c r="C232" s="89"/>
      <c r="D232" s="86"/>
      <c r="E232" s="77"/>
      <c r="F232" s="77"/>
      <c r="G232" s="77"/>
      <c r="H232" s="77"/>
      <c r="I232" s="77"/>
      <c r="J232" s="86"/>
    </row>
    <row r="233" spans="1:10" s="78" customFormat="1" ht="21" customHeight="1">
      <c r="A233" s="77"/>
      <c r="B233" s="77"/>
      <c r="C233" s="89"/>
      <c r="D233" s="86"/>
      <c r="E233" s="77"/>
      <c r="F233" s="77"/>
      <c r="G233" s="77"/>
      <c r="H233" s="77"/>
      <c r="I233" s="77"/>
      <c r="J233" s="86"/>
    </row>
    <row r="234" spans="1:10" s="78" customFormat="1" ht="21" customHeight="1">
      <c r="A234" s="77"/>
      <c r="B234" s="77"/>
      <c r="C234" s="89"/>
      <c r="D234" s="86"/>
      <c r="E234" s="77"/>
      <c r="F234" s="77"/>
      <c r="G234" s="77"/>
      <c r="H234" s="77"/>
      <c r="I234" s="77"/>
      <c r="J234" s="86"/>
    </row>
    <row r="235" spans="1:10" s="78" customFormat="1" ht="21" customHeight="1">
      <c r="A235" s="77"/>
      <c r="B235" s="77"/>
      <c r="C235" s="89"/>
      <c r="D235" s="86"/>
      <c r="E235" s="77"/>
      <c r="F235" s="77"/>
      <c r="G235" s="77"/>
      <c r="H235" s="77"/>
      <c r="I235" s="77"/>
      <c r="J235" s="86"/>
    </row>
    <row r="236" spans="1:10" s="78" customFormat="1" ht="21" customHeight="1">
      <c r="A236" s="77"/>
      <c r="B236" s="77"/>
      <c r="C236" s="89"/>
      <c r="D236" s="86"/>
      <c r="E236" s="77"/>
      <c r="F236" s="77"/>
      <c r="G236" s="77"/>
      <c r="H236" s="77"/>
      <c r="I236" s="77"/>
      <c r="J236" s="86"/>
    </row>
    <row r="237" spans="1:10" s="78" customFormat="1" ht="21" customHeight="1">
      <c r="A237" s="77"/>
      <c r="B237" s="77"/>
      <c r="C237" s="89"/>
      <c r="D237" s="86"/>
      <c r="E237" s="77"/>
      <c r="F237" s="77"/>
      <c r="G237" s="77"/>
      <c r="H237" s="77"/>
      <c r="I237" s="77"/>
      <c r="J237" s="86"/>
    </row>
    <row r="238" spans="1:10" s="78" customFormat="1" ht="21" customHeight="1">
      <c r="A238" s="77"/>
      <c r="B238" s="77"/>
      <c r="C238" s="89"/>
      <c r="D238" s="86"/>
      <c r="E238" s="77"/>
      <c r="F238" s="77"/>
      <c r="G238" s="77"/>
      <c r="H238" s="77"/>
      <c r="I238" s="77"/>
      <c r="J238" s="86"/>
    </row>
    <row r="239" spans="1:10" s="78" customFormat="1" ht="21" customHeight="1">
      <c r="A239" s="77"/>
      <c r="B239" s="77"/>
      <c r="C239" s="89"/>
      <c r="D239" s="86"/>
      <c r="E239" s="77"/>
      <c r="F239" s="77"/>
      <c r="G239" s="77"/>
      <c r="H239" s="77"/>
      <c r="I239" s="77"/>
      <c r="J239" s="86"/>
    </row>
    <row r="240" spans="1:10" s="79" customFormat="1" ht="21" customHeight="1">
      <c r="A240" s="77"/>
      <c r="B240" s="77"/>
      <c r="C240" s="89"/>
      <c r="D240" s="86"/>
      <c r="E240" s="77"/>
      <c r="F240" s="77"/>
      <c r="G240" s="77"/>
      <c r="H240" s="77"/>
      <c r="I240" s="77"/>
      <c r="J240" s="86"/>
    </row>
    <row r="241" spans="1:10" s="79" customFormat="1" ht="21" customHeight="1">
      <c r="A241" s="77"/>
      <c r="B241" s="77"/>
      <c r="C241" s="89"/>
      <c r="D241" s="86"/>
      <c r="E241" s="77"/>
      <c r="F241" s="77"/>
      <c r="G241" s="77"/>
      <c r="H241" s="77"/>
      <c r="I241" s="77"/>
      <c r="J241" s="86"/>
    </row>
    <row r="242" spans="1:10" s="78" customFormat="1" ht="21" customHeight="1">
      <c r="A242" s="77"/>
      <c r="B242" s="77"/>
      <c r="C242" s="89"/>
      <c r="D242" s="86"/>
      <c r="E242" s="77"/>
      <c r="F242" s="77"/>
      <c r="G242" s="77"/>
      <c r="H242" s="77"/>
      <c r="I242" s="77"/>
      <c r="J242" s="86"/>
    </row>
    <row r="243" spans="1:10" s="78" customFormat="1" ht="21" customHeight="1">
      <c r="A243" s="77"/>
      <c r="B243" s="77"/>
      <c r="C243" s="89"/>
      <c r="D243" s="86"/>
      <c r="E243" s="77"/>
      <c r="F243" s="77"/>
      <c r="G243" s="77"/>
      <c r="H243" s="77"/>
      <c r="I243" s="77"/>
      <c r="J243" s="86"/>
    </row>
    <row r="244" spans="1:10" s="78" customFormat="1" ht="21" customHeight="1">
      <c r="A244" s="77"/>
      <c r="B244" s="77"/>
      <c r="C244" s="89"/>
      <c r="D244" s="86"/>
      <c r="E244" s="77"/>
      <c r="F244" s="77"/>
      <c r="G244" s="77"/>
      <c r="H244" s="77"/>
      <c r="I244" s="77"/>
      <c r="J244" s="86"/>
    </row>
    <row r="245" spans="1:10" s="78" customFormat="1" ht="21" customHeight="1">
      <c r="A245" s="77"/>
      <c r="B245" s="77"/>
      <c r="C245" s="89"/>
      <c r="D245" s="86"/>
      <c r="E245" s="77"/>
      <c r="F245" s="77"/>
      <c r="G245" s="77"/>
      <c r="H245" s="77"/>
      <c r="I245" s="77"/>
      <c r="J245" s="86"/>
    </row>
    <row r="246" spans="1:10" s="78" customFormat="1" ht="21" customHeight="1">
      <c r="A246" s="77"/>
      <c r="B246" s="77"/>
      <c r="C246" s="89"/>
      <c r="D246" s="86"/>
      <c r="E246" s="77"/>
      <c r="F246" s="77"/>
      <c r="G246" s="77"/>
      <c r="H246" s="77"/>
      <c r="I246" s="77"/>
      <c r="J246" s="86"/>
    </row>
    <row r="247" spans="1:10" s="78" customFormat="1" ht="21" customHeight="1">
      <c r="A247" s="77"/>
      <c r="B247" s="77"/>
      <c r="C247" s="89"/>
      <c r="D247" s="86"/>
      <c r="E247" s="77"/>
      <c r="F247" s="77"/>
      <c r="G247" s="77"/>
      <c r="H247" s="77"/>
      <c r="I247" s="77"/>
      <c r="J247" s="86"/>
    </row>
    <row r="248" spans="1:10" s="78" customFormat="1" ht="21" customHeight="1">
      <c r="A248" s="77"/>
      <c r="B248" s="77"/>
      <c r="C248" s="89"/>
      <c r="D248" s="86"/>
      <c r="E248" s="77"/>
      <c r="F248" s="77"/>
      <c r="G248" s="77"/>
      <c r="H248" s="77"/>
      <c r="I248" s="77"/>
      <c r="J248" s="86"/>
    </row>
    <row r="249" spans="1:10" s="78" customFormat="1" ht="21" customHeight="1">
      <c r="A249" s="77"/>
      <c r="B249" s="77"/>
      <c r="C249" s="89"/>
      <c r="D249" s="86"/>
      <c r="E249" s="77"/>
      <c r="F249" s="77"/>
      <c r="G249" s="77"/>
      <c r="H249" s="77"/>
      <c r="I249" s="77"/>
      <c r="J249" s="86"/>
    </row>
    <row r="250" spans="1:10" s="78" customFormat="1" ht="21" customHeight="1">
      <c r="A250" s="77"/>
      <c r="B250" s="77"/>
      <c r="C250" s="89"/>
      <c r="D250" s="86"/>
      <c r="E250" s="77"/>
      <c r="F250" s="77"/>
      <c r="G250" s="77"/>
      <c r="H250" s="77"/>
      <c r="I250" s="77"/>
      <c r="J250" s="86"/>
    </row>
    <row r="251" spans="1:10" s="78" customFormat="1" ht="21" customHeight="1">
      <c r="A251" s="77"/>
      <c r="B251" s="77"/>
      <c r="C251" s="89"/>
      <c r="D251" s="86"/>
      <c r="E251" s="77"/>
      <c r="F251" s="77"/>
      <c r="G251" s="77"/>
      <c r="H251" s="77"/>
      <c r="I251" s="77"/>
      <c r="J251" s="86"/>
    </row>
    <row r="252" spans="1:10" s="78" customFormat="1" ht="21" customHeight="1">
      <c r="A252" s="77"/>
      <c r="B252" s="77"/>
      <c r="C252" s="89"/>
      <c r="D252" s="86"/>
      <c r="E252" s="77"/>
      <c r="F252" s="77"/>
      <c r="G252" s="77"/>
      <c r="H252" s="77"/>
      <c r="I252" s="77"/>
      <c r="J252" s="86"/>
    </row>
    <row r="253" spans="1:10" s="78" customFormat="1" ht="21" customHeight="1">
      <c r="A253" s="77"/>
      <c r="B253" s="77"/>
      <c r="C253" s="89"/>
      <c r="D253" s="86"/>
      <c r="E253" s="77"/>
      <c r="F253" s="77"/>
      <c r="G253" s="77"/>
      <c r="H253" s="77"/>
      <c r="I253" s="77"/>
      <c r="J253" s="86"/>
    </row>
    <row r="254" spans="1:10" s="78" customFormat="1" ht="21" customHeight="1">
      <c r="A254" s="77"/>
      <c r="B254" s="77"/>
      <c r="C254" s="89"/>
      <c r="D254" s="86"/>
      <c r="E254" s="77"/>
      <c r="F254" s="77"/>
      <c r="G254" s="77"/>
      <c r="H254" s="77"/>
      <c r="I254" s="77"/>
      <c r="J254" s="86"/>
    </row>
    <row r="255" spans="1:10" s="78" customFormat="1" ht="21" customHeight="1">
      <c r="A255" s="77"/>
      <c r="B255" s="77"/>
      <c r="C255" s="89"/>
      <c r="D255" s="86"/>
      <c r="E255" s="77"/>
      <c r="F255" s="77"/>
      <c r="G255" s="77"/>
      <c r="H255" s="77"/>
      <c r="I255" s="77"/>
      <c r="J255" s="86"/>
    </row>
    <row r="256" spans="1:10" s="78" customFormat="1" ht="21" customHeight="1">
      <c r="A256" s="77"/>
      <c r="B256" s="77"/>
      <c r="C256" s="89"/>
      <c r="D256" s="86"/>
      <c r="E256" s="77"/>
      <c r="F256" s="77"/>
      <c r="G256" s="77"/>
      <c r="H256" s="77"/>
      <c r="I256" s="77"/>
      <c r="J256" s="86"/>
    </row>
    <row r="257" spans="1:10" s="78" customFormat="1" ht="21" customHeight="1">
      <c r="A257" s="77"/>
      <c r="B257" s="77"/>
      <c r="C257" s="89"/>
      <c r="D257" s="86"/>
      <c r="E257" s="77"/>
      <c r="F257" s="77"/>
      <c r="G257" s="77"/>
      <c r="H257" s="77"/>
      <c r="I257" s="77"/>
      <c r="J257" s="86"/>
    </row>
    <row r="258" spans="1:10" s="78" customFormat="1" ht="21" customHeight="1">
      <c r="A258" s="77"/>
      <c r="B258" s="77"/>
      <c r="C258" s="89"/>
      <c r="D258" s="86"/>
      <c r="E258" s="77"/>
      <c r="F258" s="77"/>
      <c r="G258" s="77"/>
      <c r="H258" s="77"/>
      <c r="I258" s="77"/>
      <c r="J258" s="86"/>
    </row>
    <row r="259" spans="1:10" s="78" customFormat="1" ht="21" customHeight="1">
      <c r="A259" s="77"/>
      <c r="B259" s="77"/>
      <c r="C259" s="89"/>
      <c r="D259" s="86"/>
      <c r="E259" s="77"/>
      <c r="F259" s="77"/>
      <c r="G259" s="77"/>
      <c r="H259" s="77"/>
      <c r="I259" s="77"/>
      <c r="J259" s="86"/>
    </row>
    <row r="260" spans="1:10" s="78" customFormat="1" ht="21" customHeight="1">
      <c r="A260" s="77"/>
      <c r="B260" s="77"/>
      <c r="C260" s="89"/>
      <c r="D260" s="86"/>
      <c r="E260" s="77"/>
      <c r="F260" s="77"/>
      <c r="G260" s="77"/>
      <c r="H260" s="77"/>
      <c r="I260" s="77"/>
      <c r="J260" s="86"/>
    </row>
    <row r="261" spans="1:10" s="78" customFormat="1" ht="21" customHeight="1">
      <c r="A261" s="77"/>
      <c r="B261" s="77"/>
      <c r="C261" s="89"/>
      <c r="D261" s="86"/>
      <c r="E261" s="77"/>
      <c r="F261" s="77"/>
      <c r="G261" s="77"/>
      <c r="H261" s="77"/>
      <c r="I261" s="77"/>
      <c r="J261" s="86"/>
    </row>
    <row r="262" spans="1:10" s="78" customFormat="1" ht="21" customHeight="1">
      <c r="A262" s="77"/>
      <c r="B262" s="77"/>
      <c r="C262" s="89"/>
      <c r="D262" s="86"/>
      <c r="E262" s="77"/>
      <c r="F262" s="77"/>
      <c r="G262" s="77"/>
      <c r="H262" s="77"/>
      <c r="I262" s="77"/>
      <c r="J262" s="86"/>
    </row>
    <row r="263" spans="1:10" s="78" customFormat="1" ht="21" customHeight="1">
      <c r="A263" s="77"/>
      <c r="B263" s="77"/>
      <c r="C263" s="89"/>
      <c r="D263" s="86"/>
      <c r="E263" s="77"/>
      <c r="F263" s="77"/>
      <c r="G263" s="77"/>
      <c r="H263" s="77"/>
      <c r="I263" s="77"/>
      <c r="J263" s="86"/>
    </row>
    <row r="264" spans="1:10" s="78" customFormat="1" ht="21" customHeight="1">
      <c r="A264" s="77"/>
      <c r="B264" s="77"/>
      <c r="C264" s="89"/>
      <c r="D264" s="86"/>
      <c r="E264" s="77"/>
      <c r="F264" s="77"/>
      <c r="G264" s="77"/>
      <c r="H264" s="77"/>
      <c r="I264" s="77"/>
      <c r="J264" s="86"/>
    </row>
    <row r="265" spans="1:10" s="78" customFormat="1" ht="21" customHeight="1">
      <c r="A265" s="77"/>
      <c r="B265" s="77"/>
      <c r="C265" s="89"/>
      <c r="D265" s="86"/>
      <c r="E265" s="77"/>
      <c r="F265" s="77"/>
      <c r="G265" s="77"/>
      <c r="H265" s="77"/>
      <c r="I265" s="77"/>
      <c r="J265" s="86"/>
    </row>
    <row r="266" spans="1:10" s="78" customFormat="1" ht="21" customHeight="1">
      <c r="A266" s="77"/>
      <c r="B266" s="77"/>
      <c r="C266" s="89"/>
      <c r="D266" s="86"/>
      <c r="E266" s="77"/>
      <c r="F266" s="77"/>
      <c r="G266" s="77"/>
      <c r="H266" s="77"/>
      <c r="I266" s="77"/>
      <c r="J266" s="86"/>
    </row>
    <row r="267" spans="1:10" s="78" customFormat="1" ht="21" customHeight="1">
      <c r="A267" s="77"/>
      <c r="B267" s="77"/>
      <c r="C267" s="89"/>
      <c r="D267" s="86"/>
      <c r="E267" s="77"/>
      <c r="F267" s="77"/>
      <c r="G267" s="77"/>
      <c r="H267" s="77"/>
      <c r="I267" s="77"/>
      <c r="J267" s="86"/>
    </row>
    <row r="268" spans="1:10" s="78" customFormat="1" ht="21" customHeight="1">
      <c r="A268" s="77"/>
      <c r="B268" s="77"/>
      <c r="C268" s="89"/>
      <c r="D268" s="86"/>
      <c r="E268" s="77"/>
      <c r="F268" s="77"/>
      <c r="G268" s="77"/>
      <c r="H268" s="77"/>
      <c r="I268" s="77"/>
      <c r="J268" s="86"/>
    </row>
    <row r="269" spans="1:10" s="78" customFormat="1" ht="21" customHeight="1">
      <c r="A269" s="77"/>
      <c r="B269" s="77"/>
      <c r="C269" s="89"/>
      <c r="D269" s="86"/>
      <c r="E269" s="77"/>
      <c r="F269" s="77"/>
      <c r="G269" s="77"/>
      <c r="H269" s="77"/>
      <c r="I269" s="77"/>
      <c r="J269" s="86"/>
    </row>
    <row r="270" spans="1:10" s="78" customFormat="1" ht="21" customHeight="1">
      <c r="A270" s="77"/>
      <c r="B270" s="77"/>
      <c r="C270" s="89"/>
      <c r="D270" s="86"/>
      <c r="E270" s="77"/>
      <c r="F270" s="77"/>
      <c r="G270" s="77"/>
      <c r="H270" s="77"/>
      <c r="I270" s="77"/>
      <c r="J270" s="86"/>
    </row>
    <row r="271" spans="1:10" s="78" customFormat="1" ht="21" customHeight="1">
      <c r="A271" s="77"/>
      <c r="B271" s="77"/>
      <c r="C271" s="89"/>
      <c r="D271" s="86"/>
      <c r="E271" s="77"/>
      <c r="F271" s="77"/>
      <c r="G271" s="77"/>
      <c r="H271" s="77"/>
      <c r="I271" s="77"/>
      <c r="J271" s="86"/>
    </row>
    <row r="272" spans="1:10" s="78" customFormat="1" ht="21" customHeight="1">
      <c r="A272" s="77"/>
      <c r="B272" s="77"/>
      <c r="C272" s="89"/>
      <c r="D272" s="86"/>
      <c r="E272" s="77"/>
      <c r="F272" s="77"/>
      <c r="G272" s="77"/>
      <c r="H272" s="77"/>
      <c r="I272" s="77"/>
      <c r="J272" s="86"/>
    </row>
    <row r="273" spans="1:10" s="78" customFormat="1" ht="21" customHeight="1">
      <c r="A273" s="77"/>
      <c r="B273" s="77"/>
      <c r="C273" s="89"/>
      <c r="D273" s="86"/>
      <c r="E273" s="77"/>
      <c r="F273" s="77"/>
      <c r="G273" s="77"/>
      <c r="H273" s="77"/>
      <c r="I273" s="77"/>
      <c r="J273" s="86"/>
    </row>
    <row r="274" spans="1:10" s="78" customFormat="1" ht="21" customHeight="1">
      <c r="A274" s="77"/>
      <c r="B274" s="77"/>
      <c r="C274" s="89"/>
      <c r="D274" s="86"/>
      <c r="E274" s="77"/>
      <c r="F274" s="77"/>
      <c r="G274" s="77"/>
      <c r="H274" s="77"/>
      <c r="I274" s="77"/>
      <c r="J274" s="86"/>
    </row>
    <row r="275" spans="1:10" s="78" customFormat="1" ht="21" customHeight="1">
      <c r="A275" s="77"/>
      <c r="B275" s="77"/>
      <c r="C275" s="89"/>
      <c r="D275" s="86"/>
      <c r="E275" s="77"/>
      <c r="F275" s="77"/>
      <c r="G275" s="77"/>
      <c r="H275" s="77"/>
      <c r="I275" s="77"/>
      <c r="J275" s="86"/>
    </row>
    <row r="276" spans="1:10" s="78" customFormat="1" ht="21" customHeight="1">
      <c r="A276" s="77"/>
      <c r="B276" s="77"/>
      <c r="C276" s="89"/>
      <c r="D276" s="86"/>
      <c r="E276" s="77"/>
      <c r="F276" s="77"/>
      <c r="G276" s="77"/>
      <c r="H276" s="77"/>
      <c r="I276" s="77"/>
      <c r="J276" s="86"/>
    </row>
    <row r="277" spans="1:10" s="78" customFormat="1" ht="21" customHeight="1">
      <c r="A277" s="77"/>
      <c r="B277" s="77"/>
      <c r="C277" s="89"/>
      <c r="D277" s="86"/>
      <c r="E277" s="77"/>
      <c r="F277" s="77"/>
      <c r="G277" s="77"/>
      <c r="H277" s="77"/>
      <c r="I277" s="77"/>
      <c r="J277" s="86"/>
    </row>
    <row r="278" spans="1:10" s="78" customFormat="1" ht="21" customHeight="1">
      <c r="A278" s="77"/>
      <c r="B278" s="77"/>
      <c r="C278" s="89"/>
      <c r="D278" s="86"/>
      <c r="E278" s="77"/>
      <c r="F278" s="77"/>
      <c r="G278" s="77"/>
      <c r="H278" s="77"/>
      <c r="I278" s="77"/>
      <c r="J278" s="86"/>
    </row>
    <row r="279" spans="1:10" s="78" customFormat="1" ht="21" customHeight="1">
      <c r="A279" s="77"/>
      <c r="B279" s="77"/>
      <c r="C279" s="89"/>
      <c r="D279" s="86"/>
      <c r="E279" s="77"/>
      <c r="F279" s="77"/>
      <c r="G279" s="77"/>
      <c r="H279" s="77"/>
      <c r="I279" s="77"/>
      <c r="J279" s="86"/>
    </row>
    <row r="280" spans="1:10" s="78" customFormat="1" ht="21" customHeight="1">
      <c r="A280" s="77"/>
      <c r="B280" s="77"/>
      <c r="C280" s="89"/>
      <c r="D280" s="86"/>
      <c r="E280" s="77"/>
      <c r="F280" s="77"/>
      <c r="G280" s="77"/>
      <c r="H280" s="77"/>
      <c r="I280" s="77"/>
      <c r="J280" s="86"/>
    </row>
    <row r="281" spans="1:10" s="79" customFormat="1" ht="21" customHeight="1">
      <c r="A281" s="77"/>
      <c r="B281" s="77"/>
      <c r="C281" s="89"/>
      <c r="D281" s="86"/>
      <c r="E281" s="77"/>
      <c r="F281" s="77"/>
      <c r="G281" s="77"/>
      <c r="H281" s="77"/>
      <c r="I281" s="77"/>
      <c r="J281" s="86"/>
    </row>
    <row r="282" spans="1:10" s="79" customFormat="1" ht="21" customHeight="1">
      <c r="A282" s="77"/>
      <c r="B282" s="77"/>
      <c r="C282" s="89"/>
      <c r="D282" s="86"/>
      <c r="E282" s="77"/>
      <c r="F282" s="77"/>
      <c r="G282" s="77"/>
      <c r="H282" s="77"/>
      <c r="I282" s="77"/>
      <c r="J282" s="86"/>
    </row>
    <row r="283" spans="1:10" s="79" customFormat="1" ht="21" customHeight="1">
      <c r="A283" s="77"/>
      <c r="B283" s="77"/>
      <c r="C283" s="89"/>
      <c r="D283" s="86"/>
      <c r="E283" s="77"/>
      <c r="F283" s="77"/>
      <c r="G283" s="77"/>
      <c r="H283" s="77"/>
      <c r="I283" s="77"/>
      <c r="J283" s="86"/>
    </row>
    <row r="284" spans="1:10" s="79" customFormat="1" ht="21" customHeight="1">
      <c r="A284" s="77"/>
      <c r="B284" s="77"/>
      <c r="C284" s="89"/>
      <c r="D284" s="86"/>
      <c r="E284" s="77"/>
      <c r="F284" s="77"/>
      <c r="G284" s="77"/>
      <c r="H284" s="77"/>
      <c r="I284" s="77"/>
      <c r="J284" s="86"/>
    </row>
    <row r="285" spans="1:10" s="79" customFormat="1" ht="21" customHeight="1">
      <c r="A285" s="77"/>
      <c r="B285" s="77"/>
      <c r="C285" s="89"/>
      <c r="D285" s="86"/>
      <c r="E285" s="77"/>
      <c r="F285" s="77"/>
      <c r="G285" s="77"/>
      <c r="H285" s="77"/>
      <c r="I285" s="77"/>
      <c r="J285" s="86"/>
    </row>
    <row r="286" spans="1:10" s="79" customFormat="1" ht="21" customHeight="1">
      <c r="A286" s="77"/>
      <c r="B286" s="77"/>
      <c r="C286" s="89"/>
      <c r="D286" s="86"/>
      <c r="E286" s="77"/>
      <c r="F286" s="77"/>
      <c r="G286" s="77"/>
      <c r="H286" s="77"/>
      <c r="I286" s="77"/>
      <c r="J286" s="86"/>
    </row>
    <row r="287" spans="1:10" s="79" customFormat="1" ht="21" customHeight="1">
      <c r="A287" s="77"/>
      <c r="B287" s="77"/>
      <c r="C287" s="89"/>
      <c r="D287" s="86"/>
      <c r="E287" s="77"/>
      <c r="F287" s="77"/>
      <c r="G287" s="77"/>
      <c r="H287" s="77"/>
      <c r="I287" s="77"/>
      <c r="J287" s="86"/>
    </row>
    <row r="288" spans="1:10" s="79" customFormat="1" ht="21" customHeight="1">
      <c r="A288" s="77"/>
      <c r="B288" s="77"/>
      <c r="C288" s="89"/>
      <c r="D288" s="86"/>
      <c r="E288" s="77"/>
      <c r="F288" s="77"/>
      <c r="G288" s="77"/>
      <c r="H288" s="77"/>
      <c r="I288" s="77"/>
      <c r="J288" s="86"/>
    </row>
    <row r="289" spans="1:10" s="79" customFormat="1" ht="21" customHeight="1">
      <c r="A289" s="77"/>
      <c r="B289" s="77"/>
      <c r="C289" s="89"/>
      <c r="D289" s="86"/>
      <c r="E289" s="77"/>
      <c r="F289" s="77"/>
      <c r="G289" s="77"/>
      <c r="H289" s="77"/>
      <c r="I289" s="77"/>
      <c r="J289" s="86"/>
    </row>
    <row r="290" spans="1:10" s="79" customFormat="1" ht="21" customHeight="1">
      <c r="A290" s="77"/>
      <c r="B290" s="77"/>
      <c r="C290" s="89"/>
      <c r="D290" s="86"/>
      <c r="E290" s="77"/>
      <c r="F290" s="77"/>
      <c r="G290" s="77"/>
      <c r="H290" s="77"/>
      <c r="I290" s="77"/>
      <c r="J290" s="86"/>
    </row>
    <row r="291" spans="1:10" s="79" customFormat="1" ht="21" customHeight="1">
      <c r="A291" s="77"/>
      <c r="B291" s="77"/>
      <c r="C291" s="89"/>
      <c r="D291" s="86"/>
      <c r="E291" s="77"/>
      <c r="F291" s="77"/>
      <c r="G291" s="77"/>
      <c r="H291" s="77"/>
      <c r="I291" s="77"/>
      <c r="J291" s="86"/>
    </row>
    <row r="292" spans="1:10" s="79" customFormat="1" ht="21" customHeight="1">
      <c r="A292" s="77"/>
      <c r="B292" s="77"/>
      <c r="C292" s="89"/>
      <c r="D292" s="86"/>
      <c r="E292" s="77"/>
      <c r="F292" s="77"/>
      <c r="G292" s="77"/>
      <c r="H292" s="77"/>
      <c r="I292" s="77"/>
      <c r="J292" s="86"/>
    </row>
    <row r="293" spans="1:10" s="79" customFormat="1" ht="21" customHeight="1">
      <c r="A293" s="77"/>
      <c r="B293" s="77"/>
      <c r="C293" s="89"/>
      <c r="D293" s="86"/>
      <c r="E293" s="77"/>
      <c r="F293" s="77"/>
      <c r="G293" s="77"/>
      <c r="H293" s="77"/>
      <c r="I293" s="77"/>
      <c r="J293" s="86"/>
    </row>
    <row r="294" spans="1:10" s="79" customFormat="1" ht="21" customHeight="1">
      <c r="A294" s="77"/>
      <c r="B294" s="77"/>
      <c r="C294" s="89"/>
      <c r="D294" s="86"/>
      <c r="E294" s="77"/>
      <c r="F294" s="77"/>
      <c r="G294" s="77"/>
      <c r="H294" s="77"/>
      <c r="I294" s="77"/>
      <c r="J294" s="86"/>
    </row>
    <row r="295" spans="1:10" s="78" customFormat="1" ht="21" customHeight="1">
      <c r="A295" s="77"/>
      <c r="B295" s="77"/>
      <c r="C295" s="89"/>
      <c r="D295" s="86"/>
      <c r="E295" s="77"/>
      <c r="F295" s="77"/>
      <c r="G295" s="77"/>
      <c r="H295" s="77"/>
      <c r="I295" s="77"/>
      <c r="J295" s="86"/>
    </row>
    <row r="296" spans="1:10" s="78" customFormat="1" ht="21" customHeight="1">
      <c r="A296" s="77"/>
      <c r="B296" s="77"/>
      <c r="C296" s="89"/>
      <c r="D296" s="86"/>
      <c r="E296" s="77"/>
      <c r="F296" s="77"/>
      <c r="G296" s="77"/>
      <c r="H296" s="77"/>
      <c r="I296" s="77"/>
      <c r="J296" s="86"/>
    </row>
    <row r="297" spans="1:10" s="78" customFormat="1" ht="21" customHeight="1">
      <c r="A297" s="77"/>
      <c r="B297" s="77"/>
      <c r="C297" s="89"/>
      <c r="D297" s="86"/>
      <c r="E297" s="77"/>
      <c r="F297" s="77"/>
      <c r="G297" s="77"/>
      <c r="H297" s="77"/>
      <c r="I297" s="77"/>
      <c r="J297" s="86"/>
    </row>
    <row r="298" spans="1:10" s="78" customFormat="1" ht="21" customHeight="1">
      <c r="A298" s="77"/>
      <c r="B298" s="77"/>
      <c r="C298" s="89"/>
      <c r="D298" s="86"/>
      <c r="E298" s="77"/>
      <c r="F298" s="77"/>
      <c r="G298" s="77"/>
      <c r="H298" s="77"/>
      <c r="I298" s="77"/>
      <c r="J298" s="86"/>
    </row>
    <row r="299" spans="1:10" s="78" customFormat="1" ht="21" customHeight="1">
      <c r="A299" s="77"/>
      <c r="B299" s="77"/>
      <c r="C299" s="89"/>
      <c r="D299" s="86"/>
      <c r="E299" s="77"/>
      <c r="F299" s="77"/>
      <c r="G299" s="77"/>
      <c r="H299" s="77"/>
      <c r="I299" s="77"/>
      <c r="J299" s="86"/>
    </row>
    <row r="300" spans="1:10" s="78" customFormat="1" ht="21" customHeight="1">
      <c r="A300" s="77"/>
      <c r="B300" s="77"/>
      <c r="C300" s="89"/>
      <c r="D300" s="86"/>
      <c r="E300" s="77"/>
      <c r="F300" s="77"/>
      <c r="G300" s="77"/>
      <c r="H300" s="77"/>
      <c r="I300" s="77"/>
      <c r="J300" s="86"/>
    </row>
    <row r="301" spans="1:10" s="78" customFormat="1" ht="21" customHeight="1">
      <c r="A301" s="77"/>
      <c r="B301" s="77"/>
      <c r="C301" s="89"/>
      <c r="D301" s="86"/>
      <c r="E301" s="77"/>
      <c r="F301" s="77"/>
      <c r="G301" s="77"/>
      <c r="H301" s="77"/>
      <c r="I301" s="77"/>
      <c r="J301" s="86"/>
    </row>
    <row r="302" spans="1:10" s="78" customFormat="1" ht="21" customHeight="1">
      <c r="A302" s="77"/>
      <c r="B302" s="77"/>
      <c r="C302" s="89"/>
      <c r="D302" s="86"/>
      <c r="E302" s="77"/>
      <c r="F302" s="77"/>
      <c r="G302" s="77"/>
      <c r="H302" s="77"/>
      <c r="I302" s="77"/>
      <c r="J302" s="86"/>
    </row>
    <row r="303" spans="1:10" s="78" customFormat="1" ht="21" customHeight="1">
      <c r="A303" s="77"/>
      <c r="B303" s="77"/>
      <c r="C303" s="89"/>
      <c r="D303" s="86"/>
      <c r="E303" s="77"/>
      <c r="F303" s="77"/>
      <c r="G303" s="77"/>
      <c r="H303" s="77"/>
      <c r="I303" s="77"/>
      <c r="J303" s="86"/>
    </row>
    <row r="304" spans="1:10" s="78" customFormat="1" ht="21" customHeight="1">
      <c r="A304" s="77"/>
      <c r="B304" s="77"/>
      <c r="C304" s="89"/>
      <c r="D304" s="86"/>
      <c r="E304" s="77"/>
      <c r="F304" s="77"/>
      <c r="G304" s="77"/>
      <c r="H304" s="77"/>
      <c r="I304" s="77"/>
      <c r="J304" s="86"/>
    </row>
    <row r="305" spans="1:10" s="78" customFormat="1" ht="21" customHeight="1">
      <c r="A305" s="77"/>
      <c r="B305" s="77"/>
      <c r="C305" s="89"/>
      <c r="D305" s="86"/>
      <c r="E305" s="77"/>
      <c r="F305" s="77"/>
      <c r="G305" s="77"/>
      <c r="H305" s="77"/>
      <c r="I305" s="77"/>
      <c r="J305" s="86"/>
    </row>
    <row r="306" spans="1:10" s="78" customFormat="1" ht="21" customHeight="1">
      <c r="A306" s="77"/>
      <c r="B306" s="77"/>
      <c r="C306" s="89"/>
      <c r="D306" s="86"/>
      <c r="E306" s="77"/>
      <c r="F306" s="77"/>
      <c r="G306" s="77"/>
      <c r="H306" s="77"/>
      <c r="I306" s="77"/>
      <c r="J306" s="86"/>
    </row>
    <row r="307" spans="1:10" s="78" customFormat="1" ht="21" customHeight="1">
      <c r="A307" s="77"/>
      <c r="B307" s="77"/>
      <c r="C307" s="89"/>
      <c r="D307" s="86"/>
      <c r="E307" s="77"/>
      <c r="F307" s="77"/>
      <c r="G307" s="77"/>
      <c r="H307" s="77"/>
      <c r="I307" s="77"/>
      <c r="J307" s="86"/>
    </row>
    <row r="308" spans="1:10" s="78" customFormat="1" ht="21" customHeight="1">
      <c r="A308" s="77"/>
      <c r="B308" s="77"/>
      <c r="C308" s="89"/>
      <c r="D308" s="86"/>
      <c r="E308" s="77"/>
      <c r="F308" s="77"/>
      <c r="G308" s="77"/>
      <c r="H308" s="77"/>
      <c r="I308" s="77"/>
      <c r="J308" s="86"/>
    </row>
    <row r="309" spans="1:10" s="78" customFormat="1" ht="21" customHeight="1">
      <c r="A309" s="77"/>
      <c r="B309" s="77"/>
      <c r="C309" s="89"/>
      <c r="D309" s="86"/>
      <c r="E309" s="77"/>
      <c r="F309" s="77"/>
      <c r="G309" s="77"/>
      <c r="H309" s="77"/>
      <c r="I309" s="77"/>
      <c r="J309" s="86"/>
    </row>
    <row r="310" spans="1:10" s="78" customFormat="1" ht="21" customHeight="1">
      <c r="A310" s="77"/>
      <c r="B310" s="77"/>
      <c r="C310" s="89"/>
      <c r="D310" s="86"/>
      <c r="E310" s="77"/>
      <c r="F310" s="77"/>
      <c r="G310" s="77"/>
      <c r="H310" s="77"/>
      <c r="I310" s="77"/>
      <c r="J310" s="86"/>
    </row>
    <row r="311" spans="1:10" s="78" customFormat="1" ht="21" customHeight="1">
      <c r="A311" s="77"/>
      <c r="B311" s="77"/>
      <c r="C311" s="89"/>
      <c r="D311" s="86"/>
      <c r="E311" s="77"/>
      <c r="F311" s="77"/>
      <c r="G311" s="77"/>
      <c r="H311" s="77"/>
      <c r="I311" s="77"/>
      <c r="J311" s="86"/>
    </row>
    <row r="312" spans="1:10" s="78" customFormat="1" ht="21" customHeight="1">
      <c r="A312" s="77"/>
      <c r="B312" s="77"/>
      <c r="C312" s="89"/>
      <c r="D312" s="86"/>
      <c r="E312" s="77"/>
      <c r="F312" s="77"/>
      <c r="G312" s="77"/>
      <c r="H312" s="77"/>
      <c r="I312" s="77"/>
      <c r="J312" s="86"/>
    </row>
    <row r="313" spans="1:10" s="78" customFormat="1" ht="21" customHeight="1">
      <c r="A313" s="77"/>
      <c r="B313" s="77"/>
      <c r="C313" s="89"/>
      <c r="D313" s="86"/>
      <c r="E313" s="77"/>
      <c r="F313" s="77"/>
      <c r="G313" s="77"/>
      <c r="H313" s="77"/>
      <c r="I313" s="77"/>
      <c r="J313" s="86"/>
    </row>
    <row r="314" spans="1:10" s="78" customFormat="1" ht="21" customHeight="1">
      <c r="A314" s="77"/>
      <c r="B314" s="77"/>
      <c r="C314" s="89"/>
      <c r="D314" s="86"/>
      <c r="E314" s="77"/>
      <c r="F314" s="77"/>
      <c r="G314" s="77"/>
      <c r="H314" s="77"/>
      <c r="I314" s="77"/>
      <c r="J314" s="86"/>
    </row>
    <row r="315" spans="1:10" s="78" customFormat="1" ht="21" customHeight="1">
      <c r="A315" s="77"/>
      <c r="B315" s="77"/>
      <c r="C315" s="89"/>
      <c r="D315" s="86"/>
      <c r="E315" s="77"/>
      <c r="F315" s="77"/>
      <c r="G315" s="77"/>
      <c r="H315" s="77"/>
      <c r="I315" s="77"/>
      <c r="J315" s="86"/>
    </row>
    <row r="316" spans="1:10" s="78" customFormat="1" ht="21" customHeight="1">
      <c r="A316" s="77"/>
      <c r="B316" s="77"/>
      <c r="C316" s="89"/>
      <c r="D316" s="86"/>
      <c r="E316" s="77"/>
      <c r="F316" s="77"/>
      <c r="G316" s="77"/>
      <c r="H316" s="77"/>
      <c r="I316" s="77"/>
      <c r="J316" s="86"/>
    </row>
    <row r="317" spans="1:10" s="78" customFormat="1" ht="21" customHeight="1">
      <c r="A317" s="77"/>
      <c r="B317" s="77"/>
      <c r="C317" s="89"/>
      <c r="D317" s="86"/>
      <c r="E317" s="77"/>
      <c r="F317" s="77"/>
      <c r="G317" s="77"/>
      <c r="H317" s="77"/>
      <c r="I317" s="77"/>
      <c r="J317" s="86"/>
    </row>
    <row r="318" spans="1:10" s="78" customFormat="1" ht="21" customHeight="1">
      <c r="A318" s="77"/>
      <c r="B318" s="77"/>
      <c r="C318" s="89"/>
      <c r="D318" s="86"/>
      <c r="E318" s="77"/>
      <c r="F318" s="77"/>
      <c r="G318" s="77"/>
      <c r="H318" s="77"/>
      <c r="I318" s="77"/>
      <c r="J318" s="86"/>
    </row>
    <row r="319" spans="1:10" s="78" customFormat="1" ht="21" customHeight="1">
      <c r="A319" s="77"/>
      <c r="B319" s="77"/>
      <c r="C319" s="89"/>
      <c r="D319" s="86"/>
      <c r="E319" s="77"/>
      <c r="F319" s="77"/>
      <c r="G319" s="77"/>
      <c r="H319" s="77"/>
      <c r="I319" s="77"/>
      <c r="J319" s="86"/>
    </row>
    <row r="320" spans="1:10" s="78" customFormat="1" ht="21" customHeight="1">
      <c r="A320" s="77"/>
      <c r="B320" s="77"/>
      <c r="C320" s="89"/>
      <c r="D320" s="86"/>
      <c r="E320" s="77"/>
      <c r="F320" s="77"/>
      <c r="G320" s="77"/>
      <c r="H320" s="77"/>
      <c r="I320" s="77"/>
      <c r="J320" s="86"/>
    </row>
    <row r="321" spans="1:10" s="78" customFormat="1" ht="21" customHeight="1">
      <c r="A321" s="77"/>
      <c r="B321" s="77"/>
      <c r="C321" s="89"/>
      <c r="D321" s="86"/>
      <c r="E321" s="77"/>
      <c r="F321" s="77"/>
      <c r="G321" s="77"/>
      <c r="H321" s="77"/>
      <c r="I321" s="77"/>
      <c r="J321" s="86"/>
    </row>
    <row r="322" spans="1:10" s="78" customFormat="1" ht="21" customHeight="1">
      <c r="A322" s="77"/>
      <c r="B322" s="77"/>
      <c r="C322" s="89"/>
      <c r="D322" s="86"/>
      <c r="E322" s="77"/>
      <c r="F322" s="77"/>
      <c r="G322" s="77"/>
      <c r="H322" s="77"/>
      <c r="I322" s="77"/>
      <c r="J322" s="86"/>
    </row>
    <row r="323" spans="1:10" s="78" customFormat="1" ht="21" customHeight="1">
      <c r="A323" s="77"/>
      <c r="B323" s="77"/>
      <c r="C323" s="89"/>
      <c r="D323" s="86"/>
      <c r="E323" s="77"/>
      <c r="F323" s="77"/>
      <c r="G323" s="77"/>
      <c r="H323" s="77"/>
      <c r="I323" s="77"/>
      <c r="J323" s="86"/>
    </row>
    <row r="324" spans="1:10" s="78" customFormat="1" ht="21" customHeight="1">
      <c r="A324" s="77"/>
      <c r="B324" s="77"/>
      <c r="C324" s="89"/>
      <c r="D324" s="86"/>
      <c r="E324" s="77"/>
      <c r="F324" s="77"/>
      <c r="G324" s="77"/>
      <c r="H324" s="77"/>
      <c r="I324" s="77"/>
      <c r="J324" s="86"/>
    </row>
    <row r="325" spans="1:10" s="78" customFormat="1" ht="21" customHeight="1">
      <c r="A325" s="77"/>
      <c r="B325" s="77"/>
      <c r="C325" s="89"/>
      <c r="D325" s="86"/>
      <c r="E325" s="77"/>
      <c r="F325" s="77"/>
      <c r="G325" s="77"/>
      <c r="H325" s="77"/>
      <c r="I325" s="77"/>
      <c r="J325" s="86"/>
    </row>
    <row r="326" spans="1:10" s="78" customFormat="1" ht="21" customHeight="1">
      <c r="A326" s="77"/>
      <c r="B326" s="77"/>
      <c r="C326" s="89"/>
      <c r="D326" s="86"/>
      <c r="E326" s="77"/>
      <c r="F326" s="77"/>
      <c r="G326" s="77"/>
      <c r="H326" s="77"/>
      <c r="I326" s="77"/>
      <c r="J326" s="86"/>
    </row>
    <row r="327" spans="1:10" s="78" customFormat="1" ht="21" customHeight="1">
      <c r="A327" s="77"/>
      <c r="B327" s="77"/>
      <c r="C327" s="89"/>
      <c r="D327" s="86"/>
      <c r="E327" s="77"/>
      <c r="F327" s="77"/>
      <c r="G327" s="77"/>
      <c r="H327" s="77"/>
      <c r="I327" s="77"/>
      <c r="J327" s="86"/>
    </row>
    <row r="328" spans="1:10" s="78" customFormat="1" ht="21" customHeight="1">
      <c r="A328" s="77"/>
      <c r="B328" s="77"/>
      <c r="C328" s="89"/>
      <c r="D328" s="86"/>
      <c r="E328" s="77"/>
      <c r="F328" s="77"/>
      <c r="G328" s="77"/>
      <c r="H328" s="77"/>
      <c r="I328" s="77"/>
      <c r="J328" s="86"/>
    </row>
    <row r="329" spans="1:10" s="78" customFormat="1" ht="21" customHeight="1">
      <c r="A329" s="77"/>
      <c r="B329" s="77"/>
      <c r="C329" s="89"/>
      <c r="D329" s="86"/>
      <c r="E329" s="77"/>
      <c r="F329" s="77"/>
      <c r="G329" s="77"/>
      <c r="H329" s="77"/>
      <c r="I329" s="77"/>
      <c r="J329" s="86"/>
    </row>
    <row r="330" spans="1:10" s="78" customFormat="1" ht="21" customHeight="1">
      <c r="A330" s="77"/>
      <c r="B330" s="77"/>
      <c r="C330" s="89"/>
      <c r="D330" s="86"/>
      <c r="E330" s="77"/>
      <c r="F330" s="77"/>
      <c r="G330" s="77"/>
      <c r="H330" s="77"/>
      <c r="I330" s="77"/>
      <c r="J330" s="86"/>
    </row>
    <row r="331" spans="1:10" s="78" customFormat="1" ht="21" customHeight="1">
      <c r="A331" s="77"/>
      <c r="B331" s="77"/>
      <c r="C331" s="89"/>
      <c r="D331" s="86"/>
      <c r="E331" s="77"/>
      <c r="F331" s="77"/>
      <c r="G331" s="77"/>
      <c r="H331" s="77"/>
      <c r="I331" s="77"/>
      <c r="J331" s="86"/>
    </row>
    <row r="332" spans="1:10" s="78" customFormat="1" ht="21" customHeight="1">
      <c r="A332" s="77"/>
      <c r="B332" s="77"/>
      <c r="C332" s="89"/>
      <c r="D332" s="86"/>
      <c r="E332" s="77"/>
      <c r="F332" s="77"/>
      <c r="G332" s="77"/>
      <c r="H332" s="77"/>
      <c r="I332" s="77"/>
      <c r="J332" s="86"/>
    </row>
    <row r="333" spans="1:10" s="78" customFormat="1" ht="21" customHeight="1">
      <c r="A333" s="77"/>
      <c r="B333" s="77"/>
      <c r="C333" s="89"/>
      <c r="D333" s="86"/>
      <c r="E333" s="77"/>
      <c r="F333" s="77"/>
      <c r="G333" s="77"/>
      <c r="H333" s="77"/>
      <c r="I333" s="77"/>
      <c r="J333" s="86"/>
    </row>
    <row r="334" spans="1:10" s="78" customFormat="1" ht="21" customHeight="1">
      <c r="A334" s="77"/>
      <c r="B334" s="77"/>
      <c r="C334" s="89"/>
      <c r="D334" s="86"/>
      <c r="E334" s="77"/>
      <c r="F334" s="77"/>
      <c r="G334" s="77"/>
      <c r="H334" s="77"/>
      <c r="I334" s="77"/>
      <c r="J334" s="86"/>
    </row>
    <row r="335" spans="1:10" s="78" customFormat="1" ht="21" customHeight="1">
      <c r="A335" s="77"/>
      <c r="B335" s="77"/>
      <c r="C335" s="89"/>
      <c r="D335" s="86"/>
      <c r="E335" s="77"/>
      <c r="F335" s="77"/>
      <c r="G335" s="77"/>
      <c r="H335" s="77"/>
      <c r="I335" s="77"/>
      <c r="J335" s="86"/>
    </row>
    <row r="336" spans="1:10" s="78" customFormat="1" ht="21" customHeight="1">
      <c r="A336" s="77"/>
      <c r="B336" s="77"/>
      <c r="C336" s="89"/>
      <c r="D336" s="86"/>
      <c r="E336" s="77"/>
      <c r="F336" s="77"/>
      <c r="G336" s="77"/>
      <c r="H336" s="77"/>
      <c r="I336" s="77"/>
      <c r="J336" s="86"/>
    </row>
    <row r="337" spans="1:10" s="78" customFormat="1" ht="21" customHeight="1">
      <c r="A337" s="77"/>
      <c r="B337" s="77"/>
      <c r="C337" s="89"/>
      <c r="D337" s="86"/>
      <c r="E337" s="77"/>
      <c r="F337" s="77"/>
      <c r="G337" s="77"/>
      <c r="H337" s="77"/>
      <c r="I337" s="77"/>
      <c r="J337" s="86"/>
    </row>
    <row r="338" spans="1:10" s="78" customFormat="1" ht="21" customHeight="1">
      <c r="A338" s="77"/>
      <c r="B338" s="77"/>
      <c r="C338" s="89"/>
      <c r="D338" s="86"/>
      <c r="E338" s="77"/>
      <c r="F338" s="77"/>
      <c r="G338" s="77"/>
      <c r="H338" s="77"/>
      <c r="I338" s="77"/>
      <c r="J338" s="86"/>
    </row>
    <row r="339" spans="1:10" s="78" customFormat="1" ht="21" customHeight="1">
      <c r="A339" s="77"/>
      <c r="B339" s="77"/>
      <c r="C339" s="89"/>
      <c r="D339" s="86"/>
      <c r="E339" s="77"/>
      <c r="F339" s="77"/>
      <c r="G339" s="77"/>
      <c r="H339" s="77"/>
      <c r="I339" s="77"/>
      <c r="J339" s="86"/>
    </row>
    <row r="340" spans="1:10" s="78" customFormat="1" ht="21" customHeight="1">
      <c r="A340" s="77"/>
      <c r="B340" s="77"/>
      <c r="C340" s="89"/>
      <c r="D340" s="86"/>
      <c r="E340" s="77"/>
      <c r="F340" s="77"/>
      <c r="G340" s="77"/>
      <c r="H340" s="77"/>
      <c r="I340" s="77"/>
      <c r="J340" s="86"/>
    </row>
    <row r="341" spans="1:10" s="78" customFormat="1" ht="21" customHeight="1">
      <c r="A341" s="77"/>
      <c r="B341" s="77"/>
      <c r="C341" s="89"/>
      <c r="D341" s="86"/>
      <c r="E341" s="77"/>
      <c r="F341" s="77"/>
      <c r="G341" s="77"/>
      <c r="H341" s="77"/>
      <c r="I341" s="77"/>
      <c r="J341" s="86"/>
    </row>
    <row r="342" spans="1:10" s="78" customFormat="1" ht="21" customHeight="1">
      <c r="A342" s="77"/>
      <c r="B342" s="77"/>
      <c r="C342" s="89"/>
      <c r="D342" s="86"/>
      <c r="E342" s="77"/>
      <c r="F342" s="77"/>
      <c r="G342" s="77"/>
      <c r="H342" s="77"/>
      <c r="I342" s="77"/>
      <c r="J342" s="86"/>
    </row>
    <row r="343" spans="1:10" s="78" customFormat="1" ht="21" customHeight="1">
      <c r="A343" s="77"/>
      <c r="B343" s="77"/>
      <c r="C343" s="89"/>
      <c r="D343" s="86"/>
      <c r="E343" s="77"/>
      <c r="F343" s="77"/>
      <c r="G343" s="77"/>
      <c r="H343" s="77"/>
      <c r="I343" s="77"/>
      <c r="J343" s="86"/>
    </row>
    <row r="344" spans="1:10" s="78" customFormat="1" ht="21" customHeight="1">
      <c r="A344" s="77"/>
      <c r="B344" s="77"/>
      <c r="C344" s="89"/>
      <c r="D344" s="86"/>
      <c r="E344" s="77"/>
      <c r="F344" s="77"/>
      <c r="G344" s="77"/>
      <c r="H344" s="77"/>
      <c r="I344" s="77"/>
      <c r="J344" s="86"/>
    </row>
    <row r="345" spans="1:10" s="78" customFormat="1" ht="21" customHeight="1">
      <c r="A345" s="77"/>
      <c r="B345" s="77"/>
      <c r="C345" s="89"/>
      <c r="D345" s="86"/>
      <c r="E345" s="77"/>
      <c r="F345" s="77"/>
      <c r="G345" s="77"/>
      <c r="H345" s="77"/>
      <c r="I345" s="77"/>
      <c r="J345" s="86"/>
    </row>
    <row r="346" spans="1:10" s="78" customFormat="1" ht="21" customHeight="1">
      <c r="A346" s="77"/>
      <c r="B346" s="77"/>
      <c r="C346" s="89"/>
      <c r="D346" s="86"/>
      <c r="E346" s="77"/>
      <c r="F346" s="77"/>
      <c r="G346" s="77"/>
      <c r="H346" s="77"/>
      <c r="I346" s="77"/>
      <c r="J346" s="86"/>
    </row>
    <row r="347" spans="1:10" s="78" customFormat="1" ht="21" customHeight="1">
      <c r="A347" s="77"/>
      <c r="B347" s="77"/>
      <c r="C347" s="89"/>
      <c r="D347" s="86"/>
      <c r="E347" s="77"/>
      <c r="F347" s="77"/>
      <c r="G347" s="77"/>
      <c r="H347" s="77"/>
      <c r="I347" s="77"/>
      <c r="J347" s="86"/>
    </row>
    <row r="348" spans="1:10" s="80" customFormat="1" ht="21" customHeight="1">
      <c r="A348" s="77"/>
      <c r="B348" s="77"/>
      <c r="C348" s="89"/>
      <c r="D348" s="86"/>
      <c r="E348" s="77"/>
      <c r="F348" s="77"/>
      <c r="G348" s="77"/>
      <c r="H348" s="77"/>
      <c r="I348" s="77"/>
      <c r="J348" s="86"/>
    </row>
    <row r="349" spans="1:10" s="80" customFormat="1" ht="21" customHeight="1">
      <c r="A349" s="77"/>
      <c r="B349" s="77"/>
      <c r="C349" s="89"/>
      <c r="D349" s="86"/>
      <c r="E349" s="77"/>
      <c r="F349" s="77"/>
      <c r="G349" s="77"/>
      <c r="H349" s="77"/>
      <c r="I349" s="77"/>
      <c r="J349" s="86"/>
    </row>
    <row r="350" spans="1:10" s="78" customFormat="1" ht="21" customHeight="1">
      <c r="A350" s="77"/>
      <c r="B350" s="77"/>
      <c r="C350" s="89"/>
      <c r="D350" s="86"/>
      <c r="E350" s="77"/>
      <c r="F350" s="77"/>
      <c r="G350" s="77"/>
      <c r="H350" s="77"/>
      <c r="I350" s="77"/>
      <c r="J350" s="86"/>
    </row>
    <row r="351" spans="1:10" s="78" customFormat="1" ht="21" customHeight="1">
      <c r="A351" s="77"/>
      <c r="B351" s="77"/>
      <c r="C351" s="89"/>
      <c r="D351" s="86"/>
      <c r="E351" s="77"/>
      <c r="F351" s="77"/>
      <c r="G351" s="77"/>
      <c r="H351" s="77"/>
      <c r="I351" s="77"/>
      <c r="J351" s="86"/>
    </row>
    <row r="352" spans="1:10" s="78" customFormat="1" ht="21" customHeight="1">
      <c r="A352" s="77"/>
      <c r="B352" s="77"/>
      <c r="C352" s="89"/>
      <c r="D352" s="86"/>
      <c r="E352" s="77"/>
      <c r="F352" s="77"/>
      <c r="G352" s="77"/>
      <c r="H352" s="77"/>
      <c r="I352" s="77"/>
      <c r="J352" s="86"/>
    </row>
    <row r="353" spans="1:10" s="78" customFormat="1" ht="21" customHeight="1">
      <c r="A353" s="77"/>
      <c r="B353" s="77"/>
      <c r="C353" s="89"/>
      <c r="D353" s="86"/>
      <c r="E353" s="77"/>
      <c r="F353" s="77"/>
      <c r="G353" s="77"/>
      <c r="H353" s="77"/>
      <c r="I353" s="77"/>
      <c r="J353" s="86"/>
    </row>
    <row r="354" spans="1:10" s="78" customFormat="1" ht="21" customHeight="1">
      <c r="A354" s="77"/>
      <c r="B354" s="77"/>
      <c r="C354" s="89"/>
      <c r="D354" s="86"/>
      <c r="E354" s="77"/>
      <c r="F354" s="77"/>
      <c r="G354" s="77"/>
      <c r="H354" s="77"/>
      <c r="I354" s="77"/>
      <c r="J354" s="86"/>
    </row>
    <row r="355" spans="1:10" s="78" customFormat="1" ht="21" customHeight="1">
      <c r="A355" s="77"/>
      <c r="B355" s="77"/>
      <c r="C355" s="89"/>
      <c r="D355" s="86"/>
      <c r="E355" s="77"/>
      <c r="F355" s="77"/>
      <c r="G355" s="77"/>
      <c r="H355" s="77"/>
      <c r="I355" s="77"/>
      <c r="J355" s="86"/>
    </row>
    <row r="356" spans="1:10" s="78" customFormat="1" ht="21" customHeight="1">
      <c r="A356" s="77"/>
      <c r="B356" s="77"/>
      <c r="C356" s="89"/>
      <c r="D356" s="86"/>
      <c r="E356" s="77"/>
      <c r="F356" s="77"/>
      <c r="G356" s="77"/>
      <c r="H356" s="77"/>
      <c r="I356" s="77"/>
      <c r="J356" s="86"/>
    </row>
    <row r="357" spans="1:10" s="78" customFormat="1" ht="21" customHeight="1">
      <c r="A357" s="77"/>
      <c r="B357" s="77"/>
      <c r="C357" s="89"/>
      <c r="D357" s="86"/>
      <c r="E357" s="77"/>
      <c r="F357" s="77"/>
      <c r="G357" s="77"/>
      <c r="H357" s="77"/>
      <c r="I357" s="77"/>
      <c r="J357" s="86"/>
    </row>
    <row r="358" spans="1:10" s="78" customFormat="1" ht="21" customHeight="1">
      <c r="A358" s="77"/>
      <c r="B358" s="77"/>
      <c r="C358" s="89"/>
      <c r="D358" s="86"/>
      <c r="E358" s="77"/>
      <c r="F358" s="77"/>
      <c r="G358" s="77"/>
      <c r="H358" s="77"/>
      <c r="I358" s="77"/>
      <c r="J358" s="86"/>
    </row>
    <row r="359" spans="1:10" s="78" customFormat="1" ht="21" customHeight="1">
      <c r="A359" s="77"/>
      <c r="B359" s="77"/>
      <c r="C359" s="89"/>
      <c r="D359" s="86"/>
      <c r="E359" s="77"/>
      <c r="F359" s="77"/>
      <c r="G359" s="77"/>
      <c r="H359" s="77"/>
      <c r="I359" s="77"/>
      <c r="J359" s="86"/>
    </row>
    <row r="360" spans="1:10" s="78" customFormat="1" ht="21" customHeight="1">
      <c r="A360" s="77"/>
      <c r="B360" s="77"/>
      <c r="C360" s="89"/>
      <c r="D360" s="86"/>
      <c r="E360" s="77"/>
      <c r="F360" s="77"/>
      <c r="G360" s="77"/>
      <c r="H360" s="77"/>
      <c r="I360" s="77"/>
      <c r="J360" s="86"/>
    </row>
    <row r="361" spans="1:10" s="78" customFormat="1" ht="21" customHeight="1">
      <c r="A361" s="77"/>
      <c r="B361" s="77"/>
      <c r="C361" s="89"/>
      <c r="D361" s="86"/>
      <c r="E361" s="77"/>
      <c r="F361" s="77"/>
      <c r="G361" s="77"/>
      <c r="H361" s="77"/>
      <c r="I361" s="77"/>
      <c r="J361" s="86"/>
    </row>
    <row r="362" spans="1:10" s="78" customFormat="1" ht="21" customHeight="1">
      <c r="A362" s="77"/>
      <c r="B362" s="77"/>
      <c r="C362" s="89"/>
      <c r="D362" s="86"/>
      <c r="E362" s="77"/>
      <c r="F362" s="77"/>
      <c r="G362" s="77"/>
      <c r="H362" s="77"/>
      <c r="I362" s="77"/>
      <c r="J362" s="86"/>
    </row>
    <row r="363" spans="1:10" s="78" customFormat="1" ht="21" customHeight="1">
      <c r="A363" s="77"/>
      <c r="B363" s="77"/>
      <c r="C363" s="89"/>
      <c r="D363" s="86"/>
      <c r="E363" s="77"/>
      <c r="F363" s="77"/>
      <c r="G363" s="77"/>
      <c r="H363" s="77"/>
      <c r="I363" s="77"/>
      <c r="J363" s="86"/>
    </row>
    <row r="364" spans="1:10" s="78" customFormat="1" ht="21" customHeight="1">
      <c r="A364" s="77"/>
      <c r="B364" s="77"/>
      <c r="C364" s="89"/>
      <c r="D364" s="86"/>
      <c r="E364" s="77"/>
      <c r="F364" s="77"/>
      <c r="G364" s="77"/>
      <c r="H364" s="77"/>
      <c r="I364" s="77"/>
      <c r="J364" s="86"/>
    </row>
    <row r="365" spans="1:10" s="78" customFormat="1" ht="21" customHeight="1">
      <c r="A365" s="77"/>
      <c r="B365" s="77"/>
      <c r="C365" s="89"/>
      <c r="D365" s="86"/>
      <c r="E365" s="77"/>
      <c r="F365" s="77"/>
      <c r="G365" s="77"/>
      <c r="H365" s="77"/>
      <c r="I365" s="77"/>
      <c r="J365" s="86"/>
    </row>
    <row r="366" spans="1:10" s="78" customFormat="1" ht="21" customHeight="1">
      <c r="A366" s="77"/>
      <c r="B366" s="77"/>
      <c r="C366" s="89"/>
      <c r="D366" s="86"/>
      <c r="E366" s="77"/>
      <c r="F366" s="77"/>
      <c r="G366" s="77"/>
      <c r="H366" s="77"/>
      <c r="I366" s="77"/>
      <c r="J366" s="86"/>
    </row>
    <row r="367" spans="1:10" s="78" customFormat="1" ht="21" customHeight="1">
      <c r="A367" s="77"/>
      <c r="B367" s="77"/>
      <c r="C367" s="89"/>
      <c r="D367" s="86"/>
      <c r="E367" s="77"/>
      <c r="F367" s="77"/>
      <c r="G367" s="77"/>
      <c r="H367" s="77"/>
      <c r="I367" s="77"/>
      <c r="J367" s="86"/>
    </row>
    <row r="368" spans="1:10" s="81" customFormat="1" ht="21" customHeight="1">
      <c r="A368" s="77"/>
      <c r="B368" s="77"/>
      <c r="C368" s="89"/>
      <c r="D368" s="86"/>
      <c r="E368" s="77"/>
      <c r="F368" s="77"/>
      <c r="G368" s="77"/>
      <c r="H368" s="77"/>
      <c r="I368" s="77"/>
      <c r="J368" s="86"/>
    </row>
    <row r="369" spans="1:10" s="81" customFormat="1" ht="21" customHeight="1">
      <c r="A369" s="77"/>
      <c r="B369" s="77"/>
      <c r="C369" s="89"/>
      <c r="D369" s="86"/>
      <c r="E369" s="77"/>
      <c r="F369" s="77"/>
      <c r="G369" s="77"/>
      <c r="H369" s="77"/>
      <c r="I369" s="77"/>
      <c r="J369" s="86"/>
    </row>
    <row r="370" spans="1:10" s="81" customFormat="1" ht="21" customHeight="1">
      <c r="A370" s="77"/>
      <c r="B370" s="77"/>
      <c r="C370" s="89"/>
      <c r="D370" s="86"/>
      <c r="E370" s="77"/>
      <c r="F370" s="77"/>
      <c r="G370" s="77"/>
      <c r="H370" s="77"/>
      <c r="I370" s="77"/>
      <c r="J370" s="86"/>
    </row>
    <row r="371" spans="1:10" s="81" customFormat="1" ht="21" customHeight="1">
      <c r="A371" s="77"/>
      <c r="B371" s="77"/>
      <c r="C371" s="89"/>
      <c r="D371" s="86"/>
      <c r="E371" s="77"/>
      <c r="F371" s="77"/>
      <c r="G371" s="77"/>
      <c r="H371" s="77"/>
      <c r="I371" s="77"/>
      <c r="J371" s="86"/>
    </row>
    <row r="372" spans="1:10" s="81" customFormat="1" ht="21" customHeight="1">
      <c r="A372" s="77"/>
      <c r="B372" s="77"/>
      <c r="C372" s="89"/>
      <c r="D372" s="86"/>
      <c r="E372" s="77"/>
      <c r="F372" s="77"/>
      <c r="G372" s="77"/>
      <c r="H372" s="77"/>
      <c r="I372" s="77"/>
      <c r="J372" s="86"/>
    </row>
    <row r="373" spans="1:10" s="81" customFormat="1" ht="21" customHeight="1">
      <c r="A373" s="77"/>
      <c r="B373" s="77"/>
      <c r="C373" s="89"/>
      <c r="D373" s="86"/>
      <c r="E373" s="77"/>
      <c r="F373" s="77"/>
      <c r="G373" s="77"/>
      <c r="H373" s="77"/>
      <c r="I373" s="77"/>
      <c r="J373" s="86"/>
    </row>
    <row r="374" spans="1:10" s="81" customFormat="1" ht="21" customHeight="1">
      <c r="A374" s="77"/>
      <c r="B374" s="77"/>
      <c r="C374" s="89"/>
      <c r="D374" s="86"/>
      <c r="E374" s="77"/>
      <c r="F374" s="77"/>
      <c r="G374" s="77"/>
      <c r="H374" s="77"/>
      <c r="I374" s="77"/>
      <c r="J374" s="86"/>
    </row>
    <row r="375" spans="1:10" s="78" customFormat="1" ht="21" customHeight="1">
      <c r="A375" s="77"/>
      <c r="B375" s="77"/>
      <c r="C375" s="89"/>
      <c r="D375" s="86"/>
      <c r="E375" s="77"/>
      <c r="F375" s="77"/>
      <c r="G375" s="77"/>
      <c r="H375" s="77"/>
      <c r="I375" s="77"/>
      <c r="J375" s="86"/>
    </row>
    <row r="376" spans="1:10" s="78" customFormat="1" ht="21" customHeight="1">
      <c r="A376" s="77"/>
      <c r="B376" s="77"/>
      <c r="C376" s="89"/>
      <c r="D376" s="86"/>
      <c r="E376" s="77"/>
      <c r="F376" s="77"/>
      <c r="G376" s="77"/>
      <c r="H376" s="77"/>
      <c r="I376" s="77"/>
      <c r="J376" s="86"/>
    </row>
    <row r="377" spans="1:10" s="78" customFormat="1" ht="21" customHeight="1">
      <c r="A377" s="77"/>
      <c r="B377" s="77"/>
      <c r="C377" s="89"/>
      <c r="D377" s="86"/>
      <c r="E377" s="77"/>
      <c r="F377" s="77"/>
      <c r="G377" s="77"/>
      <c r="H377" s="77"/>
      <c r="I377" s="77"/>
      <c r="J377" s="86"/>
    </row>
    <row r="378" spans="1:10" s="78" customFormat="1" ht="21" customHeight="1">
      <c r="A378" s="77"/>
      <c r="B378" s="77"/>
      <c r="C378" s="89"/>
      <c r="D378" s="86"/>
      <c r="E378" s="77"/>
      <c r="F378" s="77"/>
      <c r="G378" s="77"/>
      <c r="H378" s="77"/>
      <c r="I378" s="77"/>
      <c r="J378" s="86"/>
    </row>
    <row r="379" spans="1:10" s="78" customFormat="1" ht="21" customHeight="1">
      <c r="A379" s="77"/>
      <c r="B379" s="77"/>
      <c r="C379" s="89"/>
      <c r="D379" s="86"/>
      <c r="E379" s="77"/>
      <c r="F379" s="77"/>
      <c r="G379" s="77"/>
      <c r="H379" s="77"/>
      <c r="I379" s="77"/>
      <c r="J379" s="86"/>
    </row>
    <row r="380" spans="1:10" s="78" customFormat="1" ht="21" customHeight="1">
      <c r="A380" s="77"/>
      <c r="B380" s="77"/>
      <c r="C380" s="89"/>
      <c r="D380" s="86"/>
      <c r="E380" s="77"/>
      <c r="F380" s="77"/>
      <c r="G380" s="77"/>
      <c r="H380" s="77"/>
      <c r="I380" s="77"/>
      <c r="J380" s="86"/>
    </row>
    <row r="381" spans="1:10" s="78" customFormat="1" ht="21" customHeight="1">
      <c r="A381" s="77"/>
      <c r="B381" s="77"/>
      <c r="C381" s="89"/>
      <c r="D381" s="86"/>
      <c r="E381" s="77"/>
      <c r="F381" s="77"/>
      <c r="G381" s="77"/>
      <c r="H381" s="77"/>
      <c r="I381" s="77"/>
      <c r="J381" s="86"/>
    </row>
    <row r="382" spans="1:10" s="78" customFormat="1" ht="21" customHeight="1">
      <c r="A382" s="77"/>
      <c r="B382" s="77"/>
      <c r="C382" s="89"/>
      <c r="D382" s="86"/>
      <c r="E382" s="77"/>
      <c r="F382" s="77"/>
      <c r="G382" s="77"/>
      <c r="H382" s="77"/>
      <c r="I382" s="77"/>
      <c r="J382" s="86"/>
    </row>
    <row r="383" spans="1:10" s="78" customFormat="1" ht="21" customHeight="1">
      <c r="A383" s="77"/>
      <c r="B383" s="77"/>
      <c r="C383" s="89"/>
      <c r="D383" s="86"/>
      <c r="E383" s="77"/>
      <c r="F383" s="77"/>
      <c r="G383" s="77"/>
      <c r="H383" s="77"/>
      <c r="I383" s="77"/>
      <c r="J383" s="86"/>
    </row>
    <row r="384" spans="1:10" s="78" customFormat="1" ht="21" customHeight="1">
      <c r="A384" s="77"/>
      <c r="B384" s="77"/>
      <c r="C384" s="89"/>
      <c r="D384" s="86"/>
      <c r="E384" s="77"/>
      <c r="F384" s="77"/>
      <c r="G384" s="77"/>
      <c r="H384" s="77"/>
      <c r="I384" s="77"/>
      <c r="J384" s="86"/>
    </row>
    <row r="385" spans="1:10" s="78" customFormat="1" ht="21" customHeight="1">
      <c r="A385" s="77"/>
      <c r="B385" s="77"/>
      <c r="C385" s="89"/>
      <c r="D385" s="86"/>
      <c r="E385" s="77"/>
      <c r="F385" s="77"/>
      <c r="G385" s="77"/>
      <c r="H385" s="77"/>
      <c r="I385" s="77"/>
      <c r="J385" s="86"/>
    </row>
    <row r="386" spans="1:10" s="78" customFormat="1" ht="21" customHeight="1">
      <c r="A386" s="77"/>
      <c r="B386" s="77"/>
      <c r="C386" s="89"/>
      <c r="D386" s="86"/>
      <c r="E386" s="77"/>
      <c r="F386" s="77"/>
      <c r="G386" s="77"/>
      <c r="H386" s="77"/>
      <c r="I386" s="77"/>
      <c r="J386" s="86"/>
    </row>
    <row r="387" spans="1:10" s="78" customFormat="1" ht="21" customHeight="1">
      <c r="A387" s="77"/>
      <c r="B387" s="77"/>
      <c r="C387" s="89"/>
      <c r="D387" s="86"/>
      <c r="E387" s="77"/>
      <c r="F387" s="77"/>
      <c r="G387" s="77"/>
      <c r="H387" s="77"/>
      <c r="I387" s="77"/>
      <c r="J387" s="86"/>
    </row>
    <row r="388" spans="1:10" s="78" customFormat="1" ht="21" customHeight="1">
      <c r="A388" s="77"/>
      <c r="B388" s="77"/>
      <c r="C388" s="89"/>
      <c r="D388" s="86"/>
      <c r="E388" s="77"/>
      <c r="F388" s="77"/>
      <c r="G388" s="77"/>
      <c r="H388" s="77"/>
      <c r="I388" s="77"/>
      <c r="J388" s="86"/>
    </row>
    <row r="389" spans="1:10" s="78" customFormat="1" ht="21" customHeight="1">
      <c r="A389" s="77"/>
      <c r="B389" s="77"/>
      <c r="C389" s="89"/>
      <c r="D389" s="86"/>
      <c r="E389" s="77"/>
      <c r="F389" s="77"/>
      <c r="G389" s="77"/>
      <c r="H389" s="77"/>
      <c r="I389" s="77"/>
      <c r="J389" s="86"/>
    </row>
    <row r="390" spans="1:10" s="78" customFormat="1" ht="21" customHeight="1">
      <c r="A390" s="77"/>
      <c r="B390" s="77"/>
      <c r="C390" s="89"/>
      <c r="D390" s="86"/>
      <c r="E390" s="77"/>
      <c r="F390" s="77"/>
      <c r="G390" s="77"/>
      <c r="H390" s="77"/>
      <c r="I390" s="77"/>
      <c r="J390" s="86"/>
    </row>
    <row r="391" spans="1:10" s="80" customFormat="1" ht="21" customHeight="1">
      <c r="A391" s="77"/>
      <c r="B391" s="77"/>
      <c r="C391" s="89"/>
      <c r="D391" s="86"/>
      <c r="E391" s="77"/>
      <c r="F391" s="77"/>
      <c r="G391" s="77"/>
      <c r="H391" s="77"/>
      <c r="I391" s="77"/>
      <c r="J391" s="86"/>
    </row>
    <row r="392" spans="1:10" s="78" customFormat="1" ht="21" customHeight="1">
      <c r="A392" s="77"/>
      <c r="B392" s="77"/>
      <c r="C392" s="89"/>
      <c r="D392" s="86"/>
      <c r="E392" s="77"/>
      <c r="F392" s="77"/>
      <c r="G392" s="77"/>
      <c r="H392" s="77"/>
      <c r="I392" s="77"/>
      <c r="J392" s="86"/>
    </row>
    <row r="393" spans="1:10" s="78" customFormat="1" ht="21" customHeight="1">
      <c r="A393" s="77"/>
      <c r="B393" s="77"/>
      <c r="C393" s="89"/>
      <c r="D393" s="86"/>
      <c r="E393" s="77"/>
      <c r="F393" s="77"/>
      <c r="G393" s="77"/>
      <c r="H393" s="77"/>
      <c r="I393" s="77"/>
      <c r="J393" s="86"/>
    </row>
    <row r="394" spans="1:10" s="78" customFormat="1" ht="21" customHeight="1">
      <c r="A394" s="77"/>
      <c r="B394" s="77"/>
      <c r="C394" s="89"/>
      <c r="D394" s="86"/>
      <c r="E394" s="77"/>
      <c r="F394" s="77"/>
      <c r="G394" s="77"/>
      <c r="H394" s="77"/>
      <c r="I394" s="77"/>
      <c r="J394" s="86"/>
    </row>
    <row r="395" spans="1:10" s="78" customFormat="1" ht="21" customHeight="1">
      <c r="A395" s="77"/>
      <c r="B395" s="77"/>
      <c r="C395" s="89"/>
      <c r="D395" s="86"/>
      <c r="E395" s="77"/>
      <c r="F395" s="77"/>
      <c r="G395" s="77"/>
      <c r="H395" s="77"/>
      <c r="I395" s="77"/>
      <c r="J395" s="86"/>
    </row>
    <row r="396" spans="1:10" s="78" customFormat="1" ht="21" customHeight="1">
      <c r="A396" s="77"/>
      <c r="B396" s="77"/>
      <c r="C396" s="89"/>
      <c r="D396" s="86"/>
      <c r="E396" s="77"/>
      <c r="F396" s="77"/>
      <c r="G396" s="77"/>
      <c r="H396" s="77"/>
      <c r="I396" s="77"/>
      <c r="J396" s="86"/>
    </row>
    <row r="397" spans="1:10" s="78" customFormat="1" ht="21" customHeight="1">
      <c r="A397" s="77"/>
      <c r="B397" s="77"/>
      <c r="C397" s="89"/>
      <c r="D397" s="86"/>
      <c r="E397" s="77"/>
      <c r="F397" s="77"/>
      <c r="G397" s="77"/>
      <c r="H397" s="77"/>
      <c r="I397" s="77"/>
      <c r="J397" s="86"/>
    </row>
    <row r="398" spans="1:10" s="78" customFormat="1" ht="21" customHeight="1">
      <c r="A398" s="77"/>
      <c r="B398" s="77"/>
      <c r="C398" s="89"/>
      <c r="D398" s="86"/>
      <c r="E398" s="77"/>
      <c r="F398" s="77"/>
      <c r="G398" s="77"/>
      <c r="H398" s="77"/>
      <c r="I398" s="77"/>
      <c r="J398" s="86"/>
    </row>
    <row r="399" spans="1:10" s="78" customFormat="1" ht="21" customHeight="1">
      <c r="A399" s="77"/>
      <c r="B399" s="77"/>
      <c r="C399" s="89"/>
      <c r="D399" s="86"/>
      <c r="E399" s="77"/>
      <c r="F399" s="77"/>
      <c r="G399" s="77"/>
      <c r="H399" s="77"/>
      <c r="I399" s="77"/>
      <c r="J399" s="86"/>
    </row>
    <row r="400" spans="1:10" s="78" customFormat="1" ht="21" customHeight="1">
      <c r="A400" s="77"/>
      <c r="B400" s="77"/>
      <c r="C400" s="89"/>
      <c r="D400" s="86"/>
      <c r="E400" s="77"/>
      <c r="F400" s="77"/>
      <c r="G400" s="77"/>
      <c r="H400" s="77"/>
      <c r="I400" s="77"/>
      <c r="J400" s="86"/>
    </row>
    <row r="401" spans="1:10" s="78" customFormat="1" ht="21" customHeight="1">
      <c r="A401" s="77"/>
      <c r="B401" s="77"/>
      <c r="C401" s="89"/>
      <c r="D401" s="86"/>
      <c r="E401" s="77"/>
      <c r="F401" s="77"/>
      <c r="G401" s="77"/>
      <c r="H401" s="77"/>
      <c r="I401" s="77"/>
      <c r="J401" s="86"/>
    </row>
    <row r="402" spans="1:10" s="78" customFormat="1" ht="21" customHeight="1">
      <c r="A402" s="77"/>
      <c r="B402" s="77"/>
      <c r="C402" s="89"/>
      <c r="D402" s="86"/>
      <c r="E402" s="77"/>
      <c r="F402" s="77"/>
      <c r="G402" s="77"/>
      <c r="H402" s="77"/>
      <c r="I402" s="77"/>
      <c r="J402" s="86"/>
    </row>
    <row r="403" spans="1:10" s="78" customFormat="1" ht="21" customHeight="1">
      <c r="A403" s="77"/>
      <c r="B403" s="77"/>
      <c r="C403" s="89"/>
      <c r="D403" s="86"/>
      <c r="E403" s="77"/>
      <c r="F403" s="77"/>
      <c r="G403" s="77"/>
      <c r="H403" s="77"/>
      <c r="I403" s="77"/>
      <c r="J403" s="86"/>
    </row>
    <row r="404" spans="1:10" s="78" customFormat="1" ht="21" customHeight="1">
      <c r="A404" s="77"/>
      <c r="B404" s="77"/>
      <c r="C404" s="89"/>
      <c r="D404" s="86"/>
      <c r="E404" s="77"/>
      <c r="F404" s="77"/>
      <c r="G404" s="77"/>
      <c r="H404" s="77"/>
      <c r="I404" s="77"/>
      <c r="J404" s="86"/>
    </row>
    <row r="405" spans="1:10" s="78" customFormat="1" ht="21" customHeight="1">
      <c r="A405" s="77"/>
      <c r="B405" s="77"/>
      <c r="C405" s="89"/>
      <c r="D405" s="86"/>
      <c r="E405" s="77"/>
      <c r="F405" s="77"/>
      <c r="G405" s="77"/>
      <c r="H405" s="77"/>
      <c r="I405" s="77"/>
      <c r="J405" s="86"/>
    </row>
    <row r="406" spans="1:10" s="78" customFormat="1" ht="21" customHeight="1">
      <c r="A406" s="77"/>
      <c r="B406" s="77"/>
      <c r="C406" s="89"/>
      <c r="D406" s="86"/>
      <c r="E406" s="77"/>
      <c r="F406" s="77"/>
      <c r="G406" s="77"/>
      <c r="H406" s="77"/>
      <c r="I406" s="77"/>
      <c r="J406" s="86"/>
    </row>
    <row r="407" spans="1:10" s="78" customFormat="1" ht="21" customHeight="1">
      <c r="A407" s="77"/>
      <c r="B407" s="77"/>
      <c r="C407" s="89"/>
      <c r="D407" s="86"/>
      <c r="E407" s="77"/>
      <c r="F407" s="77"/>
      <c r="G407" s="77"/>
      <c r="H407" s="77"/>
      <c r="I407" s="77"/>
      <c r="J407" s="86"/>
    </row>
    <row r="408" spans="1:10" s="78" customFormat="1" ht="21" customHeight="1">
      <c r="A408" s="77"/>
      <c r="B408" s="77"/>
      <c r="C408" s="89"/>
      <c r="D408" s="86"/>
      <c r="E408" s="77"/>
      <c r="F408" s="77"/>
      <c r="G408" s="77"/>
      <c r="H408" s="77"/>
      <c r="I408" s="77"/>
      <c r="J408" s="86"/>
    </row>
    <row r="409" spans="1:10" s="78" customFormat="1" ht="21" customHeight="1">
      <c r="A409" s="77"/>
      <c r="B409" s="77"/>
      <c r="C409" s="89"/>
      <c r="D409" s="86"/>
      <c r="E409" s="77"/>
      <c r="F409" s="77"/>
      <c r="G409" s="77"/>
      <c r="H409" s="77"/>
      <c r="I409" s="77"/>
      <c r="J409" s="86"/>
    </row>
    <row r="410" spans="1:10" s="80" customFormat="1" ht="21" customHeight="1">
      <c r="A410" s="77"/>
      <c r="B410" s="77"/>
      <c r="C410" s="89"/>
      <c r="D410" s="86"/>
      <c r="E410" s="77"/>
      <c r="F410" s="77"/>
      <c r="G410" s="77"/>
      <c r="H410" s="77"/>
      <c r="I410" s="77"/>
      <c r="J410" s="86"/>
    </row>
    <row r="411" spans="1:10" s="80" customFormat="1" ht="21" customHeight="1">
      <c r="A411" s="77"/>
      <c r="B411" s="77"/>
      <c r="C411" s="89"/>
      <c r="D411" s="86"/>
      <c r="E411" s="77"/>
      <c r="F411" s="77"/>
      <c r="G411" s="77"/>
      <c r="H411" s="77"/>
      <c r="I411" s="77"/>
      <c r="J411" s="86"/>
    </row>
    <row r="412" spans="1:10" s="80" customFormat="1" ht="21" customHeight="1">
      <c r="A412" s="77"/>
      <c r="B412" s="77"/>
      <c r="C412" s="89"/>
      <c r="D412" s="86"/>
      <c r="E412" s="77"/>
      <c r="F412" s="77"/>
      <c r="G412" s="77"/>
      <c r="H412" s="77"/>
      <c r="I412" s="77"/>
      <c r="J412" s="86"/>
    </row>
    <row r="413" spans="1:10" s="80" customFormat="1" ht="21" customHeight="1">
      <c r="A413" s="77"/>
      <c r="B413" s="77"/>
      <c r="C413" s="89"/>
      <c r="D413" s="86"/>
      <c r="E413" s="77"/>
      <c r="F413" s="77"/>
      <c r="G413" s="77"/>
      <c r="H413" s="77"/>
      <c r="I413" s="77"/>
      <c r="J413" s="86"/>
    </row>
    <row r="414" spans="1:10" s="80" customFormat="1" ht="21" customHeight="1">
      <c r="A414" s="77"/>
      <c r="B414" s="77"/>
      <c r="C414" s="89"/>
      <c r="D414" s="86"/>
      <c r="E414" s="77"/>
      <c r="F414" s="77"/>
      <c r="G414" s="77"/>
      <c r="H414" s="77"/>
      <c r="I414" s="77"/>
      <c r="J414" s="86"/>
    </row>
    <row r="415" spans="1:10" s="80" customFormat="1" ht="21" customHeight="1">
      <c r="A415" s="77"/>
      <c r="B415" s="77"/>
      <c r="C415" s="89"/>
      <c r="D415" s="86"/>
      <c r="E415" s="77"/>
      <c r="F415" s="77"/>
      <c r="G415" s="77"/>
      <c r="H415" s="77"/>
      <c r="I415" s="77"/>
      <c r="J415" s="86"/>
    </row>
    <row r="416" spans="1:10" s="80" customFormat="1" ht="21" customHeight="1">
      <c r="A416" s="77"/>
      <c r="B416" s="77"/>
      <c r="C416" s="89"/>
      <c r="D416" s="86"/>
      <c r="E416" s="77"/>
      <c r="F416" s="77"/>
      <c r="G416" s="77"/>
      <c r="H416" s="77"/>
      <c r="I416" s="77"/>
      <c r="J416" s="86"/>
    </row>
    <row r="417" spans="1:10" s="80" customFormat="1" ht="63" customHeight="1">
      <c r="A417" s="77"/>
      <c r="B417" s="77"/>
      <c r="C417" s="89"/>
      <c r="D417" s="86"/>
      <c r="E417" s="77"/>
      <c r="F417" s="77"/>
      <c r="G417" s="77"/>
      <c r="H417" s="77"/>
      <c r="I417" s="77"/>
      <c r="J417" s="86"/>
    </row>
    <row r="418" spans="1:10" s="80" customFormat="1" ht="63" customHeight="1">
      <c r="A418" s="77"/>
      <c r="B418" s="77"/>
      <c r="C418" s="89"/>
      <c r="D418" s="86"/>
      <c r="E418" s="77"/>
      <c r="F418" s="77"/>
      <c r="G418" s="77"/>
      <c r="H418" s="77"/>
      <c r="I418" s="77"/>
      <c r="J418" s="86"/>
    </row>
    <row r="419" spans="1:10" s="80" customFormat="1" ht="63" customHeight="1">
      <c r="A419" s="77"/>
      <c r="B419" s="77"/>
      <c r="C419" s="89"/>
      <c r="D419" s="86"/>
      <c r="E419" s="77"/>
      <c r="F419" s="77"/>
      <c r="G419" s="77"/>
      <c r="H419" s="77"/>
      <c r="I419" s="77"/>
      <c r="J419" s="86"/>
    </row>
    <row r="420" spans="1:10" s="82" customFormat="1" ht="42" customHeight="1">
      <c r="A420" s="77"/>
      <c r="B420" s="77"/>
      <c r="C420" s="89"/>
      <c r="D420" s="86"/>
      <c r="E420" s="77"/>
      <c r="F420" s="77"/>
      <c r="G420" s="77"/>
      <c r="H420" s="77"/>
      <c r="I420" s="77"/>
      <c r="J420" s="86"/>
    </row>
    <row r="421" spans="1:10" s="82" customFormat="1" ht="42" customHeight="1">
      <c r="A421" s="77"/>
      <c r="B421" s="77"/>
      <c r="C421" s="89"/>
      <c r="D421" s="86"/>
      <c r="E421" s="77"/>
      <c r="F421" s="77"/>
      <c r="G421" s="77"/>
      <c r="H421" s="77"/>
      <c r="I421" s="77"/>
      <c r="J421" s="86"/>
    </row>
    <row r="422" spans="1:10" s="80" customFormat="1" ht="21" customHeight="1">
      <c r="A422" s="77"/>
      <c r="B422" s="77"/>
      <c r="C422" s="89"/>
      <c r="D422" s="86"/>
      <c r="E422" s="77"/>
      <c r="F422" s="77"/>
      <c r="G422" s="77"/>
      <c r="H422" s="77"/>
      <c r="I422" s="77"/>
      <c r="J422" s="86"/>
    </row>
    <row r="423" spans="1:10" s="80" customFormat="1" ht="21" customHeight="1">
      <c r="A423" s="77"/>
      <c r="B423" s="77"/>
      <c r="C423" s="89"/>
      <c r="D423" s="86"/>
      <c r="E423" s="77"/>
      <c r="F423" s="77"/>
      <c r="G423" s="77"/>
      <c r="H423" s="77"/>
      <c r="I423" s="77"/>
      <c r="J423" s="86"/>
    </row>
    <row r="424" spans="1:10" s="80" customFormat="1" ht="21" customHeight="1">
      <c r="A424" s="77"/>
      <c r="B424" s="77"/>
      <c r="C424" s="89"/>
      <c r="D424" s="86"/>
      <c r="E424" s="77"/>
      <c r="F424" s="77"/>
      <c r="G424" s="77"/>
      <c r="H424" s="77"/>
      <c r="I424" s="77"/>
      <c r="J424" s="86"/>
    </row>
    <row r="425" spans="1:10" s="80" customFormat="1" ht="42" customHeight="1">
      <c r="A425" s="77"/>
      <c r="B425" s="77"/>
      <c r="C425" s="89"/>
      <c r="D425" s="86"/>
      <c r="E425" s="77"/>
      <c r="F425" s="77"/>
      <c r="G425" s="77"/>
      <c r="H425" s="77"/>
      <c r="I425" s="77"/>
      <c r="J425" s="86"/>
    </row>
    <row r="426" spans="1:10" s="80" customFormat="1" ht="42" customHeight="1">
      <c r="A426" s="77"/>
      <c r="B426" s="77"/>
      <c r="C426" s="89"/>
      <c r="D426" s="86"/>
      <c r="E426" s="77"/>
      <c r="F426" s="77"/>
      <c r="G426" s="77"/>
      <c r="H426" s="77"/>
      <c r="I426" s="77"/>
      <c r="J426" s="86"/>
    </row>
    <row r="427" spans="1:10" s="80" customFormat="1" ht="42" customHeight="1">
      <c r="A427" s="77"/>
      <c r="B427" s="77"/>
      <c r="C427" s="89"/>
      <c r="D427" s="86"/>
      <c r="E427" s="77"/>
      <c r="F427" s="77"/>
      <c r="G427" s="77"/>
      <c r="H427" s="77"/>
      <c r="I427" s="77"/>
      <c r="J427" s="86"/>
    </row>
    <row r="428" spans="1:10" s="83" customFormat="1" ht="21" customHeight="1">
      <c r="A428" s="77"/>
      <c r="B428" s="77"/>
      <c r="C428" s="89"/>
      <c r="D428" s="86"/>
      <c r="E428" s="77"/>
      <c r="F428" s="77"/>
      <c r="G428" s="77"/>
      <c r="H428" s="77"/>
      <c r="I428" s="77"/>
      <c r="J428" s="86"/>
    </row>
    <row r="429" spans="1:10" s="83" customFormat="1" ht="21" customHeight="1">
      <c r="A429" s="77"/>
      <c r="B429" s="77"/>
      <c r="C429" s="89"/>
      <c r="D429" s="86"/>
      <c r="E429" s="77"/>
      <c r="F429" s="77"/>
      <c r="G429" s="77"/>
      <c r="H429" s="77"/>
      <c r="I429" s="77"/>
      <c r="J429" s="86"/>
    </row>
  </sheetData>
  <mergeCells count="9">
    <mergeCell ref="A31:D31"/>
    <mergeCell ref="A1:J1"/>
    <mergeCell ref="A8:A9"/>
    <mergeCell ref="B8:B9"/>
    <mergeCell ref="C8:C9"/>
    <mergeCell ref="D8:D9"/>
    <mergeCell ref="E8:F8"/>
    <mergeCell ref="G8:H8"/>
    <mergeCell ref="J8:J9"/>
  </mergeCells>
  <printOptions horizontalCentered="1"/>
  <pageMargins left="0.47244094488188981" right="0.47244094488188981" top="0.43307086614173229" bottom="0.78740157480314965" header="0.27559055118110237" footer="0.27559055118110237"/>
  <pageSetup paperSize="9" scale="75" orientation="landscape" r:id="rId1"/>
  <headerFooter>
    <oddHeader>&amp;R&amp;"TH SarabunPSK,ตัวหนา"แบบ ปร.4(ข)  แผ่นที่ &amp;P/&amp;N</oddHeader>
    <oddFooter>&amp;C&amp;"TH Sarabun New,ธรรมดา"&amp;16นายเทอดพงษ์  ไชยณรงค์                            นางสาวศิริวรรณ  โรโห                        นายสายันต์  ขอนพุดซา                           นายขจรศักดิ์  อสุชีวะ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2:N20"/>
  <sheetViews>
    <sheetView workbookViewId="0">
      <selection activeCell="B22" sqref="B22"/>
    </sheetView>
  </sheetViews>
  <sheetFormatPr defaultColWidth="8.83203125" defaultRowHeight="21.75"/>
  <cols>
    <col min="1" max="1" width="88.83203125" style="2" customWidth="1"/>
    <col min="2" max="2" width="83.5" style="2" customWidth="1"/>
    <col min="3" max="3" width="57.5" style="2" customWidth="1"/>
    <col min="4" max="16384" width="8.83203125" style="2"/>
  </cols>
  <sheetData>
    <row r="2" spans="1:3">
      <c r="A2" s="1" t="s">
        <v>83</v>
      </c>
    </row>
    <row r="3" spans="1:3" ht="9.9499999999999993" customHeight="1">
      <c r="A3" s="1"/>
    </row>
    <row r="4" spans="1:3">
      <c r="A4" s="1" t="s">
        <v>47</v>
      </c>
      <c r="B4" s="2" t="s">
        <v>48</v>
      </c>
    </row>
    <row r="5" spans="1:3">
      <c r="A5" s="1"/>
      <c r="B5" s="1" t="s">
        <v>47</v>
      </c>
    </row>
    <row r="6" spans="1:3" ht="9.9499999999999993" customHeight="1">
      <c r="A6" s="1"/>
    </row>
    <row r="7" spans="1:3">
      <c r="A7" s="2" t="s">
        <v>20</v>
      </c>
    </row>
    <row r="8" spans="1:3" ht="9.9499999999999993" customHeight="1">
      <c r="A8" s="1"/>
    </row>
    <row r="9" spans="1:3">
      <c r="A9" s="2" t="s">
        <v>496</v>
      </c>
    </row>
    <row r="10" spans="1:3" ht="9.9499999999999993" customHeight="1">
      <c r="A10" s="1"/>
    </row>
    <row r="11" spans="1:3">
      <c r="A11" s="1"/>
      <c r="B11" s="2" t="s">
        <v>49</v>
      </c>
      <c r="C11" s="1"/>
    </row>
    <row r="12" spans="1:3" ht="9.9499999999999993" customHeight="1">
      <c r="A12" s="1"/>
    </row>
    <row r="13" spans="1:3">
      <c r="C13" s="2" t="s">
        <v>121</v>
      </c>
    </row>
    <row r="18" spans="1:14" ht="28.5">
      <c r="A18" s="106"/>
      <c r="B18" s="107"/>
      <c r="C18" s="108"/>
      <c r="D18" s="104"/>
      <c r="E18" s="104"/>
      <c r="F18" s="104"/>
      <c r="G18" s="104"/>
      <c r="H18" s="104"/>
      <c r="I18"/>
      <c r="J18"/>
      <c r="K18"/>
      <c r="L18"/>
      <c r="M18"/>
      <c r="N18"/>
    </row>
    <row r="19" spans="1:14" ht="28.5">
      <c r="A19" s="112"/>
      <c r="B19" s="109"/>
      <c r="C19" s="110"/>
      <c r="D19" s="104"/>
      <c r="E19" s="104"/>
      <c r="F19" s="104"/>
      <c r="G19" s="104"/>
      <c r="H19" s="104"/>
      <c r="I19"/>
      <c r="J19"/>
      <c r="K19"/>
      <c r="L19"/>
      <c r="M19"/>
      <c r="N19"/>
    </row>
    <row r="20" spans="1:14" ht="30">
      <c r="A20" s="111"/>
      <c r="B20" s="442"/>
      <c r="C20" s="443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</row>
  </sheetData>
  <mergeCells count="1">
    <mergeCell ref="B20:C2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0.39997558519241921"/>
  </sheetPr>
  <dimension ref="A1:H34"/>
  <sheetViews>
    <sheetView workbookViewId="0">
      <selection activeCell="L13" sqref="L13"/>
    </sheetView>
  </sheetViews>
  <sheetFormatPr defaultRowHeight="21"/>
  <cols>
    <col min="1" max="1" width="6.83203125" customWidth="1"/>
    <col min="2" max="2" width="30.6640625" customWidth="1"/>
    <col min="4" max="4" width="16.1640625" bestFit="1" customWidth="1"/>
    <col min="5" max="5" width="19.6640625" bestFit="1" customWidth="1"/>
    <col min="6" max="6" width="47.33203125" bestFit="1" customWidth="1"/>
  </cols>
  <sheetData>
    <row r="1" spans="1:8" ht="22.5" thickBot="1">
      <c r="A1" s="120"/>
      <c r="B1" s="447"/>
      <c r="C1" s="447"/>
      <c r="D1" s="120"/>
      <c r="E1" s="120"/>
      <c r="F1" s="120"/>
      <c r="G1" s="120"/>
      <c r="H1" s="120"/>
    </row>
    <row r="2" spans="1:8" ht="24.75" thickBot="1">
      <c r="A2" s="120"/>
      <c r="B2" s="448" t="s">
        <v>54</v>
      </c>
      <c r="C2" s="449"/>
      <c r="D2" s="450" t="s">
        <v>73</v>
      </c>
      <c r="E2" s="451"/>
      <c r="F2" s="451"/>
      <c r="G2" s="451"/>
      <c r="H2" s="452"/>
    </row>
    <row r="3" spans="1:8" ht="24">
      <c r="A3" s="120"/>
      <c r="B3" s="121" t="s">
        <v>55</v>
      </c>
      <c r="C3" s="375">
        <v>0.15</v>
      </c>
      <c r="D3" s="123" t="s">
        <v>74</v>
      </c>
      <c r="E3" s="124"/>
      <c r="F3" s="124"/>
      <c r="G3" s="124"/>
      <c r="H3" s="125"/>
    </row>
    <row r="4" spans="1:8" ht="24">
      <c r="A4" s="120"/>
      <c r="B4" s="121" t="s">
        <v>56</v>
      </c>
      <c r="C4" s="122">
        <v>0</v>
      </c>
      <c r="D4" s="453" t="s">
        <v>75</v>
      </c>
      <c r="E4" s="454"/>
      <c r="F4" s="454"/>
      <c r="G4" s="126"/>
      <c r="H4" s="127"/>
    </row>
    <row r="5" spans="1:8" ht="24">
      <c r="A5" s="120"/>
      <c r="B5" s="121" t="s">
        <v>57</v>
      </c>
      <c r="C5" s="376">
        <v>7.0000000000000007E-2</v>
      </c>
      <c r="D5" s="128" t="s">
        <v>76</v>
      </c>
      <c r="E5" s="129"/>
      <c r="F5" s="126"/>
      <c r="G5" s="130"/>
      <c r="H5" s="131"/>
    </row>
    <row r="6" spans="1:8" ht="21.75">
      <c r="A6" s="120"/>
      <c r="B6" s="121" t="s">
        <v>32</v>
      </c>
      <c r="C6" s="375">
        <v>7.0000000000000007E-2</v>
      </c>
      <c r="D6" s="132" t="s">
        <v>58</v>
      </c>
      <c r="E6" s="455" t="s">
        <v>77</v>
      </c>
      <c r="F6" s="455"/>
      <c r="G6" s="133"/>
      <c r="H6" s="127"/>
    </row>
    <row r="7" spans="1:8" ht="22.5" thickBot="1">
      <c r="A7" s="120"/>
      <c r="B7" s="134"/>
      <c r="C7" s="135"/>
      <c r="D7" s="124"/>
      <c r="E7" s="124"/>
      <c r="F7" s="124"/>
      <c r="G7" s="133"/>
      <c r="H7" s="127"/>
    </row>
    <row r="8" spans="1:8" ht="23.25" thickTop="1" thickBot="1">
      <c r="A8" s="120"/>
      <c r="B8" s="136" t="s">
        <v>28</v>
      </c>
      <c r="C8" s="137" t="s">
        <v>4</v>
      </c>
      <c r="D8" s="138" t="s">
        <v>59</v>
      </c>
      <c r="E8" s="139">
        <f>IF(E9&lt;499999,500000,VLOOKUP(E9,B10:B33,1,TRUE))</f>
        <v>500000</v>
      </c>
      <c r="F8" s="140" t="s">
        <v>60</v>
      </c>
      <c r="G8" s="141"/>
      <c r="H8" s="127"/>
    </row>
    <row r="9" spans="1:8" ht="23.25" thickTop="1" thickBot="1">
      <c r="A9" s="120"/>
      <c r="B9" s="142" t="s">
        <v>61</v>
      </c>
      <c r="C9" s="143"/>
      <c r="D9" s="144" t="s">
        <v>62</v>
      </c>
      <c r="E9" s="145">
        <f>'ปร.4(ก)'!I17</f>
        <v>0</v>
      </c>
      <c r="F9" s="124" t="s">
        <v>78</v>
      </c>
      <c r="G9" s="124"/>
      <c r="H9" s="127"/>
    </row>
    <row r="10" spans="1:8" ht="22.5" thickTop="1">
      <c r="A10" s="120"/>
      <c r="B10" s="146">
        <v>500000</v>
      </c>
      <c r="C10" s="377">
        <v>1.3058000000000001</v>
      </c>
      <c r="D10" s="147" t="s">
        <v>63</v>
      </c>
      <c r="E10" s="148">
        <f>IF(E9&gt;500000001,500000001,INDEX(B10:B33,MATCH(E8,B10:B33,0)+1,1))</f>
        <v>1000000</v>
      </c>
      <c r="F10" s="149" t="s">
        <v>64</v>
      </c>
      <c r="G10" s="124"/>
      <c r="H10" s="127"/>
    </row>
    <row r="11" spans="1:8" ht="21.75">
      <c r="A11" s="120"/>
      <c r="B11" s="146">
        <v>1000000</v>
      </c>
      <c r="C11" s="378">
        <v>1.3029999999999999</v>
      </c>
      <c r="D11" s="124"/>
      <c r="E11" s="124"/>
      <c r="F11" s="124"/>
      <c r="G11" s="124"/>
      <c r="H11" s="127"/>
    </row>
    <row r="12" spans="1:8" ht="21.75">
      <c r="A12" s="120"/>
      <c r="B12" s="146">
        <v>2000000</v>
      </c>
      <c r="C12" s="379">
        <v>1.3009999999999999</v>
      </c>
      <c r="D12" s="150" t="s">
        <v>65</v>
      </c>
      <c r="E12" s="151">
        <f>VLOOKUP(E8,$B$10:$C$33,2,FALSE)</f>
        <v>1.3058000000000001</v>
      </c>
      <c r="F12" s="124" t="s">
        <v>66</v>
      </c>
      <c r="G12" s="124"/>
      <c r="H12" s="127"/>
    </row>
    <row r="13" spans="1:8" ht="22.5" thickBot="1">
      <c r="A13" s="120"/>
      <c r="B13" s="146">
        <v>5000000</v>
      </c>
      <c r="C13" s="379">
        <v>1.2954000000000001</v>
      </c>
      <c r="D13" s="150" t="s">
        <v>67</v>
      </c>
      <c r="E13" s="151">
        <f>VLOOKUP(E10,$B$10:$C$33,2,FALSE)</f>
        <v>1.3029999999999999</v>
      </c>
      <c r="F13" s="124" t="s">
        <v>68</v>
      </c>
      <c r="G13" s="124"/>
      <c r="H13" s="127"/>
    </row>
    <row r="14" spans="1:8" ht="23.25" thickTop="1" thickBot="1">
      <c r="A14" s="120"/>
      <c r="B14" s="146">
        <v>10000000</v>
      </c>
      <c r="C14" s="379">
        <v>1.288</v>
      </c>
      <c r="D14" s="144" t="s">
        <v>58</v>
      </c>
      <c r="E14" s="152">
        <f>ROUND(E12-(((E12-E13)*(E9-E8))/(E10-E8)),4)</f>
        <v>1.3086</v>
      </c>
      <c r="F14" s="153" t="s">
        <v>79</v>
      </c>
      <c r="G14" s="124"/>
      <c r="H14" s="127"/>
    </row>
    <row r="15" spans="1:8" ht="22.5" thickTop="1">
      <c r="A15" s="120"/>
      <c r="B15" s="146">
        <v>15000000</v>
      </c>
      <c r="C15" s="379">
        <v>1.2531000000000001</v>
      </c>
      <c r="D15" s="150" t="s">
        <v>69</v>
      </c>
      <c r="E15" s="154">
        <f>E9*E14</f>
        <v>0</v>
      </c>
      <c r="F15" s="153" t="s">
        <v>80</v>
      </c>
      <c r="G15" s="124"/>
      <c r="H15" s="127"/>
    </row>
    <row r="16" spans="1:8" ht="21.75">
      <c r="A16" s="120"/>
      <c r="B16" s="146">
        <v>20000000</v>
      </c>
      <c r="C16" s="379">
        <v>1.2450000000000001</v>
      </c>
      <c r="D16" s="124"/>
      <c r="E16" s="124"/>
      <c r="F16" s="124"/>
      <c r="G16" s="124"/>
      <c r="H16" s="127"/>
    </row>
    <row r="17" spans="1:8" ht="21.75">
      <c r="A17" s="120"/>
      <c r="B17" s="146">
        <v>25000000</v>
      </c>
      <c r="C17" s="379">
        <v>1.218</v>
      </c>
      <c r="D17" s="444"/>
      <c r="E17" s="445"/>
      <c r="F17" s="445"/>
      <c r="G17" s="445"/>
      <c r="H17" s="446"/>
    </row>
    <row r="18" spans="1:8" ht="22.5" thickBot="1">
      <c r="A18" s="120"/>
      <c r="B18" s="146">
        <v>30000000</v>
      </c>
      <c r="C18" s="379">
        <v>1.2093</v>
      </c>
      <c r="D18" s="155"/>
      <c r="E18" s="155"/>
      <c r="F18" s="155"/>
      <c r="G18" s="155"/>
      <c r="H18" s="156"/>
    </row>
    <row r="19" spans="1:8" ht="21.75">
      <c r="A19" s="120"/>
      <c r="B19" s="146">
        <v>40000000</v>
      </c>
      <c r="C19" s="379">
        <v>1.2088000000000001</v>
      </c>
      <c r="D19" s="120"/>
      <c r="E19" s="120"/>
      <c r="F19" s="120"/>
      <c r="G19" s="120"/>
      <c r="H19" s="120"/>
    </row>
    <row r="20" spans="1:8" ht="21.75">
      <c r="A20" s="120"/>
      <c r="B20" s="146">
        <v>50000000</v>
      </c>
      <c r="C20" s="379">
        <v>1.2078</v>
      </c>
      <c r="D20" s="120"/>
      <c r="E20" s="157" t="s">
        <v>19</v>
      </c>
      <c r="F20" s="120"/>
      <c r="G20" s="120"/>
      <c r="H20" s="120"/>
    </row>
    <row r="21" spans="1:8" ht="21.75">
      <c r="A21" s="120"/>
      <c r="B21" s="146">
        <v>60000000</v>
      </c>
      <c r="C21" s="379">
        <v>1.1979</v>
      </c>
      <c r="D21" s="120"/>
      <c r="E21" s="120" t="s">
        <v>19</v>
      </c>
      <c r="F21" s="120"/>
      <c r="G21" s="120"/>
      <c r="H21" s="120"/>
    </row>
    <row r="22" spans="1:8" ht="21.75">
      <c r="A22" s="120"/>
      <c r="B22" s="146">
        <v>70000000</v>
      </c>
      <c r="C22" s="379">
        <v>1.1963999999999999</v>
      </c>
      <c r="D22" s="120"/>
      <c r="E22" s="120" t="s">
        <v>19</v>
      </c>
      <c r="F22" s="120"/>
      <c r="G22" s="120"/>
      <c r="H22" s="120"/>
    </row>
    <row r="23" spans="1:8" ht="21.75">
      <c r="A23" s="120"/>
      <c r="B23" s="146">
        <v>80000000</v>
      </c>
      <c r="C23" s="379">
        <v>1.1963999999999999</v>
      </c>
      <c r="D23" s="158"/>
      <c r="E23" s="159" t="s">
        <v>19</v>
      </c>
      <c r="F23" s="160"/>
      <c r="G23" s="120"/>
      <c r="H23" s="120"/>
    </row>
    <row r="24" spans="1:8" ht="21.75">
      <c r="A24" s="120"/>
      <c r="B24" s="146">
        <v>90000000</v>
      </c>
      <c r="C24" s="379">
        <v>1.1962999999999999</v>
      </c>
      <c r="D24" s="120"/>
      <c r="E24" s="120" t="s">
        <v>19</v>
      </c>
      <c r="F24" s="120"/>
      <c r="G24" s="120"/>
      <c r="H24" s="120"/>
    </row>
    <row r="25" spans="1:8" ht="21.75">
      <c r="A25" s="120"/>
      <c r="B25" s="146">
        <v>100000000</v>
      </c>
      <c r="C25" s="379">
        <v>1.1962999999999999</v>
      </c>
      <c r="D25" s="120"/>
      <c r="E25" s="120"/>
      <c r="F25" s="120"/>
      <c r="G25" s="160"/>
      <c r="H25" s="120"/>
    </row>
    <row r="26" spans="1:8" ht="21.75">
      <c r="A26" s="120"/>
      <c r="B26" s="146">
        <v>150000000</v>
      </c>
      <c r="C26" s="379">
        <v>1.1927000000000001</v>
      </c>
      <c r="D26" s="120"/>
      <c r="E26" s="120"/>
      <c r="F26" s="120"/>
      <c r="G26" s="120"/>
      <c r="H26" s="120"/>
    </row>
    <row r="27" spans="1:8" ht="21.75">
      <c r="A27" s="120"/>
      <c r="B27" s="146">
        <v>200000000</v>
      </c>
      <c r="C27" s="379">
        <v>1.1918</v>
      </c>
      <c r="D27" s="120"/>
      <c r="E27" s="120"/>
      <c r="F27" s="120"/>
      <c r="G27" s="159" t="s">
        <v>19</v>
      </c>
      <c r="H27" s="120"/>
    </row>
    <row r="28" spans="1:8" ht="21.75">
      <c r="A28" s="120"/>
      <c r="B28" s="146">
        <v>250000000</v>
      </c>
      <c r="C28" s="379">
        <v>1.1889000000000001</v>
      </c>
      <c r="D28" s="120"/>
      <c r="E28" s="120"/>
      <c r="F28" s="120"/>
      <c r="G28" s="120"/>
      <c r="H28" s="120"/>
    </row>
    <row r="29" spans="1:8" ht="21.75">
      <c r="A29" s="120"/>
      <c r="B29" s="146">
        <v>300000000</v>
      </c>
      <c r="C29" s="379">
        <v>1.1819</v>
      </c>
      <c r="D29" s="120"/>
      <c r="E29" s="120"/>
      <c r="F29" s="120"/>
      <c r="G29" s="160"/>
      <c r="H29" s="120"/>
    </row>
    <row r="30" spans="1:8" ht="21.75">
      <c r="A30" s="120"/>
      <c r="B30" s="146">
        <v>350000000</v>
      </c>
      <c r="C30" s="379">
        <v>1.1725000000000001</v>
      </c>
      <c r="D30" s="120"/>
      <c r="E30" s="120"/>
      <c r="F30" s="120"/>
      <c r="G30" s="120"/>
      <c r="H30" s="120"/>
    </row>
    <row r="31" spans="1:8" ht="21.75">
      <c r="A31" s="120"/>
      <c r="B31" s="146">
        <v>400000000</v>
      </c>
      <c r="C31" s="379">
        <v>1.1698</v>
      </c>
      <c r="D31" s="120"/>
      <c r="E31" s="120"/>
      <c r="F31" s="120"/>
      <c r="G31" s="160"/>
      <c r="H31" s="120"/>
    </row>
    <row r="32" spans="1:8" ht="21.75">
      <c r="A32" s="120"/>
      <c r="B32" s="146">
        <v>500000000</v>
      </c>
      <c r="C32" s="379">
        <v>1.1688000000000001</v>
      </c>
      <c r="D32" s="120"/>
      <c r="E32" s="120"/>
      <c r="F32" s="120"/>
      <c r="G32" s="120"/>
      <c r="H32" s="120"/>
    </row>
    <row r="33" spans="1:8" ht="21.75">
      <c r="A33" s="120"/>
      <c r="B33" s="161">
        <v>500000001</v>
      </c>
      <c r="C33" s="379">
        <v>1.1608000000000001</v>
      </c>
      <c r="D33" s="120"/>
      <c r="E33" s="120"/>
      <c r="F33" s="120"/>
      <c r="G33" s="160"/>
      <c r="H33" s="120"/>
    </row>
    <row r="34" spans="1:8" ht="21.75">
      <c r="A34" s="120"/>
      <c r="B34" s="120"/>
      <c r="C34" s="120"/>
      <c r="D34" s="120"/>
      <c r="E34" s="120"/>
      <c r="F34" s="120"/>
      <c r="G34" s="120"/>
      <c r="H34" s="120"/>
    </row>
  </sheetData>
  <mergeCells count="6">
    <mergeCell ref="D17:H17"/>
    <mergeCell ref="B1:C1"/>
    <mergeCell ref="B2:C2"/>
    <mergeCell ref="D2:H2"/>
    <mergeCell ref="D4:F4"/>
    <mergeCell ref="E6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08A977CFFC7B4988250CA6A963FC42" ma:contentTypeVersion="13" ma:contentTypeDescription="Create a new document." ma:contentTypeScope="" ma:versionID="a492c1c6a3fd7affd080c71588abee51">
  <xsd:schema xmlns:xsd="http://www.w3.org/2001/XMLSchema" xmlns:xs="http://www.w3.org/2001/XMLSchema" xmlns:p="http://schemas.microsoft.com/office/2006/metadata/properties" xmlns:ns3="a0ce10e5-4beb-4686-b418-0f2b8b06430c" targetNamespace="http://schemas.microsoft.com/office/2006/metadata/properties" ma:root="true" ma:fieldsID="7a21114b30d9f49f65071c19ecd7a75f" ns3:_="">
    <xsd:import namespace="a0ce10e5-4beb-4686-b418-0f2b8b0643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e10e5-4beb-4686-b418-0f2b8b064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0ce10e5-4beb-4686-b418-0f2b8b0643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C2842-2484-4690-8668-2A86FBF295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e10e5-4beb-4686-b418-0f2b8b064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22304A-2DC5-4638-87AB-1FACB4F8CCA3}">
  <ds:schemaRefs>
    <ds:schemaRef ds:uri="http://schemas.microsoft.com/office/2006/documentManagement/types"/>
    <ds:schemaRef ds:uri="http://schemas.microsoft.com/office/2006/metadata/properties"/>
    <ds:schemaRef ds:uri="a0ce10e5-4beb-4686-b418-0f2b8b06430c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28AF9CA-2848-446A-A7B8-4525C622B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ปร.6</vt:lpstr>
      <vt:lpstr>ปร.5(ก)</vt:lpstr>
      <vt:lpstr>ปร.5(ข)</vt:lpstr>
      <vt:lpstr>ปร.4(ก)</vt:lpstr>
      <vt:lpstr>ปร.4(ข)</vt:lpstr>
      <vt:lpstr>ชื่อโครงการ</vt:lpstr>
      <vt:lpstr>Factor F</vt:lpstr>
      <vt:lpstr>'ปร.4(ก)'!Print_Area</vt:lpstr>
      <vt:lpstr>'ปร.5(ก)'!Print_Area</vt:lpstr>
      <vt:lpstr>'ปร.5(ข)'!Print_Area</vt:lpstr>
      <vt:lpstr>ปร.6!Print_Area</vt:lpstr>
      <vt:lpstr>'ปร.4(ก)'!Print_Titles</vt:lpstr>
      <vt:lpstr>'ปร.4(ข)'!Print_Titles</vt:lpstr>
    </vt:vector>
  </TitlesOfParts>
  <Company>กรมโยธาธิการ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สุชาติ ภูรีสารศัพท์</dc:creator>
  <cp:lastModifiedBy>president048</cp:lastModifiedBy>
  <cp:lastPrinted>2026-04-16T10:23:56Z</cp:lastPrinted>
  <dcterms:created xsi:type="dcterms:W3CDTF">1999-12-06T05:31:38Z</dcterms:created>
  <dcterms:modified xsi:type="dcterms:W3CDTF">2026-04-17T07:46:24Z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0x0101007B08A977CFFC7B4988250CA6A963FC42</vt:lpwstr>
  </property>
</Properties>
</file>