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475" yWindow="6225" windowWidth="11940" windowHeight="3075" tabRatio="943"/>
  </bookViews>
  <sheets>
    <sheet name="ปร.6" sheetId="37" r:id="rId1"/>
    <sheet name="ปร.5(ก) " sheetId="38" r:id="rId2"/>
    <sheet name="ปร.5(ข)" sheetId="39" r:id="rId3"/>
    <sheet name="ปร.4พ" sheetId="13" r:id="rId4"/>
    <sheet name="ปร.5(ก)" sheetId="1" state="hidden" r:id="rId5"/>
    <sheet name="ปร.4-ST" sheetId="6" state="hidden" r:id="rId6"/>
    <sheet name="ปร.4-AR" sheetId="2" state="hidden" r:id="rId7"/>
    <sheet name="ปร.4-Sn_FP" sheetId="7" state="hidden" r:id="rId8"/>
    <sheet name="ปร.4-EE_Com" sheetId="8" state="hidden" r:id="rId9"/>
    <sheet name="ปร.4-AC" sheetId="9" state="hidden" r:id="rId10"/>
    <sheet name="ปร.4(พ)" sheetId="5" state="hidden" r:id="rId11"/>
    <sheet name="sum" sheetId="11" state="hidden" r:id="rId12"/>
    <sheet name="ปร.6 (2)" sheetId="15" r:id="rId13"/>
    <sheet name="ปร.5(ก) (2)" sheetId="16" r:id="rId14"/>
    <sheet name="ปร.5(ข) (2)" sheetId="17" r:id="rId15"/>
    <sheet name="01-ปร.4-ST" sheetId="18" r:id="rId16"/>
    <sheet name="02-ปร.4-AR" sheetId="19" r:id="rId17"/>
    <sheet name="03-ปร.4-SN" sheetId="20" r:id="rId18"/>
    <sheet name="04-ปร.4-EE" sheetId="21" r:id="rId19"/>
    <sheet name="05-ปร.4-AC" sheetId="22" r:id="rId20"/>
    <sheet name="06-ปร.4-BF" sheetId="23" r:id="rId21"/>
    <sheet name="07-ปร.4-Int" sheetId="24" r:id="rId22"/>
    <sheet name="08-ปร.4-Loose" sheetId="25" r:id="rId23"/>
    <sheet name="ปร.6 (3)" sheetId="26" r:id="rId24"/>
    <sheet name="ปร.5(ก) (3)" sheetId="27" r:id="rId25"/>
    <sheet name="ปร.5(ข) (3)" sheetId="28" r:id="rId26"/>
    <sheet name="01-ปร.4-ST (2)" sheetId="29" r:id="rId27"/>
    <sheet name="02-ปร.4-AR (2)" sheetId="30" r:id="rId28"/>
    <sheet name="03-ปร.4-SN (2)" sheetId="31" r:id="rId29"/>
    <sheet name="04-ปร.4-EE (2)" sheetId="32" r:id="rId30"/>
    <sheet name="05-ปร.4-AC (2)" sheetId="33" r:id="rId31"/>
    <sheet name="06-ปร.4-LA" sheetId="34" r:id="rId32"/>
    <sheet name="07-ปร.4-บริเวณ" sheetId="35" r:id="rId33"/>
    <sheet name="08-ปร.4-ครุภัณฑ์จัดชื้อ" sheetId="36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Area" localSheetId="15">'01-ปร.4-ST'!$A$1:$L$272</definedName>
    <definedName name="_xlnm.Print_Area" localSheetId="26">'01-ปร.4-ST (2)'!$A$1:$L$198</definedName>
    <definedName name="_xlnm.Print_Area" localSheetId="16">'02-ปร.4-AR'!$A$1:$L$408</definedName>
    <definedName name="_xlnm.Print_Area" localSheetId="27">'02-ปร.4-AR (2)'!$A$1:$L$282</definedName>
    <definedName name="_xlnm.Print_Area" localSheetId="17">'03-ปร.4-SN'!$A$1:$L$282</definedName>
    <definedName name="_xlnm.Print_Area" localSheetId="28">'03-ปร.4-SN (2)'!$A$1:$L$260</definedName>
    <definedName name="_xlnm.Print_Area" localSheetId="18">'04-ปร.4-EE'!$A$1:$K$448</definedName>
    <definedName name="_xlnm.Print_Area" localSheetId="29">'04-ปร.4-EE (2)'!$A$1:$K$240</definedName>
    <definedName name="_xlnm.Print_Area" localSheetId="19">'05-ปร.4-AC'!$A$1:$L$240</definedName>
    <definedName name="_xlnm.Print_Area" localSheetId="30">'05-ปร.4-AC (2)'!$A$1:$L$93</definedName>
    <definedName name="_xlnm.Print_Area" localSheetId="20">'06-ปร.4-BF'!$A$1:$L$51</definedName>
    <definedName name="_xlnm.Print_Area" localSheetId="21">'07-ปร.4-Int'!$A$1:$L$51</definedName>
    <definedName name="_xlnm.Print_Area" localSheetId="22">'08-ปร.4-Loose'!$A$1:$L$240</definedName>
    <definedName name="_xlnm.Print_Area" localSheetId="6">'ปร.4-AR'!$A$1:$L$1305</definedName>
    <definedName name="_xlnm.Print_Area" localSheetId="3">ปร.4พ!$A$1:$I$29</definedName>
    <definedName name="_xlnm.Print_Area" localSheetId="4">'ปร.5(ก)'!$A$1:$I$83</definedName>
    <definedName name="_xlnm.Print_Area" localSheetId="1">'ปร.5(ก) '!$A$1:$F$35</definedName>
    <definedName name="_xlnm.Print_Area" localSheetId="13">'ปร.5(ก) (2)'!$A$1:$I$34</definedName>
    <definedName name="_xlnm.Print_Area" localSheetId="24">'ปร.5(ก) (3)'!$A$1:$I$34</definedName>
    <definedName name="_xlnm.Print_Area" localSheetId="2">'ปร.5(ข)'!$A$1:$F$38</definedName>
    <definedName name="_xlnm.Print_Area" localSheetId="25">'ปร.5(ข) (3)'!$A$1:$I$24</definedName>
    <definedName name="_xlnm.Print_Area" localSheetId="0">ปร.6!$A$1:$E$37</definedName>
    <definedName name="_xlnm.Print_Area" localSheetId="12">'ปร.6 (2)'!$A$1:$H$34</definedName>
    <definedName name="_xlnm.Print_Area" localSheetId="23">'ปร.6 (3)'!$A$1:$F$31</definedName>
    <definedName name="_xlnm.Print_Titles" localSheetId="15">'01-ปร.4-ST'!$1:$9</definedName>
    <definedName name="_xlnm.Print_Titles" localSheetId="26">'01-ปร.4-ST (2)'!$1:$9</definedName>
    <definedName name="_xlnm.Print_Titles" localSheetId="16">'02-ปร.4-AR'!$1:$9</definedName>
    <definedName name="_xlnm.Print_Titles" localSheetId="27">'02-ปร.4-AR (2)'!$1:$9</definedName>
    <definedName name="_xlnm.Print_Titles" localSheetId="17">'03-ปร.4-SN'!$1:$9</definedName>
    <definedName name="_xlnm.Print_Titles" localSheetId="28">'03-ปร.4-SN (2)'!$1:$9</definedName>
    <definedName name="_xlnm.Print_Titles" localSheetId="18">'04-ปร.4-EE'!$1:$9</definedName>
    <definedName name="_xlnm.Print_Titles" localSheetId="29">'04-ปร.4-EE (2)'!$1:$9</definedName>
    <definedName name="_xlnm.Print_Titles" localSheetId="19">'05-ปร.4-AC'!$1:$9</definedName>
    <definedName name="_xlnm.Print_Titles" localSheetId="30">'05-ปร.4-AC (2)'!$1:$9</definedName>
    <definedName name="_xlnm.Print_Titles" localSheetId="20">'06-ปร.4-BF'!$1:$9</definedName>
    <definedName name="_xlnm.Print_Titles" localSheetId="31">'06-ปร.4-LA'!$1:$9</definedName>
    <definedName name="_xlnm.Print_Titles" localSheetId="21">'07-ปร.4-Int'!$1:$9</definedName>
    <definedName name="_xlnm.Print_Titles" localSheetId="32">'07-ปร.4-บริเวณ'!$1:$9</definedName>
    <definedName name="_xlnm.Print_Titles" localSheetId="22">'08-ปร.4-Loose'!$1:$9</definedName>
    <definedName name="_xlnm.Print_Titles" localSheetId="33">'08-ปร.4-ครุภัณฑ์จัดชื้อ'!$1:$9</definedName>
    <definedName name="_xlnm.Print_Titles" localSheetId="9">'ปร.4-AC'!$1:$9</definedName>
    <definedName name="_xlnm.Print_Titles" localSheetId="6">'ปร.4-AR'!$1:$9</definedName>
    <definedName name="_xlnm.Print_Titles" localSheetId="8">'ปร.4-EE_Com'!$1:$9</definedName>
    <definedName name="_xlnm.Print_Titles" localSheetId="7">'ปร.4-Sn_FP'!$1:$9</definedName>
    <definedName name="_xlnm.Print_Titles" localSheetId="5">'ปร.4-ST'!$1:$9</definedName>
    <definedName name="_xlnm.Print_Titles" localSheetId="4">'ปร.5(ก)'!$1:$13</definedName>
    <definedName name="_xlnm.Print_Titles" localSheetId="1">'ปร.5(ก) '!$1:$14</definedName>
  </definedNames>
  <calcPr calcId="125725"/>
</workbook>
</file>

<file path=xl/calcChain.xml><?xml version="1.0" encoding="utf-8"?>
<calcChain xmlns="http://schemas.openxmlformats.org/spreadsheetml/2006/main">
  <c r="G18" i="38"/>
  <c r="AL31" i="15" l="1"/>
  <c r="AL30" l="1"/>
  <c r="D26" i="37" l="1"/>
  <c r="A5"/>
  <c r="A12" i="36" l="1"/>
  <c r="B62" i="34"/>
  <c r="B52"/>
  <c r="B37"/>
  <c r="B31"/>
  <c r="A12"/>
  <c r="B14" i="33"/>
  <c r="A14"/>
  <c r="B13"/>
  <c r="A13"/>
  <c r="B12"/>
  <c r="A12"/>
  <c r="B11"/>
  <c r="A11"/>
  <c r="B21" i="32"/>
  <c r="B20"/>
  <c r="B19"/>
  <c r="B18"/>
  <c r="B17"/>
  <c r="B16"/>
  <c r="B15"/>
  <c r="B14"/>
  <c r="A13"/>
  <c r="A14" s="1"/>
  <c r="A15" s="1"/>
  <c r="A16" s="1"/>
  <c r="A17" s="1"/>
  <c r="A18" s="1"/>
  <c r="A19" s="1"/>
  <c r="B12"/>
  <c r="A12"/>
  <c r="B11"/>
  <c r="A11"/>
  <c r="B19" i="31"/>
  <c r="A19"/>
  <c r="B18"/>
  <c r="A18"/>
  <c r="B17"/>
  <c r="A17"/>
  <c r="B16"/>
  <c r="A16"/>
  <c r="B15"/>
  <c r="A15"/>
  <c r="A13"/>
  <c r="B12"/>
  <c r="A12"/>
  <c r="B11"/>
  <c r="A11"/>
  <c r="B31" i="30"/>
  <c r="N201" i="29"/>
  <c r="N192"/>
  <c r="N157"/>
  <c r="N142"/>
  <c r="H129"/>
  <c r="N111"/>
  <c r="N91"/>
  <c r="J98"/>
  <c r="N70"/>
  <c r="J78"/>
  <c r="N53"/>
  <c r="N31"/>
  <c r="A13"/>
  <c r="A14" s="1"/>
  <c r="A15" s="1"/>
  <c r="F275" i="27"/>
  <c r="G270" s="1"/>
  <c r="F271"/>
  <c r="B115" i="25"/>
  <c r="B73"/>
  <c r="B31"/>
  <c r="Q37" i="24"/>
  <c r="Q38" s="1"/>
  <c r="Q36"/>
  <c r="R36" s="1"/>
  <c r="R35"/>
  <c r="Q35"/>
  <c r="Q34"/>
  <c r="R34" s="1"/>
  <c r="Q33"/>
  <c r="R33" s="1"/>
  <c r="R32"/>
  <c r="Q32"/>
  <c r="R50" i="23"/>
  <c r="R49"/>
  <c r="R51" s="1"/>
  <c r="O43"/>
  <c r="O42"/>
  <c r="O41"/>
  <c r="O40"/>
  <c r="O39"/>
  <c r="O38"/>
  <c r="O36"/>
  <c r="B31"/>
  <c r="N49" i="22"/>
  <c r="B17"/>
  <c r="A17"/>
  <c r="B16"/>
  <c r="A16"/>
  <c r="B15"/>
  <c r="A15"/>
  <c r="B14"/>
  <c r="A14"/>
  <c r="B13"/>
  <c r="A13"/>
  <c r="B12"/>
  <c r="A12"/>
  <c r="B11"/>
  <c r="A11"/>
  <c r="B29" i="2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20" i="20"/>
  <c r="A20"/>
  <c r="B19"/>
  <c r="A19"/>
  <c r="B18"/>
  <c r="A18"/>
  <c r="A16"/>
  <c r="B15"/>
  <c r="A15"/>
  <c r="A13"/>
  <c r="B12"/>
  <c r="A12"/>
  <c r="B11"/>
  <c r="A11"/>
  <c r="X128" i="19"/>
  <c r="W128"/>
  <c r="U128"/>
  <c r="B31"/>
  <c r="N261" i="18"/>
  <c r="J272"/>
  <c r="N217"/>
  <c r="N196"/>
  <c r="N151"/>
  <c r="N131"/>
  <c r="N109"/>
  <c r="N87"/>
  <c r="N66"/>
  <c r="N49"/>
  <c r="F58" i="16"/>
  <c r="K129" i="29" l="1"/>
  <c r="J129"/>
  <c r="J118"/>
  <c r="N198"/>
  <c r="N203" s="1"/>
  <c r="H118"/>
  <c r="H98"/>
  <c r="J30"/>
  <c r="K78"/>
  <c r="G272" i="27"/>
  <c r="H78" i="29"/>
  <c r="G271" i="27"/>
  <c r="H271" s="1"/>
  <c r="K98" i="29"/>
  <c r="K118"/>
  <c r="AK23" i="16"/>
  <c r="AL21" i="15"/>
  <c r="J30" i="18"/>
  <c r="H272"/>
  <c r="R37" i="24"/>
  <c r="R38" s="1"/>
  <c r="R39" s="1"/>
  <c r="O44" i="23"/>
  <c r="O45" s="1"/>
  <c r="K30" i="29" l="1"/>
  <c r="H30"/>
  <c r="O46" i="23"/>
  <c r="S45"/>
  <c r="P45"/>
  <c r="AL22" i="15"/>
  <c r="AK24" i="16"/>
  <c r="K272" i="18"/>
  <c r="F57" i="16"/>
  <c r="H57" s="1"/>
  <c r="H30" i="18"/>
  <c r="K30" s="1"/>
  <c r="AL29" i="15" l="1"/>
  <c r="AL28"/>
  <c r="M30" i="32"/>
  <c r="N30" i="31"/>
  <c r="AQ16" i="27"/>
  <c r="S47" i="23"/>
  <c r="T47" s="1"/>
  <c r="S46"/>
  <c r="P46"/>
  <c r="P47"/>
  <c r="Q47" s="1"/>
  <c r="AQ19" i="27" l="1"/>
  <c r="F272"/>
  <c r="H272" s="1"/>
  <c r="AR18" i="26"/>
  <c r="AQ20" i="27"/>
  <c r="AR14" i="26"/>
  <c r="AR16"/>
  <c r="AQ18" i="27"/>
  <c r="AK19" i="16"/>
  <c r="AL17" i="15"/>
  <c r="AK16" i="16"/>
  <c r="AL27" i="15" l="1"/>
  <c r="F26" i="39"/>
  <c r="AR17" i="26"/>
  <c r="F42" i="28"/>
  <c r="AQ26" i="27"/>
  <c r="AR24" i="26"/>
  <c r="AL14" i="15"/>
  <c r="AL16"/>
  <c r="AK18" i="16"/>
  <c r="N30" i="30" l="1"/>
  <c r="AK17" i="16"/>
  <c r="F270" i="27" l="1"/>
  <c r="H270" s="1"/>
  <c r="AL15" i="15"/>
  <c r="F56" i="16"/>
  <c r="H56" s="1"/>
  <c r="AQ17" i="27" l="1"/>
  <c r="H273"/>
  <c r="AK20" i="16"/>
  <c r="H59"/>
  <c r="AR15" i="26" l="1"/>
  <c r="AL18" i="15"/>
  <c r="AR31" i="26" l="1"/>
  <c r="AL34" i="15"/>
  <c r="E53" i="26" l="1"/>
  <c r="G36" i="15"/>
  <c r="AB14" i="13" l="1"/>
  <c r="F26" i="38" l="1"/>
  <c r="AB16" i="13"/>
  <c r="AA15" l="1"/>
  <c r="AA11"/>
  <c r="AA12"/>
  <c r="A13" l="1"/>
  <c r="A14" s="1"/>
  <c r="A15" s="1"/>
  <c r="AC14"/>
  <c r="AE14"/>
  <c r="AC16"/>
  <c r="AC15"/>
  <c r="AC13"/>
  <c r="AC12"/>
  <c r="AE16"/>
  <c r="AE15"/>
  <c r="AE13"/>
  <c r="AE12"/>
  <c r="AE11"/>
  <c r="AC11"/>
  <c r="AF16" l="1"/>
  <c r="AF14"/>
  <c r="AF15"/>
  <c r="AF12"/>
  <c r="AF11"/>
  <c r="AF13"/>
  <c r="F28" i="1" l="1"/>
  <c r="F67"/>
  <c r="F64"/>
  <c r="F58"/>
  <c r="H57"/>
  <c r="F49"/>
  <c r="F40"/>
  <c r="F31"/>
  <c r="F30"/>
  <c r="F29"/>
  <c r="F27"/>
  <c r="F26"/>
  <c r="F25"/>
  <c r="F22"/>
  <c r="L22" l="1"/>
  <c r="F32"/>
  <c r="F76" l="1"/>
  <c r="F75"/>
  <c r="F68" l="1"/>
  <c r="H64"/>
  <c r="H58"/>
  <c r="H48"/>
  <c r="H49"/>
  <c r="H40"/>
  <c r="H31"/>
  <c r="H30"/>
  <c r="H29"/>
  <c r="H28"/>
  <c r="H27"/>
  <c r="H26"/>
  <c r="H22"/>
  <c r="L70"/>
  <c r="L67"/>
  <c r="L61"/>
  <c r="L52"/>
  <c r="L43"/>
  <c r="L34"/>
  <c r="L25"/>
  <c r="H76" l="1"/>
  <c r="H75"/>
  <c r="H67"/>
  <c r="H25"/>
  <c r="H32" s="1"/>
  <c r="H68" l="1"/>
  <c r="E12" i="11" l="1"/>
  <c r="D12"/>
  <c r="E11"/>
  <c r="D11"/>
  <c r="D10"/>
  <c r="D9"/>
  <c r="D8"/>
  <c r="D7"/>
  <c r="D6"/>
  <c r="E760" i="2" l="1"/>
  <c r="E719"/>
  <c r="E759"/>
  <c r="E305"/>
  <c r="E736"/>
  <c r="H736" s="1"/>
  <c r="E742"/>
  <c r="E746" s="1"/>
  <c r="E741"/>
  <c r="E739"/>
  <c r="H739" s="1"/>
  <c r="E737"/>
  <c r="E738"/>
  <c r="E747" s="1"/>
  <c r="E723"/>
  <c r="E718"/>
  <c r="J718" s="1"/>
  <c r="E92"/>
  <c r="H729"/>
  <c r="J729"/>
  <c r="E721"/>
  <c r="J721" s="1"/>
  <c r="E716"/>
  <c r="B691"/>
  <c r="B1048" s="1"/>
  <c r="E1297"/>
  <c r="H1297" s="1"/>
  <c r="H1295"/>
  <c r="E1295"/>
  <c r="J1295" s="1"/>
  <c r="J1294"/>
  <c r="H1294"/>
  <c r="J1293"/>
  <c r="H1293"/>
  <c r="J1292"/>
  <c r="H1292"/>
  <c r="E1291"/>
  <c r="H1291" s="1"/>
  <c r="E1290"/>
  <c r="H1290" s="1"/>
  <c r="E1288"/>
  <c r="E1289" s="1"/>
  <c r="E1286"/>
  <c r="E1287" s="1"/>
  <c r="E1269"/>
  <c r="E1268"/>
  <c r="J1266"/>
  <c r="H1266"/>
  <c r="J1265"/>
  <c r="H1265"/>
  <c r="J1264"/>
  <c r="H1264"/>
  <c r="J1255"/>
  <c r="H1255"/>
  <c r="J1254"/>
  <c r="H1254"/>
  <c r="J1253"/>
  <c r="H1253"/>
  <c r="J1252"/>
  <c r="H1252"/>
  <c r="J1250"/>
  <c r="H1250"/>
  <c r="J1249"/>
  <c r="H1249"/>
  <c r="J1248"/>
  <c r="H1248"/>
  <c r="J1247"/>
  <c r="H1247"/>
  <c r="J1245"/>
  <c r="H1245"/>
  <c r="J1244"/>
  <c r="H1244"/>
  <c r="J1243"/>
  <c r="H1243"/>
  <c r="J1242"/>
  <c r="H1242"/>
  <c r="J1238"/>
  <c r="H1238"/>
  <c r="J1237"/>
  <c r="H1237"/>
  <c r="J1236"/>
  <c r="H1236"/>
  <c r="J1235"/>
  <c r="H1235"/>
  <c r="J1233"/>
  <c r="H1233"/>
  <c r="E1232"/>
  <c r="H1232" s="1"/>
  <c r="J1231"/>
  <c r="H1231"/>
  <c r="J1230"/>
  <c r="H1230"/>
  <c r="E1228"/>
  <c r="H1228" s="1"/>
  <c r="J1227"/>
  <c r="H1227"/>
  <c r="J1226"/>
  <c r="H1226"/>
  <c r="J1225"/>
  <c r="H1225"/>
  <c r="J1172"/>
  <c r="H1172"/>
  <c r="J1170"/>
  <c r="H1170"/>
  <c r="J1168"/>
  <c r="H1168"/>
  <c r="E1166"/>
  <c r="H1166" s="1"/>
  <c r="E1163"/>
  <c r="H1163" s="1"/>
  <c r="E1161"/>
  <c r="H1161" s="1"/>
  <c r="E1160"/>
  <c r="H1160" s="1"/>
  <c r="J1159"/>
  <c r="H1159"/>
  <c r="E1141"/>
  <c r="H1141" s="1"/>
  <c r="J1140"/>
  <c r="H1140"/>
  <c r="J1139"/>
  <c r="H1139"/>
  <c r="J1138"/>
  <c r="H1138"/>
  <c r="J1137"/>
  <c r="H1137"/>
  <c r="J1122"/>
  <c r="H1122"/>
  <c r="J1121"/>
  <c r="H1121"/>
  <c r="J1120"/>
  <c r="H1120"/>
  <c r="E1119"/>
  <c r="J1118"/>
  <c r="H1118"/>
  <c r="E1117"/>
  <c r="H1117" s="1"/>
  <c r="J1116"/>
  <c r="H1116"/>
  <c r="J1115"/>
  <c r="H1115"/>
  <c r="J1105"/>
  <c r="H1105"/>
  <c r="J1104"/>
  <c r="H1104"/>
  <c r="J1103"/>
  <c r="H1103"/>
  <c r="J1101"/>
  <c r="H1101"/>
  <c r="E1100"/>
  <c r="H1100" s="1"/>
  <c r="E1099"/>
  <c r="H1099" s="1"/>
  <c r="E1097"/>
  <c r="H1097" s="1"/>
  <c r="E1096"/>
  <c r="H1096" s="1"/>
  <c r="E1095"/>
  <c r="H1095" s="1"/>
  <c r="J1094"/>
  <c r="H1094"/>
  <c r="J1093"/>
  <c r="H1093"/>
  <c r="J1086"/>
  <c r="H1086"/>
  <c r="J1085"/>
  <c r="H1085"/>
  <c r="J1083"/>
  <c r="H1083"/>
  <c r="I1082"/>
  <c r="G1082"/>
  <c r="E1082"/>
  <c r="I1080"/>
  <c r="J1080" s="1"/>
  <c r="G1080"/>
  <c r="H1080" s="1"/>
  <c r="J1078"/>
  <c r="H1078"/>
  <c r="E1077"/>
  <c r="H1077" s="1"/>
  <c r="J1076"/>
  <c r="H1076"/>
  <c r="J1075"/>
  <c r="H1075"/>
  <c r="J1074"/>
  <c r="H1074"/>
  <c r="J1073"/>
  <c r="H1073"/>
  <c r="J1072"/>
  <c r="H1072"/>
  <c r="J1071"/>
  <c r="H1071"/>
  <c r="J994"/>
  <c r="H994"/>
  <c r="J992"/>
  <c r="H992"/>
  <c r="E990"/>
  <c r="H990" s="1"/>
  <c r="E987"/>
  <c r="H987" s="1"/>
  <c r="E985"/>
  <c r="H985" s="1"/>
  <c r="E984"/>
  <c r="H984" s="1"/>
  <c r="J983"/>
  <c r="H983"/>
  <c r="E966"/>
  <c r="J965"/>
  <c r="H965"/>
  <c r="J964"/>
  <c r="H964"/>
  <c r="J963"/>
  <c r="H963"/>
  <c r="J962"/>
  <c r="H962"/>
  <c r="J961"/>
  <c r="H961"/>
  <c r="J944"/>
  <c r="H944"/>
  <c r="J942"/>
  <c r="H942"/>
  <c r="E941"/>
  <c r="H941" s="1"/>
  <c r="J940"/>
  <c r="H940"/>
  <c r="J939"/>
  <c r="H939"/>
  <c r="J925"/>
  <c r="H925"/>
  <c r="E924"/>
  <c r="E928" s="1"/>
  <c r="E923"/>
  <c r="H923" s="1"/>
  <c r="E921"/>
  <c r="H921" s="1"/>
  <c r="E920"/>
  <c r="E929" s="1"/>
  <c r="E919"/>
  <c r="E927" s="1"/>
  <c r="E918"/>
  <c r="E945" s="1"/>
  <c r="J917"/>
  <c r="H917"/>
  <c r="J910"/>
  <c r="H910"/>
  <c r="J909"/>
  <c r="H909"/>
  <c r="J906"/>
  <c r="H906"/>
  <c r="I905"/>
  <c r="G905"/>
  <c r="E905"/>
  <c r="I903"/>
  <c r="J903" s="1"/>
  <c r="G903"/>
  <c r="H903" s="1"/>
  <c r="J902"/>
  <c r="H902"/>
  <c r="E901"/>
  <c r="H901" s="1"/>
  <c r="J900"/>
  <c r="H900"/>
  <c r="J899"/>
  <c r="H899"/>
  <c r="J898"/>
  <c r="H898"/>
  <c r="K898" s="1"/>
  <c r="J897"/>
  <c r="H897"/>
  <c r="J896"/>
  <c r="H896"/>
  <c r="J895"/>
  <c r="H895"/>
  <c r="B873"/>
  <c r="B1049" s="1"/>
  <c r="J812"/>
  <c r="H812"/>
  <c r="E810"/>
  <c r="H810" s="1"/>
  <c r="E808"/>
  <c r="H808" s="1"/>
  <c r="J805"/>
  <c r="H805"/>
  <c r="E803"/>
  <c r="H803" s="1"/>
  <c r="E802"/>
  <c r="H802" s="1"/>
  <c r="J801"/>
  <c r="H801"/>
  <c r="J783"/>
  <c r="H783"/>
  <c r="J782"/>
  <c r="J781"/>
  <c r="H781"/>
  <c r="J780"/>
  <c r="H780"/>
  <c r="J779"/>
  <c r="H779"/>
  <c r="E764"/>
  <c r="H764" s="1"/>
  <c r="J763"/>
  <c r="H763"/>
  <c r="H760"/>
  <c r="J758"/>
  <c r="H758"/>
  <c r="J757"/>
  <c r="H757"/>
  <c r="J743"/>
  <c r="H743"/>
  <c r="H741"/>
  <c r="H737"/>
  <c r="J735"/>
  <c r="H735"/>
  <c r="J727"/>
  <c r="H727"/>
  <c r="J726"/>
  <c r="H726"/>
  <c r="I725"/>
  <c r="J725" s="1"/>
  <c r="G725"/>
  <c r="H725" s="1"/>
  <c r="I723"/>
  <c r="G723"/>
  <c r="J719"/>
  <c r="J717"/>
  <c r="H717"/>
  <c r="H716"/>
  <c r="J715"/>
  <c r="H715"/>
  <c r="J714"/>
  <c r="H714"/>
  <c r="J713"/>
  <c r="H713"/>
  <c r="E284"/>
  <c r="E460"/>
  <c r="E459"/>
  <c r="E283"/>
  <c r="E287"/>
  <c r="E105"/>
  <c r="E101"/>
  <c r="E102"/>
  <c r="E103"/>
  <c r="E463"/>
  <c r="E650"/>
  <c r="E652"/>
  <c r="E633"/>
  <c r="E632"/>
  <c r="K1075" l="1"/>
  <c r="H1082"/>
  <c r="K1076"/>
  <c r="K1245"/>
  <c r="H718"/>
  <c r="J1095"/>
  <c r="K729"/>
  <c r="J923"/>
  <c r="J1100"/>
  <c r="K1137"/>
  <c r="J1141"/>
  <c r="J1160"/>
  <c r="H721"/>
  <c r="J920"/>
  <c r="J803"/>
  <c r="K803" s="1"/>
  <c r="K726"/>
  <c r="K899"/>
  <c r="J736"/>
  <c r="K992"/>
  <c r="B872"/>
  <c r="J1163"/>
  <c r="K715"/>
  <c r="H719"/>
  <c r="K719" s="1"/>
  <c r="K743"/>
  <c r="K763"/>
  <c r="K1230"/>
  <c r="K1237"/>
  <c r="K1252"/>
  <c r="K1264"/>
  <c r="K1266"/>
  <c r="K1292"/>
  <c r="K779"/>
  <c r="K714"/>
  <c r="J738"/>
  <c r="H742"/>
  <c r="K757"/>
  <c r="H782"/>
  <c r="K925"/>
  <c r="K962"/>
  <c r="K1122"/>
  <c r="K1138"/>
  <c r="J1161"/>
  <c r="K1161" s="1"/>
  <c r="J1166"/>
  <c r="K1166" s="1"/>
  <c r="K1238"/>
  <c r="K939"/>
  <c r="H738"/>
  <c r="K738" s="1"/>
  <c r="E762"/>
  <c r="H762" s="1"/>
  <c r="J802"/>
  <c r="K802" s="1"/>
  <c r="K812"/>
  <c r="K1086"/>
  <c r="K1103"/>
  <c r="K1116"/>
  <c r="K1139"/>
  <c r="K1168"/>
  <c r="K1226"/>
  <c r="J723"/>
  <c r="K727"/>
  <c r="J739"/>
  <c r="K739" s="1"/>
  <c r="K801"/>
  <c r="K896"/>
  <c r="J905"/>
  <c r="K910"/>
  <c r="J918"/>
  <c r="K942"/>
  <c r="K1071"/>
  <c r="K1073"/>
  <c r="J1097"/>
  <c r="K1097" s="1"/>
  <c r="K1101"/>
  <c r="K1104"/>
  <c r="K1140"/>
  <c r="K1170"/>
  <c r="K1233"/>
  <c r="K1243"/>
  <c r="K1249"/>
  <c r="J1297"/>
  <c r="K1297" s="1"/>
  <c r="K758"/>
  <c r="K805"/>
  <c r="K895"/>
  <c r="K1072"/>
  <c r="K1078"/>
  <c r="K1083"/>
  <c r="K1141"/>
  <c r="K1172"/>
  <c r="K1242"/>
  <c r="K713"/>
  <c r="K783"/>
  <c r="K909"/>
  <c r="K940"/>
  <c r="K963"/>
  <c r="K994"/>
  <c r="K1118"/>
  <c r="K1250"/>
  <c r="K1253"/>
  <c r="K1255"/>
  <c r="K1265"/>
  <c r="K718"/>
  <c r="K725"/>
  <c r="K735"/>
  <c r="E745"/>
  <c r="J745" s="1"/>
  <c r="K781"/>
  <c r="K900"/>
  <c r="J901"/>
  <c r="K901" s="1"/>
  <c r="K906"/>
  <c r="K923"/>
  <c r="K944"/>
  <c r="K964"/>
  <c r="J984"/>
  <c r="K984" s="1"/>
  <c r="J987"/>
  <c r="K987" s="1"/>
  <c r="E996"/>
  <c r="H996" s="1"/>
  <c r="K1085"/>
  <c r="K1093"/>
  <c r="K1095"/>
  <c r="K1100"/>
  <c r="K1115"/>
  <c r="K1120"/>
  <c r="K1160"/>
  <c r="K1163"/>
  <c r="K1225"/>
  <c r="K1227"/>
  <c r="J1232"/>
  <c r="K1232" s="1"/>
  <c r="K1235"/>
  <c r="K1248"/>
  <c r="K1254"/>
  <c r="J1288"/>
  <c r="J1291"/>
  <c r="K1291" s="1"/>
  <c r="K1293"/>
  <c r="K1295"/>
  <c r="J741"/>
  <c r="K741" s="1"/>
  <c r="K782"/>
  <c r="K917"/>
  <c r="J919"/>
  <c r="J921"/>
  <c r="K921" s="1"/>
  <c r="J924"/>
  <c r="K965"/>
  <c r="K1094"/>
  <c r="J1096"/>
  <c r="K1096" s="1"/>
  <c r="J1099"/>
  <c r="K1099" s="1"/>
  <c r="K1159"/>
  <c r="K717"/>
  <c r="K721"/>
  <c r="H723"/>
  <c r="K736"/>
  <c r="J737"/>
  <c r="K737" s="1"/>
  <c r="J742"/>
  <c r="K780"/>
  <c r="K897"/>
  <c r="K902"/>
  <c r="H905"/>
  <c r="K961"/>
  <c r="K983"/>
  <c r="J985"/>
  <c r="K985" s="1"/>
  <c r="J990"/>
  <c r="K990" s="1"/>
  <c r="K1074"/>
  <c r="K1105"/>
  <c r="K1121"/>
  <c r="K1231"/>
  <c r="K1236"/>
  <c r="K1244"/>
  <c r="K1247"/>
  <c r="J1286"/>
  <c r="J1290"/>
  <c r="K1290" s="1"/>
  <c r="K1294"/>
  <c r="H929"/>
  <c r="J929"/>
  <c r="K1080"/>
  <c r="H747"/>
  <c r="J747"/>
  <c r="H1289"/>
  <c r="J1289"/>
  <c r="K903"/>
  <c r="J1287"/>
  <c r="H1287"/>
  <c r="H746"/>
  <c r="J746"/>
  <c r="J945"/>
  <c r="H945"/>
  <c r="H927"/>
  <c r="J927"/>
  <c r="H928"/>
  <c r="J928"/>
  <c r="E814"/>
  <c r="H918"/>
  <c r="H919"/>
  <c r="H920"/>
  <c r="K920" s="1"/>
  <c r="H924"/>
  <c r="E943"/>
  <c r="J1117"/>
  <c r="K1117" s="1"/>
  <c r="H1286"/>
  <c r="H1288"/>
  <c r="J1082"/>
  <c r="K1082" s="1"/>
  <c r="J716"/>
  <c r="K716" s="1"/>
  <c r="J760"/>
  <c r="K760" s="1"/>
  <c r="J764"/>
  <c r="K764" s="1"/>
  <c r="J808"/>
  <c r="K808" s="1"/>
  <c r="J810"/>
  <c r="K810" s="1"/>
  <c r="J941"/>
  <c r="K941" s="1"/>
  <c r="J1077"/>
  <c r="K1077" s="1"/>
  <c r="J1228"/>
  <c r="K1228" s="1"/>
  <c r="E659"/>
  <c r="E661"/>
  <c r="J661" s="1"/>
  <c r="E481"/>
  <c r="E655"/>
  <c r="E654"/>
  <c r="E596"/>
  <c r="J996" l="1"/>
  <c r="K996" s="1"/>
  <c r="H745"/>
  <c r="K745" s="1"/>
  <c r="K918"/>
  <c r="K723"/>
  <c r="K733" s="1"/>
  <c r="K742"/>
  <c r="J759"/>
  <c r="K1284"/>
  <c r="H759"/>
  <c r="K1288"/>
  <c r="J762"/>
  <c r="K762" s="1"/>
  <c r="K905"/>
  <c r="K915" s="1"/>
  <c r="K1289"/>
  <c r="K924"/>
  <c r="K919"/>
  <c r="K1262"/>
  <c r="K747"/>
  <c r="K1113"/>
  <c r="K945"/>
  <c r="K1091"/>
  <c r="K1135"/>
  <c r="K929"/>
  <c r="K1286"/>
  <c r="K927"/>
  <c r="K746"/>
  <c r="J814"/>
  <c r="H814"/>
  <c r="K928"/>
  <c r="J943"/>
  <c r="H943"/>
  <c r="K1287"/>
  <c r="H661"/>
  <c r="K661" s="1"/>
  <c r="E592"/>
  <c r="E483"/>
  <c r="E125"/>
  <c r="E124"/>
  <c r="E80"/>
  <c r="E166"/>
  <c r="E172"/>
  <c r="E167"/>
  <c r="E83"/>
  <c r="E84"/>
  <c r="E87"/>
  <c r="E174"/>
  <c r="K759" l="1"/>
  <c r="K777" s="1"/>
  <c r="K943"/>
  <c r="K959" s="1"/>
  <c r="K1305"/>
  <c r="K814"/>
  <c r="K755"/>
  <c r="K937"/>
  <c r="E178"/>
  <c r="E265" l="1"/>
  <c r="E128"/>
  <c r="E461"/>
  <c r="H461" s="1"/>
  <c r="E464"/>
  <c r="J464" s="1"/>
  <c r="J463"/>
  <c r="H460"/>
  <c r="H459"/>
  <c r="E505"/>
  <c r="J505" s="1"/>
  <c r="E446"/>
  <c r="E441"/>
  <c r="J441" s="1"/>
  <c r="E288"/>
  <c r="E285"/>
  <c r="E330"/>
  <c r="E351"/>
  <c r="E354"/>
  <c r="E348"/>
  <c r="E349"/>
  <c r="E269"/>
  <c r="E106"/>
  <c r="E148"/>
  <c r="E146"/>
  <c r="J92"/>
  <c r="H92"/>
  <c r="J449"/>
  <c r="H449"/>
  <c r="E527"/>
  <c r="J527" s="1"/>
  <c r="E524"/>
  <c r="E530"/>
  <c r="J530" s="1"/>
  <c r="E525"/>
  <c r="J525" s="1"/>
  <c r="H447"/>
  <c r="J440"/>
  <c r="B412"/>
  <c r="B237"/>
  <c r="B413" s="1"/>
  <c r="B236"/>
  <c r="J534"/>
  <c r="H534"/>
  <c r="J532"/>
  <c r="H532"/>
  <c r="J523"/>
  <c r="H523"/>
  <c r="J504"/>
  <c r="H504"/>
  <c r="J503"/>
  <c r="H503"/>
  <c r="J502"/>
  <c r="J501"/>
  <c r="H501"/>
  <c r="J485"/>
  <c r="H485"/>
  <c r="J482"/>
  <c r="H482"/>
  <c r="J480"/>
  <c r="H480"/>
  <c r="J479"/>
  <c r="H479"/>
  <c r="J469"/>
  <c r="J465"/>
  <c r="H465"/>
  <c r="J460"/>
  <c r="J458"/>
  <c r="J457"/>
  <c r="H457"/>
  <c r="I446"/>
  <c r="G446"/>
  <c r="I444"/>
  <c r="G444"/>
  <c r="J442"/>
  <c r="H442"/>
  <c r="J439"/>
  <c r="H439"/>
  <c r="J438"/>
  <c r="H438"/>
  <c r="J437"/>
  <c r="H437"/>
  <c r="J436"/>
  <c r="H436"/>
  <c r="J435"/>
  <c r="H435"/>
  <c r="E282"/>
  <c r="E309" s="1"/>
  <c r="E123" l="1"/>
  <c r="H446"/>
  <c r="J461"/>
  <c r="K461" s="1"/>
  <c r="J459"/>
  <c r="K459" s="1"/>
  <c r="H505"/>
  <c r="K505" s="1"/>
  <c r="J446"/>
  <c r="E360"/>
  <c r="J360" s="1"/>
  <c r="S87"/>
  <c r="H440"/>
  <c r="K440" s="1"/>
  <c r="K92"/>
  <c r="K485"/>
  <c r="K449"/>
  <c r="J447"/>
  <c r="K447" s="1"/>
  <c r="K482"/>
  <c r="K436"/>
  <c r="K439"/>
  <c r="H458"/>
  <c r="K458" s="1"/>
  <c r="K442"/>
  <c r="J486"/>
  <c r="K435"/>
  <c r="K460"/>
  <c r="H481"/>
  <c r="K501"/>
  <c r="K523"/>
  <c r="H469"/>
  <c r="K469" s="1"/>
  <c r="J444"/>
  <c r="K437"/>
  <c r="K457"/>
  <c r="K480"/>
  <c r="J481"/>
  <c r="K503"/>
  <c r="K534"/>
  <c r="K438"/>
  <c r="K465"/>
  <c r="K479"/>
  <c r="K504"/>
  <c r="H536"/>
  <c r="K532"/>
  <c r="H484"/>
  <c r="J484"/>
  <c r="H441"/>
  <c r="K441" s="1"/>
  <c r="H444"/>
  <c r="H463"/>
  <c r="K463" s="1"/>
  <c r="H464"/>
  <c r="K464" s="1"/>
  <c r="H486"/>
  <c r="H502"/>
  <c r="K502" s="1"/>
  <c r="H524"/>
  <c r="H525"/>
  <c r="K525" s="1"/>
  <c r="H527"/>
  <c r="K527" s="1"/>
  <c r="H530"/>
  <c r="K530" s="1"/>
  <c r="J524"/>
  <c r="J358"/>
  <c r="H358"/>
  <c r="J356"/>
  <c r="H356"/>
  <c r="J354"/>
  <c r="H354"/>
  <c r="J351"/>
  <c r="H351"/>
  <c r="J349"/>
  <c r="H349"/>
  <c r="J348"/>
  <c r="H348"/>
  <c r="J347"/>
  <c r="H347"/>
  <c r="J329"/>
  <c r="H329"/>
  <c r="J328"/>
  <c r="H328"/>
  <c r="J327"/>
  <c r="H327"/>
  <c r="J326"/>
  <c r="H326"/>
  <c r="J325"/>
  <c r="H325"/>
  <c r="H309"/>
  <c r="J308"/>
  <c r="H308"/>
  <c r="E307"/>
  <c r="J307" s="1"/>
  <c r="J306"/>
  <c r="H306"/>
  <c r="J305"/>
  <c r="H305"/>
  <c r="J304"/>
  <c r="H304"/>
  <c r="J303"/>
  <c r="H303"/>
  <c r="E293"/>
  <c r="J293" s="1"/>
  <c r="E292"/>
  <c r="J292" s="1"/>
  <c r="E291"/>
  <c r="J291" s="1"/>
  <c r="J289"/>
  <c r="H289"/>
  <c r="J288"/>
  <c r="H288"/>
  <c r="J287"/>
  <c r="H287"/>
  <c r="J285"/>
  <c r="H285"/>
  <c r="J284"/>
  <c r="H284"/>
  <c r="J283"/>
  <c r="H283"/>
  <c r="J282"/>
  <c r="H282"/>
  <c r="J281"/>
  <c r="H281"/>
  <c r="J274"/>
  <c r="H274"/>
  <c r="J273"/>
  <c r="H273"/>
  <c r="J270"/>
  <c r="H270"/>
  <c r="I269"/>
  <c r="J269" s="1"/>
  <c r="G269"/>
  <c r="H269" s="1"/>
  <c r="I267"/>
  <c r="J267" s="1"/>
  <c r="G267"/>
  <c r="H267" s="1"/>
  <c r="J266"/>
  <c r="H266"/>
  <c r="J265"/>
  <c r="H265"/>
  <c r="J264"/>
  <c r="H264"/>
  <c r="J263"/>
  <c r="H263"/>
  <c r="J262"/>
  <c r="H262"/>
  <c r="J261"/>
  <c r="H261"/>
  <c r="J260"/>
  <c r="H260"/>
  <c r="J259"/>
  <c r="H259"/>
  <c r="K446" l="1"/>
  <c r="K486"/>
  <c r="K481"/>
  <c r="J536"/>
  <c r="K536" s="1"/>
  <c r="K524"/>
  <c r="K444"/>
  <c r="J467"/>
  <c r="H467"/>
  <c r="H468"/>
  <c r="J468"/>
  <c r="K484"/>
  <c r="K263"/>
  <c r="K260"/>
  <c r="K281"/>
  <c r="K285"/>
  <c r="K304"/>
  <c r="K326"/>
  <c r="K347"/>
  <c r="H292"/>
  <c r="K292" s="1"/>
  <c r="K348"/>
  <c r="H293"/>
  <c r="K293" s="1"/>
  <c r="K287"/>
  <c r="K305"/>
  <c r="K356"/>
  <c r="K264"/>
  <c r="K266"/>
  <c r="K270"/>
  <c r="K282"/>
  <c r="K306"/>
  <c r="K325"/>
  <c r="K327"/>
  <c r="K288"/>
  <c r="J309"/>
  <c r="K309" s="1"/>
  <c r="K349"/>
  <c r="K283"/>
  <c r="K265"/>
  <c r="K289"/>
  <c r="K259"/>
  <c r="K261"/>
  <c r="K269"/>
  <c r="K274"/>
  <c r="K284"/>
  <c r="H291"/>
  <c r="K291" s="1"/>
  <c r="K303"/>
  <c r="K329"/>
  <c r="K354"/>
  <c r="K358"/>
  <c r="K262"/>
  <c r="K308"/>
  <c r="K328"/>
  <c r="K273"/>
  <c r="K351"/>
  <c r="K267"/>
  <c r="H307"/>
  <c r="K307" s="1"/>
  <c r="H360"/>
  <c r="K360" s="1"/>
  <c r="J630"/>
  <c r="H630"/>
  <c r="J629"/>
  <c r="H629"/>
  <c r="J628"/>
  <c r="H628"/>
  <c r="K455" l="1"/>
  <c r="K499"/>
  <c r="K468"/>
  <c r="K467"/>
  <c r="K630"/>
  <c r="K628"/>
  <c r="K301"/>
  <c r="K279"/>
  <c r="K323"/>
  <c r="K629"/>
  <c r="J659"/>
  <c r="H659"/>
  <c r="J658"/>
  <c r="H658"/>
  <c r="J657"/>
  <c r="H657"/>
  <c r="J656"/>
  <c r="H656"/>
  <c r="J655"/>
  <c r="H655"/>
  <c r="J654"/>
  <c r="H654"/>
  <c r="E653"/>
  <c r="J653" s="1"/>
  <c r="J652"/>
  <c r="H652"/>
  <c r="E651"/>
  <c r="J651" s="1"/>
  <c r="J650"/>
  <c r="H650"/>
  <c r="K477" l="1"/>
  <c r="K654"/>
  <c r="K648"/>
  <c r="K657"/>
  <c r="K650"/>
  <c r="K658"/>
  <c r="K652"/>
  <c r="K656"/>
  <c r="K659"/>
  <c r="K655"/>
  <c r="H653"/>
  <c r="K653" s="1"/>
  <c r="H651"/>
  <c r="K651" s="1"/>
  <c r="J91"/>
  <c r="H91"/>
  <c r="J619"/>
  <c r="H619"/>
  <c r="J618"/>
  <c r="H618"/>
  <c r="J617"/>
  <c r="H617"/>
  <c r="J616"/>
  <c r="H616"/>
  <c r="J614"/>
  <c r="H614"/>
  <c r="J613"/>
  <c r="H613"/>
  <c r="J612"/>
  <c r="H612"/>
  <c r="J611"/>
  <c r="H611"/>
  <c r="J609"/>
  <c r="H609"/>
  <c r="J608"/>
  <c r="H608"/>
  <c r="J607"/>
  <c r="H607"/>
  <c r="J606"/>
  <c r="H606"/>
  <c r="J602"/>
  <c r="H602"/>
  <c r="J601"/>
  <c r="H601"/>
  <c r="J600"/>
  <c r="H600"/>
  <c r="J599"/>
  <c r="H599"/>
  <c r="J597"/>
  <c r="H597"/>
  <c r="J596"/>
  <c r="H596"/>
  <c r="J595"/>
  <c r="H595"/>
  <c r="J594"/>
  <c r="H594"/>
  <c r="J592"/>
  <c r="H592"/>
  <c r="J591"/>
  <c r="H591"/>
  <c r="J590"/>
  <c r="H590"/>
  <c r="J589"/>
  <c r="H589"/>
  <c r="H178"/>
  <c r="J176"/>
  <c r="H176"/>
  <c r="J174"/>
  <c r="H174"/>
  <c r="J169"/>
  <c r="H169"/>
  <c r="J172"/>
  <c r="H172"/>
  <c r="J167"/>
  <c r="H167"/>
  <c r="J166"/>
  <c r="H166"/>
  <c r="J165"/>
  <c r="H165"/>
  <c r="G89"/>
  <c r="K602" l="1"/>
  <c r="K167"/>
  <c r="K669"/>
  <c r="K606"/>
  <c r="K611"/>
  <c r="K91"/>
  <c r="K614"/>
  <c r="K609"/>
  <c r="K172"/>
  <c r="J178"/>
  <c r="K178" s="1"/>
  <c r="K592"/>
  <c r="K595"/>
  <c r="K597"/>
  <c r="K600"/>
  <c r="K617"/>
  <c r="K619"/>
  <c r="K596"/>
  <c r="K601"/>
  <c r="K166"/>
  <c r="K618"/>
  <c r="K608"/>
  <c r="K169"/>
  <c r="K176"/>
  <c r="K594"/>
  <c r="K607"/>
  <c r="K613"/>
  <c r="K616"/>
  <c r="K599"/>
  <c r="K612"/>
  <c r="K590"/>
  <c r="K589"/>
  <c r="K591"/>
  <c r="K174"/>
  <c r="K165"/>
  <c r="K626" l="1"/>
  <c r="G87" l="1"/>
  <c r="J147"/>
  <c r="H147"/>
  <c r="J146"/>
  <c r="H146"/>
  <c r="J145"/>
  <c r="H145"/>
  <c r="J144"/>
  <c r="H144"/>
  <c r="J143"/>
  <c r="H143"/>
  <c r="E126"/>
  <c r="J90"/>
  <c r="K147" l="1"/>
  <c r="K143"/>
  <c r="K145"/>
  <c r="K146"/>
  <c r="K144"/>
  <c r="H90"/>
  <c r="K90" s="1"/>
  <c r="J128" l="1"/>
  <c r="H128"/>
  <c r="J127"/>
  <c r="H127"/>
  <c r="J126"/>
  <c r="H126"/>
  <c r="J124"/>
  <c r="H124"/>
  <c r="J123"/>
  <c r="H123"/>
  <c r="J122"/>
  <c r="H122"/>
  <c r="K126" l="1"/>
  <c r="K122"/>
  <c r="K127"/>
  <c r="K123"/>
  <c r="K124"/>
  <c r="K128"/>
  <c r="J121"/>
  <c r="H121"/>
  <c r="E111"/>
  <c r="J111" s="1"/>
  <c r="E110"/>
  <c r="J110" s="1"/>
  <c r="E109"/>
  <c r="J109" s="1"/>
  <c r="H109" l="1"/>
  <c r="K109" s="1"/>
  <c r="H110"/>
  <c r="K110" s="1"/>
  <c r="K121"/>
  <c r="K141" s="1"/>
  <c r="H111"/>
  <c r="K111" s="1"/>
  <c r="J107" l="1"/>
  <c r="H107"/>
  <c r="J106"/>
  <c r="H106"/>
  <c r="J105"/>
  <c r="H105"/>
  <c r="J103"/>
  <c r="H103"/>
  <c r="J102"/>
  <c r="H102"/>
  <c r="H101"/>
  <c r="J101"/>
  <c r="J100"/>
  <c r="H100"/>
  <c r="J99"/>
  <c r="H99"/>
  <c r="I89"/>
  <c r="J89" s="1"/>
  <c r="H89"/>
  <c r="I87"/>
  <c r="J87" s="1"/>
  <c r="H87"/>
  <c r="J85"/>
  <c r="H85"/>
  <c r="J83"/>
  <c r="H83"/>
  <c r="J82"/>
  <c r="H82"/>
  <c r="J81"/>
  <c r="H81"/>
  <c r="J80"/>
  <c r="H80"/>
  <c r="J79"/>
  <c r="H79"/>
  <c r="J78"/>
  <c r="H78"/>
  <c r="J77"/>
  <c r="H77"/>
  <c r="K105" l="1"/>
  <c r="K82"/>
  <c r="K99"/>
  <c r="K103"/>
  <c r="K83"/>
  <c r="K80"/>
  <c r="K85"/>
  <c r="K100"/>
  <c r="K107"/>
  <c r="K106"/>
  <c r="K102"/>
  <c r="K101"/>
  <c r="K89"/>
  <c r="K87"/>
  <c r="K81"/>
  <c r="K79"/>
  <c r="K77"/>
  <c r="K78"/>
  <c r="A11" i="9"/>
  <c r="A11" i="8"/>
  <c r="A11" i="6"/>
  <c r="A12" s="1"/>
  <c r="A14" s="1"/>
  <c r="A16" s="1"/>
  <c r="A18" s="1"/>
  <c r="A19" s="1"/>
  <c r="A11" i="2"/>
  <c r="A13" s="1"/>
  <c r="A15" s="1"/>
  <c r="A16" s="1"/>
  <c r="A17" s="1"/>
  <c r="A11" i="7"/>
  <c r="A16" s="1"/>
  <c r="A17" s="1"/>
  <c r="K119" i="2" l="1"/>
  <c r="K97"/>
  <c r="E5" i="11" l="1"/>
  <c r="D5" l="1"/>
  <c r="D20" l="1"/>
  <c r="D17"/>
  <c r="E20" s="1"/>
  <c r="F63" i="1" l="1"/>
  <c r="H63" l="1"/>
  <c r="F47"/>
  <c r="H47" l="1"/>
  <c r="F20" l="1"/>
  <c r="E9" i="11"/>
  <c r="H20" i="1" l="1"/>
  <c r="F19" l="1"/>
  <c r="E8" i="11"/>
  <c r="H19" i="1" l="1"/>
  <c r="F45" l="1"/>
  <c r="F54"/>
  <c r="H54" s="1"/>
  <c r="F36"/>
  <c r="H45" l="1"/>
  <c r="H36"/>
  <c r="E7" i="11" l="1"/>
  <c r="F18" i="1"/>
  <c r="H18" l="1"/>
  <c r="L18"/>
  <c r="F44" l="1"/>
  <c r="F35"/>
  <c r="H44" l="1"/>
  <c r="H35"/>
  <c r="F74" l="1"/>
  <c r="H74" l="1"/>
  <c r="H77" s="1"/>
  <c r="F77"/>
  <c r="F61" l="1"/>
  <c r="H61" l="1"/>
  <c r="F43"/>
  <c r="H43" l="1"/>
  <c r="F34" l="1"/>
  <c r="H34" l="1"/>
  <c r="F39" l="1"/>
  <c r="H39" l="1"/>
  <c r="E10" i="11" l="1"/>
  <c r="F21" i="1"/>
  <c r="H21" l="1"/>
  <c r="L21"/>
  <c r="F56" l="1"/>
  <c r="H56" l="1"/>
  <c r="F38" l="1"/>
  <c r="H38" l="1"/>
  <c r="L20"/>
  <c r="F55" l="1"/>
  <c r="F46"/>
  <c r="F37"/>
  <c r="H37" l="1"/>
  <c r="H41" s="1"/>
  <c r="F41"/>
  <c r="H46"/>
  <c r="H50" s="1"/>
  <c r="F50"/>
  <c r="H55"/>
  <c r="L19"/>
  <c r="F62" l="1"/>
  <c r="F53"/>
  <c r="H62" l="1"/>
  <c r="H65" s="1"/>
  <c r="F65"/>
  <c r="H53"/>
  <c r="E6" i="11" l="1"/>
  <c r="E17" s="1"/>
  <c r="F17" i="1"/>
  <c r="H17" l="1"/>
  <c r="L17"/>
  <c r="F70" l="1"/>
  <c r="H70" l="1"/>
  <c r="H71" s="1"/>
  <c r="F71"/>
  <c r="F52" l="1"/>
  <c r="H52" l="1"/>
  <c r="H59" s="1"/>
  <c r="F59"/>
  <c r="G88" l="1"/>
  <c r="F16"/>
  <c r="H16" l="1"/>
  <c r="H23" s="1"/>
  <c r="H72" s="1"/>
  <c r="H83" s="1"/>
  <c r="G87" s="1"/>
  <c r="H91" s="1"/>
  <c r="F23"/>
  <c r="F72" s="1"/>
  <c r="F83" s="1"/>
  <c r="L16"/>
  <c r="L74" l="1"/>
</calcChain>
</file>

<file path=xl/sharedStrings.xml><?xml version="1.0" encoding="utf-8"?>
<sst xmlns="http://schemas.openxmlformats.org/spreadsheetml/2006/main" count="9282" uniqueCount="2517">
  <si>
    <t>แบบ  ปร.5    (ก)</t>
  </si>
  <si>
    <t>แบบสรุปค่าก่อสร้าง</t>
  </si>
  <si>
    <t xml:space="preserve">กลุ่มงานที่  1.  </t>
  </si>
  <si>
    <t xml:space="preserve">กลุ่มงานที่  2.  </t>
  </si>
  <si>
    <t xml:space="preserve">ชื่อโครงการ/งานก่อสร้าง                  </t>
  </si>
  <si>
    <t>สถานที่ก่อสร้าง</t>
  </si>
  <si>
    <t>แบบเลขที่</t>
  </si>
  <si>
    <t xml:space="preserve">หน่วยงานเจ้าของโครงการ/งานก่อสร้าง      </t>
  </si>
  <si>
    <t>หน่วย  :  บาท</t>
  </si>
  <si>
    <t>ลำดับที่</t>
  </si>
  <si>
    <t>รายการ</t>
  </si>
  <si>
    <t>ค่างานต้นทุน</t>
  </si>
  <si>
    <t>ค่าก่อสร้าง</t>
  </si>
  <si>
    <t>หมายเหตุ</t>
  </si>
  <si>
    <t>ส่วนที่  1.</t>
  </si>
  <si>
    <t>ค่างานต้นทุนประกอบด้วย</t>
  </si>
  <si>
    <t>1)</t>
  </si>
  <si>
    <t xml:space="preserve">กลุ่มงานที่ 1. </t>
  </si>
  <si>
    <t>2)</t>
  </si>
  <si>
    <t xml:space="preserve">กลุ่มงานที่  2. </t>
  </si>
  <si>
    <t>เงื่อนไขการใช้ตาราง Factor  -  F</t>
  </si>
  <si>
    <t>%</t>
  </si>
  <si>
    <t>ดอกเบี้ยเงินกู้</t>
  </si>
  <si>
    <t xml:space="preserve">ภาษีมูลค่าเพิ่ม           </t>
  </si>
  <si>
    <t>รวมค่าก่อสร้าง</t>
  </si>
  <si>
    <t xml:space="preserve">เงินล่วงหน้าจ่าย                  </t>
  </si>
  <si>
    <t xml:space="preserve">เงินประกันผลงานหัก          </t>
  </si>
  <si>
    <t>Factor -  F</t>
  </si>
  <si>
    <t xml:space="preserve"> </t>
  </si>
  <si>
    <t>งานสถาปัตยกรรม</t>
  </si>
  <si>
    <t>แบบ ปร. 4</t>
  </si>
  <si>
    <t xml:space="preserve"> แบบเลขที่</t>
  </si>
  <si>
    <t>เมื่อวันที่</t>
  </si>
  <si>
    <t>เดือน</t>
  </si>
  <si>
    <t>จำนวน</t>
  </si>
  <si>
    <t>หน่วย</t>
  </si>
  <si>
    <t>ค่าวัสดุ</t>
  </si>
  <si>
    <t>ค่าแรงงาน</t>
  </si>
  <si>
    <t>รวมค่าวัสดุ</t>
  </si>
  <si>
    <t xml:space="preserve"> ราคาหน่วยละ</t>
  </si>
  <si>
    <t>จำนวนเงิน</t>
  </si>
  <si>
    <t>และค่าแรงงาน</t>
  </si>
  <si>
    <t xml:space="preserve">คำนวณราคากลางโดย  :  </t>
  </si>
  <si>
    <t xml:space="preserve">กลุ่มงาน/งาน  : </t>
  </si>
  <si>
    <t>สถานที่ก่อสร้าง  :</t>
  </si>
  <si>
    <t xml:space="preserve">หน่วย : บาท </t>
  </si>
  <si>
    <t>แบบสรุปค่าครุภัณฑ์จัดซื้อ</t>
  </si>
  <si>
    <t>ส่วนงานที่  2.  งานครุภัณฑ์จัดซื้อหรือสั่งซื้อ</t>
  </si>
  <si>
    <t xml:space="preserve">หน่วยงานเจ้าของโครงการ/งานก่อสร้าง       </t>
  </si>
  <si>
    <t>แบบ ปร.4  ที่แนบ    มีจำนวน</t>
  </si>
  <si>
    <t>หน้า</t>
  </si>
  <si>
    <t>ค่างาน</t>
  </si>
  <si>
    <t>ภาษี</t>
  </si>
  <si>
    <t>มูลค่าเพิ่ม</t>
  </si>
  <si>
    <t>ส่วนที่  2</t>
  </si>
  <si>
    <t>งานครุภัณฑ์จัดซื้อหรือสั่งซื้อ</t>
  </si>
  <si>
    <t>สรุปผลการประมาณราคาค่าก่อสร้าง</t>
  </si>
  <si>
    <t xml:space="preserve">ชื่อโครงการ/งานก่อสร้าง    </t>
  </si>
  <si>
    <t>ค่าใช้จ่ายพิเศษตามข้อกำหนด</t>
  </si>
  <si>
    <t>รวมค่าก่อสร้างทั้งโครงการ/งานก่อสร้าง</t>
  </si>
  <si>
    <t>สรุป</t>
  </si>
  <si>
    <t xml:space="preserve">แบบ  ปร.6    </t>
  </si>
  <si>
    <t>แบบแสดงรายการ ปริมาณงาน และราคา</t>
  </si>
  <si>
    <t>แบบ  ปร.4  ( พ )</t>
  </si>
  <si>
    <t>(ค่าใช้จ่ายพิเศษตามข้อกำหนดและค่าใช้จ่ายอื่นที่จำเป็นต้องมี)</t>
  </si>
  <si>
    <t>พ.ศ.</t>
  </si>
  <si>
    <t>ค่าใช้จ่ายรวม</t>
  </si>
  <si>
    <t>(ค่าก่อสร้าง)</t>
  </si>
  <si>
    <t>รวมค่าใช้จ่ายพิเศษตามข้อกำหนดฯ ทุกรายการ</t>
  </si>
  <si>
    <t>รวมราคา</t>
  </si>
  <si>
    <t>งานวิศวกรรมโครงสร้าง, งานสถาปัตยกรรม,  งานระบบสุขาภิบาล ดับเพลิง และป้องกันอัคคีภัย,  งานระบบไฟฟ้าและสื่อสาร,  งานระบบปรับอากาศและระบายอากาศ, งานระบบลิฟต์ และบันไดเลื่อน</t>
  </si>
  <si>
    <t>งานครุภัณฑ์จัดจ้างหรือสั่งทำ,  งานตกแต่งภายในอาคาร</t>
  </si>
  <si>
    <t xml:space="preserve">-  </t>
  </si>
  <si>
    <t>อาคารสำนักงาน พร้อมพื้นที่ปฏิบัติงานซ่อมบำรุง (WORKSHOP) คลังพัสดุ บริเวณกลุ่มอาคาร AMF และศูนย์ขนส่งสาธารณะ</t>
  </si>
  <si>
    <t>ท่าอากาศยานสุวรรณภูมิ     ตำบลหนองปรือ    อำเภอบางพลี    จังหวัดสมุทรปราการ</t>
  </si>
  <si>
    <t xml:space="preserve">แบบเลขที่  </t>
  </si>
  <si>
    <t>บริษัท   ท่าอากาศยานไทย  จำกัด (มหาชน)</t>
  </si>
  <si>
    <t>บริษัท  ดีไซน์ + ดีเวลลอป  จำกัด</t>
  </si>
  <si>
    <t>ชื่อโครงการ / งานก่อสร้าง  :                    อาคารสำนักงาน พร้อมพื้นที่ปฏิบัติงานซ่อมบำรุง (WORKSHOP) คลังพัสดุ บริเวณกลุ่มอาคาร AMF และศูนย์ขนส่งสาธารณะ</t>
  </si>
  <si>
    <t xml:space="preserve">                      ท่าอากาศยานสุวรรณภูมิ     ตำบลหนองปรือ    อำเภอบางพลี    จังหวัดสมุทรปราการ</t>
  </si>
  <si>
    <t>หน่วยงานเจ้าของโครงการ / งานก่อสร้าง  :  บริษัท   ท่าอากาศยานไทย  จำกัด (มหาชน)</t>
  </si>
  <si>
    <t xml:space="preserve">                      บริษัท  ดีไซน์ + ดีเวลลอป  จำกัด</t>
  </si>
  <si>
    <t>คำนวณราคากลางโดย</t>
  </si>
  <si>
    <t>กลุ่มงานที่ 1 / งานวิศวกรรมโครงสร้าง</t>
  </si>
  <si>
    <t xml:space="preserve"> งานวิศวกรรมโครงสร้าง</t>
  </si>
  <si>
    <t xml:space="preserve"> งานดิน,  ฐานราก และเสาเข็ม</t>
  </si>
  <si>
    <t>กลุ่มงานที่ 1 / งานสถาปัตยกรรม</t>
  </si>
  <si>
    <t>กลุ่มงานที่ 1 / งานระบบสุขาภิบาล, ป้องกันอัคคีภัย และดับเพลิง</t>
  </si>
  <si>
    <t>งานระบบสุขาภิบาล, ป้องกันอัคคีภัย และดับเพลิง</t>
  </si>
  <si>
    <t>งานระบบไฟฟ้า และสื่อสาร</t>
  </si>
  <si>
    <t>กลุ่มงานที่ 1 / งานระบบไฟฟ้า และสื่อสาร</t>
  </si>
  <si>
    <t>งานระบบปรับอากาศ และระบายอากาศ</t>
  </si>
  <si>
    <t>กลุ่มงานที่ 1 / งานระบบปรับอากาศ และระบายอากาศ</t>
  </si>
  <si>
    <t xml:space="preserve"> งานวัสดุพื้น และผิวพื้น</t>
  </si>
  <si>
    <t>1.1.1</t>
  </si>
  <si>
    <t xml:space="preserve"> - งานดินขุด</t>
  </si>
  <si>
    <t xml:space="preserve"> - งานดินถมกลับ</t>
  </si>
  <si>
    <t>1.1.2</t>
  </si>
  <si>
    <t>1.1.3</t>
  </si>
  <si>
    <r>
      <t xml:space="preserve"> - งานเสาเข็มเจาะระบบแห้ง ขนาด </t>
    </r>
    <r>
      <rPr>
        <sz val="16"/>
        <rFont val="Calibri"/>
        <family val="2"/>
      </rPr>
      <t>Ø</t>
    </r>
    <r>
      <rPr>
        <sz val="12.8"/>
        <rFont val="Cordia New"/>
        <family val="2"/>
      </rPr>
      <t xml:space="preserve"> 0.__ ม. ลึก __.00 ม.</t>
    </r>
  </si>
  <si>
    <t>1.1.4</t>
  </si>
  <si>
    <t xml:space="preserve"> - งานทรายถมปรับระดับ</t>
  </si>
  <si>
    <t xml:space="preserve"> - งานคอนกรีตหยาบ</t>
  </si>
  <si>
    <t xml:space="preserve"> - งานคอนกรีตโครงสร้าง fc' = ________ ksc.</t>
  </si>
  <si>
    <t xml:space="preserve"> - งานเหล็กเสริม</t>
  </si>
  <si>
    <t xml:space="preserve"> - RB-06 mm. (SR-24)</t>
  </si>
  <si>
    <t>1.1.5</t>
  </si>
  <si>
    <t xml:space="preserve"> - งานไม้แบบ</t>
  </si>
  <si>
    <t>2.1.2</t>
  </si>
  <si>
    <t xml:space="preserve"> งานวัสดุก่อผนัง</t>
  </si>
  <si>
    <t xml:space="preserve"> งานวัสดุผิวผนัง</t>
  </si>
  <si>
    <t xml:space="preserve"> งานบัวเชิงผนัง</t>
  </si>
  <si>
    <t xml:space="preserve"> งานฝ้าเพดาน</t>
  </si>
  <si>
    <t xml:space="preserve"> งานประตู - หน้าต่าง</t>
  </si>
  <si>
    <t xml:space="preserve"> งานสุขภัณฑ์ และอุปกรณ์</t>
  </si>
  <si>
    <t xml:space="preserve"> งานวัสดุผิวบันได และทางลาด</t>
  </si>
  <si>
    <t xml:space="preserve"> งานหลังคา, เบ็ตเตล็ด และอื่นๆ</t>
  </si>
  <si>
    <t>ID</t>
  </si>
  <si>
    <t>F1</t>
  </si>
  <si>
    <t>F2</t>
  </si>
  <si>
    <t>F3</t>
  </si>
  <si>
    <t>F4</t>
  </si>
  <si>
    <t>F5</t>
  </si>
  <si>
    <t>F6</t>
  </si>
  <si>
    <t>F7</t>
  </si>
  <si>
    <t>ดูแบบงานตกแต่งภายใน</t>
  </si>
  <si>
    <t>ค.ส.ล.ทำผิวขัดเรียบ</t>
  </si>
  <si>
    <t>ปูกระเบื้องแกรนิตโต้ ขนาด 0.60 x 0.60 ม. ชนิดขอบตัด (เลือกสีภายหลัง)</t>
  </si>
  <si>
    <t>C</t>
  </si>
  <si>
    <t>B1</t>
  </si>
  <si>
    <t>B2</t>
  </si>
  <si>
    <t>L1</t>
  </si>
  <si>
    <t>L2</t>
  </si>
  <si>
    <t>PC</t>
  </si>
  <si>
    <t>-</t>
  </si>
  <si>
    <t>ผนังคอนกรีตเสริมเหล็ก</t>
  </si>
  <si>
    <t>งานเสาเอ็น - ทับหลัง</t>
  </si>
  <si>
    <t xml:space="preserve"> - เสาเอ็น - ทับหลัง ขนาด ( 0.10 x 0.075 ) ม.</t>
  </si>
  <si>
    <t xml:space="preserve"> - เสาเอ็น - ทับหลัง ขนาด ( 0.10 x 0.20 ) ม.</t>
  </si>
  <si>
    <t>FN1</t>
  </si>
  <si>
    <t>ทาสีน้ำพลาสติกอะครีลิค - ชนิดทาภายนอก</t>
  </si>
  <si>
    <t>FN2</t>
  </si>
  <si>
    <t>ทาสีน้ำพลาสติกอะครีลิค - ชนิดทาภายใน</t>
  </si>
  <si>
    <t>FN3</t>
  </si>
  <si>
    <t>ฉาบปูนโครงสร้าง ค.ส.ล.</t>
  </si>
  <si>
    <t>งานตกแต่งภายใน</t>
  </si>
  <si>
    <t>S1</t>
  </si>
  <si>
    <t>ทาสีน้ำมัน สูง 0.10 ม.</t>
  </si>
  <si>
    <t>S2</t>
  </si>
  <si>
    <t>ทาสีน้ำมัน สูง 1.00 ม.</t>
  </si>
  <si>
    <t>S3</t>
  </si>
  <si>
    <t>กระเบื้องแกรนิตโต้ชนิดเดียวกับพื้น สูง 0.10 ม. (ระดับผิวเสมอผนัง)</t>
  </si>
  <si>
    <t>S4</t>
  </si>
  <si>
    <t>C1</t>
  </si>
  <si>
    <t>ท้องพื้น ค.ส.ล. แต่งผิวเรียบ ทาสีน้ำพลาสติกอะครีลิก</t>
  </si>
  <si>
    <t>C2</t>
  </si>
  <si>
    <t>ยิบซั่มบอร์ด 9 มม.ชนิดธรรมดาขอบลาด 4 ด้าน ฉาบรอยต่อเรียบ โครงเคร่า</t>
  </si>
  <si>
    <t>C3</t>
  </si>
  <si>
    <t xml:space="preserve">ยิบซั่มบอร์ด 9 มม.ชนิดทนความชื้นขอบลาด 4 ด้าน ฉาบรอยต่อเรียบ </t>
  </si>
  <si>
    <t>C4</t>
  </si>
  <si>
    <t>ฉนวนกันความร้อนใยแก้ว หุ้มอลูมิเนียมฟอล์ยรอบด้าน หนา 75 มม. ความ</t>
  </si>
  <si>
    <t>สีทาฝ้าเพดาน</t>
  </si>
  <si>
    <t xml:space="preserve"> อาคาร 2 อาคารสำนักงาน และ Workshop ส่วนสุขาภิบาลและส่วนอาคาร </t>
  </si>
  <si>
    <t xml:space="preserve"> ฝ่ายสนามบินและอาคาร ขนาด 3 ชั้น</t>
  </si>
  <si>
    <t xml:space="preserve"> อาคาร 1 อาคารสำนักงาน และ Workshop ส่วนสนามบิน </t>
  </si>
  <si>
    <t xml:space="preserve"> ฝ่ายสนามบินและอาคาร  ขนาด 2 ชั้น</t>
  </si>
  <si>
    <t xml:space="preserve"> งานต่อเติมอาคารเดิมและสร้างป้อมรักษาการณ์ ภายในกลุ่มอาคาร AMF ขนาด ชั้นเดียว</t>
  </si>
  <si>
    <t xml:space="preserve"> อาคารสำนักงานศูนย์ขนส่งสาธารณะ  ฝขส. ขนาด 2 ชั้น</t>
  </si>
  <si>
    <t xml:space="preserve"> อาคารคลังพัสดุ  ฝสภ. ขนาด ชั้นเดียว</t>
  </si>
  <si>
    <t xml:space="preserve">งานโครงสร้าง -  อาคาร 1 อาคารสำนักงาน และ Workshop ส่วนสนามบิน </t>
  </si>
  <si>
    <t xml:space="preserve">           ฝ่ายสนามบินและอาคาร  ขนาด 2 ชั้น</t>
  </si>
  <si>
    <t>งานโครงสร้าง -  งานต่อเติมอาคารเดิมและสร้างป้อมรักษาการณ์ ภายในกลุ่ม</t>
  </si>
  <si>
    <t xml:space="preserve">           อาคาร AMF ขนาด ชั้นเดียว</t>
  </si>
  <si>
    <t>งานโครงสร้าง -  อาคารสำนักงานศูนย์ขนส่งสาธารณะ  ฝขส. ขนาด 2 ชั้น</t>
  </si>
  <si>
    <t>งานโครงสร้าง -  อาคารคลังพัสดุ  ฝสภ. ขนาด ชั้นเดียว</t>
  </si>
  <si>
    <t xml:space="preserve">  อาคาร 1 อาคารสำนักงาน และ Workshop ส่วนสนามบิน ฝ่ายสนามบินและอาคาร  ขนาด 2 ชั้น</t>
  </si>
  <si>
    <t>งานโครงสร้าง -   อาคาร 1 อาคารสำนักงาน และ Workshop ส่วนสนามบิน ฝ่ายสนามบินและอาคาร  ขนาด 2 ชั้น</t>
  </si>
  <si>
    <t>งานโครงสร้าง - อาคาร 2 อาคารสำนักงาน และ Workshop ส่วนสุขาภิบาลและ</t>
  </si>
  <si>
    <t xml:space="preserve">          ส่วนอาคาร ฝ่ายสนามบินและอาคาร  ขนาด 3 ชั้น</t>
  </si>
  <si>
    <t xml:space="preserve"> อาคาร 2 อาคารสำนักงาน และ Workshop ส่วนสุขาภิบาลและส่วนอาคาร  ฝ่ายสนามบินและอาคาร  ขนาด 3 ชั้น</t>
  </si>
  <si>
    <t>งานโครงสร้าง -  อาคาร 2 อาคารสำนักงาน และ Workshop ส่วนสุขาภิบาลและส่วนอาคาร  ฝ่ายสนามบินและอาคาร  ขนาด 3 ชั้น</t>
  </si>
  <si>
    <t>งานโครงสร้าง - งานต่อเติมอาคารเดิมและสร้างป้อมรักษาการณ์ ภายในกลุ่มอาคาร AMF ขนาด ชั้นเดียว</t>
  </si>
  <si>
    <t>งาน</t>
  </si>
  <si>
    <t>ตร.ม.</t>
  </si>
  <si>
    <t>ม.</t>
  </si>
  <si>
    <t>ชุด</t>
  </si>
  <si>
    <t>A01</t>
  </si>
  <si>
    <t>A02</t>
  </si>
  <si>
    <t>A03</t>
  </si>
  <si>
    <t>2.1.1.2</t>
  </si>
  <si>
    <t>2.1.1.3</t>
  </si>
  <si>
    <t>2.1.1.4</t>
  </si>
  <si>
    <t>2.1.1.5</t>
  </si>
  <si>
    <t>2.1.1.6</t>
  </si>
  <si>
    <t>2.1.1.7</t>
  </si>
  <si>
    <t>2.1.2.1</t>
  </si>
  <si>
    <t>2.1.2.2</t>
  </si>
  <si>
    <t>2.1.2.3</t>
  </si>
  <si>
    <t>2.1.2.4</t>
  </si>
  <si>
    <t>2.1.2.5</t>
  </si>
  <si>
    <t>2.1.2.6</t>
  </si>
  <si>
    <t>2.1.2.7</t>
  </si>
  <si>
    <t>2.7.</t>
  </si>
  <si>
    <t xml:space="preserve"> ฝ่ายสนามบินและอาคาร  ขนาด 2 ชั้น (อาคาร A)</t>
  </si>
  <si>
    <t xml:space="preserve"> ฝ่ายสนามบินและอาคาร ขนาด 3 ชั้น (อาคาร B)</t>
  </si>
  <si>
    <t xml:space="preserve"> อาคารคลังพัสดุ  ฝสภ. ขนาด ชั้นเดียว (อาคาร C)</t>
  </si>
  <si>
    <t xml:space="preserve"> อาคารคลังพัสดุ  ฝสภ. ขนาด ชั้นเดียว (อาคาร D)</t>
  </si>
  <si>
    <t xml:space="preserve"> งานต่อเติมอาคารเดิมและสร้างป้อมรักษาการณ์ ภายในกลุ่มอาคาร AMF ขนาด ชั้นเดียว (อาคาร E)</t>
  </si>
  <si>
    <t xml:space="preserve"> งานต่อเติมอาคารเดิมและสร้างป้อมรักษาการณ์ ภายในกลุ่มอาคาร AMF ขนาด ชั้นเดียว (อาคาร F)</t>
  </si>
  <si>
    <t xml:space="preserve"> อาคารสำนักงานศูนย์ขนส่งสาธารณะ  ฝขส. ขนาด 2 ชั้น (อาคาร G)</t>
  </si>
  <si>
    <t>ค.ส.ล.ทำผิวขัดมันเรียบ</t>
  </si>
  <si>
    <t>ค.ส.ล.ทำผิวขัดมันเรียบ ผสมน้ำยากันซึม</t>
  </si>
  <si>
    <t>ค.ส.ล.เทปูนปรับระดับ ทำผิวขัดเรียบ</t>
  </si>
  <si>
    <t>ปูกระเบื้องแกรนิตโต้ชนิดกันลื่น ขนาด 0.60 x 0.60 ม. ชนิดขอบตัด (เลือกสีภายหลัง)</t>
  </si>
  <si>
    <t xml:space="preserve">ปูหินแกรนิต (ภายในประเทศ) ผิวมันและผิวพ่นไฟ ปูสลับลาย </t>
  </si>
  <si>
    <t>ขนาด 0.60 x 0.60 ม. หนา 20 มม.</t>
  </si>
  <si>
    <t>F8</t>
  </si>
  <si>
    <t>เทปูนปรับระดับ ทำผิวขัดเรียบ ปูกระเบื้องยางชนิดม้วนกว้างไม่น่อยกว่า 1.80 ม.</t>
  </si>
  <si>
    <t>หนาไม่น้อยกว่า 2.0 ม.</t>
  </si>
  <si>
    <t>F9</t>
  </si>
  <si>
    <t>เทปูนปรับระดับ ทำผิวขัดเรียบ ปูกระเบื้องยางชนิดแผ่น ขนาด 0.30 x 0.30 ม.</t>
  </si>
  <si>
    <t>F10</t>
  </si>
  <si>
    <t>ผนังก่ออิฐมอญครึ่งแผ่น ฉาบปูนเรียบ ความหนาไม่น้อยกว่า 0.10 ม.</t>
  </si>
  <si>
    <t>ผนังก่ออิฐมอญเต็มแผ่น ฉาบปูนเรียบ ความหนาไม่น้อยกว่า 0.15 ม.</t>
  </si>
  <si>
    <t>GB</t>
  </si>
  <si>
    <t>ยิปซั่มบอร์ด หนา 20 มม. ชนิดธรรมดาขอบลาด 4 ด้าน ฉาบรอยต่อเรียบ ทาสีอะครีลิค</t>
  </si>
  <si>
    <t>ชนิดทาภายใน โครงคร่าวเหล็กชุบสังกะสี ติดตั้งตามมาตรฐานผู้ผลิต</t>
  </si>
  <si>
    <t>ผนังโครงสร้างสำเร็จรูป (Precast Concrete) ทาสี</t>
  </si>
  <si>
    <t>คอนกรีตมวลเบา ขนาด 3" ก่อ 1 ชั้น ฉาบด้วยปูนฉาบคอนกรีตมวลเบา</t>
  </si>
  <si>
    <t>คอนกรีตมวลเบา ขนาด 5" ก่อ 1 ชั้น ฉาบด้วยปูนฉาบคอนกรีตมวลเบา</t>
  </si>
  <si>
    <t xml:space="preserve"> - เสาเอ็น - ทับหลัง ขนาด ( 0.10 x 0.125 ) ม.</t>
  </si>
  <si>
    <t>ฉาบปูนผนังด้วยปูนฉาบอิฐมวลเบา (สำหรับ L1, L2) - ฉาบภายใน</t>
  </si>
  <si>
    <t>ฉาบปูนผนังด้วยปูนฉาบอิฐมวลเบา (สำหรับ L1, L2) - ฉาบภายนอก</t>
  </si>
  <si>
    <t>พื้นดาดฟ้า,หลังคา,กันสาด ทำระบบกันซึมมาตรฐาน</t>
  </si>
  <si>
    <t>โลหะชุบสังกะสี หนา 0.50 มม. / ทาสีอะครีลิค-ชนิดทาภายใน</t>
  </si>
  <si>
    <t>โครงเคร่าโลหะชุบสังกะสี หนา 0.50 มม. / ทาสีอะครีลิค-ชนิดทาภายใน</t>
  </si>
  <si>
    <t>หนาแน่น 12 กก./ ลบ.ม.</t>
  </si>
  <si>
    <t>ยิบซั่มบอร์ด ชนิดลดเสียงสะท้อน ชนิดขอบบังใบ ขนาด 0.60 x 0.60 ม. หนา 12 มม.</t>
  </si>
  <si>
    <t>ระบบฝ้าที-บาร์ โครงคร่าวเหล็กชุบสังกะสี เคลือบสีขาว ความหนา 0.7 มม.</t>
  </si>
  <si>
    <t>(0.35 มม. พับซ้อน 2 ชั้น) ทาสีอะครีลิคชนิดทาภายใน</t>
  </si>
  <si>
    <t>C5</t>
  </si>
  <si>
    <t>ฝ้าเพดานไฟเบอร์ซีเมนต์บอร์ด ขนาด 120 x 120 ซม. ตีเว้นร่อง หนา 4 มม.</t>
  </si>
  <si>
    <t>ทาสีอะครีลิค ชนิดทาภายนอก โครงคร่าวเหล็กชุบสังกะสี หนา 0.50</t>
  </si>
  <si>
    <t>ST-01</t>
  </si>
  <si>
    <t xml:space="preserve"> - พื้นชานพัก / โถงบันได </t>
  </si>
  <si>
    <t xml:space="preserve"> - จมูกบันได</t>
  </si>
  <si>
    <t xml:space="preserve"> - ลูกตั้ง / ลูกนอน </t>
  </si>
  <si>
    <t xml:space="preserve"> - ราวกันตกบันได </t>
  </si>
  <si>
    <t>ST-02</t>
  </si>
  <si>
    <t>ST-03</t>
  </si>
  <si>
    <t>ST-04</t>
  </si>
  <si>
    <t>ST-05</t>
  </si>
  <si>
    <t>ST-06</t>
  </si>
  <si>
    <t>พื้น RAMP</t>
  </si>
  <si>
    <t>2.1.3</t>
  </si>
  <si>
    <t>2.1.4</t>
  </si>
  <si>
    <t>หลังคา METAL SHEET</t>
  </si>
  <si>
    <t>ฉนวนกันความร้อน PE. FOAM ชนิดบุฟอล์ย 2 ด้าน หนา 10 มม. ยึดติดใต้แผ่นหลังคา</t>
  </si>
  <si>
    <t>2.1.5</t>
  </si>
  <si>
    <t>งานภายนอกอาคาร</t>
  </si>
  <si>
    <t>PRECAST CONCRETE  ขนาด</t>
  </si>
  <si>
    <t>งานเซาะร่อง PVC ตัว U ขนาด 1 x 1 ซม.</t>
  </si>
  <si>
    <t xml:space="preserve"> งานภายนอกอาคาร</t>
  </si>
  <si>
    <t xml:space="preserve"> งานสถาปัตยกรรม ชั้น 1</t>
  </si>
  <si>
    <t xml:space="preserve"> งานสถาปัตยกรรม ชั้น 2</t>
  </si>
  <si>
    <t>Flashing และสันหลังคาt METAL SHEET</t>
  </si>
  <si>
    <t>บัวไม้เทียมสำเร็จรูป สูง 0.10 ม. (เลือกสีภายหลัง)</t>
  </si>
  <si>
    <t xml:space="preserve"> อาคาร 2  อาคารสำนักงาน และ Workshop ส่วนสุขาภิบาลและส่วนอาคาร </t>
  </si>
  <si>
    <t>2.2.1</t>
  </si>
  <si>
    <t>2.2.2</t>
  </si>
  <si>
    <t>2.2.3</t>
  </si>
  <si>
    <t>2.2.4</t>
  </si>
  <si>
    <t>2.2.5</t>
  </si>
  <si>
    <t>2.2.1.1</t>
  </si>
  <si>
    <t>2.2.1.2</t>
  </si>
  <si>
    <t>2.2.1.3</t>
  </si>
  <si>
    <t>2.2.1.4</t>
  </si>
  <si>
    <t>2.2.1.5</t>
  </si>
  <si>
    <t>2.2.1.6</t>
  </si>
  <si>
    <t>2.2.1.7</t>
  </si>
  <si>
    <t>2.2.6</t>
  </si>
  <si>
    <t xml:space="preserve"> งานสถาปัตยกรรม ชั้น 3</t>
  </si>
  <si>
    <t xml:space="preserve">   ฝ่ายสนามบินและอาคาร  ชั้น 1</t>
  </si>
  <si>
    <t xml:space="preserve">   ฝ่ายสนามบินและอาคาร  ชั้น 3</t>
  </si>
  <si>
    <t>ฝ่ายสนามบินและอาคารชั้น 2</t>
  </si>
  <si>
    <t>F11</t>
  </si>
  <si>
    <t xml:space="preserve">เทปูนปรับระดับ ทำผิวขัดเรียบ ปูกระเบท้องยางชนิดแผ่น ขนาด30x30 ม. </t>
  </si>
  <si>
    <t>คสล. ทำผิวขัดมันเรียบ เคลือบด้วยฟรอร์ฮาร์ดเดนเนอร์</t>
  </si>
  <si>
    <t>ปูกระเบื้องแกรนิตโต้ชนิดกันลื่น ขนาด 8"x8" ชนิดตัดขอบ (เลือกสีภายหลัง)</t>
  </si>
  <si>
    <t xml:space="preserve">ปูหินแกรนิต (ภายในประเทศ) ผิวมันและผิวพ่นไฟ (ปูสลับลาย) </t>
  </si>
  <si>
    <t>ขนาด600x600 มม. หนา20 มม.</t>
  </si>
  <si>
    <t>เทปูนปรับระดับ ทำผิวขัดเรียบ ปูกระเบื้องยางชนิดม้วนกว้างไม่น้อยกว่า 1.80 ม.</t>
  </si>
  <si>
    <t xml:space="preserve"> หนาไม่น้อยกว่า 2.0 ม.</t>
  </si>
  <si>
    <t>เทปูนปรับระดับ ทำผิวขัดเรียบ ปูกระเบื้องยางชนิดแผ่น ขนาด300x300 มม.</t>
  </si>
  <si>
    <t>คลส. ทำผิวขัดมันเรียบ เคลือบด้วยฟอร์ฮาร์ดเดนเนอร์</t>
  </si>
  <si>
    <t>S5</t>
  </si>
  <si>
    <t>กระเบื้องยาง สูง0.10 ม.</t>
  </si>
  <si>
    <t>กระเบื้องแกรนิตโต้ชนิดเดียวกับพื้น สูง 0.10 ม. (เลือกสีภายหลัง)</t>
  </si>
  <si>
    <t>บัวไม้เทียมสำเร็จรูป สูง 0.10 ม.</t>
  </si>
  <si>
    <t>กระเบื้องยางสูง 0.10 ม.</t>
  </si>
  <si>
    <t>G01</t>
  </si>
  <si>
    <t>M01</t>
  </si>
  <si>
    <t>M02</t>
  </si>
  <si>
    <t>M03</t>
  </si>
  <si>
    <t>P01a</t>
  </si>
  <si>
    <t>P01</t>
  </si>
  <si>
    <t>P02</t>
  </si>
  <si>
    <t>P03</t>
  </si>
  <si>
    <t>P04</t>
  </si>
  <si>
    <t>P05</t>
  </si>
  <si>
    <t>P06</t>
  </si>
  <si>
    <t>P07</t>
  </si>
  <si>
    <t>P08</t>
  </si>
  <si>
    <t>W2</t>
  </si>
  <si>
    <t>W6</t>
  </si>
  <si>
    <t>โถฉี่ชาย</t>
  </si>
  <si>
    <t>ชักโครกแบบ ฟลัชวาวล์</t>
  </si>
  <si>
    <t>อ่างล้างหน้า</t>
  </si>
  <si>
    <t>ชุดฝักบัว</t>
  </si>
  <si>
    <t>สายชำระ</t>
  </si>
  <si>
    <t>ที่แขวนกระดาษทิชชู่</t>
  </si>
  <si>
    <t>ชุด Partition ห้องน้ำ</t>
  </si>
  <si>
    <t>เคาท์เตอร์อ่างล้างหน้าแบบฝัง ขนาด 1000x600 mm.</t>
  </si>
  <si>
    <t>เคาท์เตอร์อ่างล้างหน้าแบบฝัง ขนาด 5000x600 mm.</t>
  </si>
  <si>
    <t>เคาท์เตอร์อ่างล้างหน้าแบบฝัง ขนาด 2500x600 mm.</t>
  </si>
  <si>
    <t>เคาท์เตอร์อ่างล้างหน้าแบบฝัง ขนาด 2000x600 mm.</t>
  </si>
  <si>
    <t>W3</t>
  </si>
  <si>
    <t>W4</t>
  </si>
  <si>
    <t>W5</t>
  </si>
  <si>
    <t>W7</t>
  </si>
  <si>
    <t>W8</t>
  </si>
  <si>
    <t>W1a</t>
  </si>
  <si>
    <t>บุกระเบื้องแกรนิตโต้ ขนาด 8" x 12" ชนิดขอบตัด (เลือกสีภายหลัง)</t>
  </si>
  <si>
    <t>ปูกระเบื้องแกรนิตโต้ชนิดกันลื่น ขนาด 0.20 x 0.20 ม. ชนิดขอบตัด (เลือกสีภายหลัง)</t>
  </si>
  <si>
    <t>บุกระเบื้องแกรนิตโต้ ขนาด 8" x 8" ชนิดขอบตัด (เลือกสีภายหลัง)</t>
  </si>
  <si>
    <t>floor drain</t>
  </si>
  <si>
    <t>ก็อกอ่างล้างหน้า</t>
  </si>
  <si>
    <t>กระจกเงาติดผนัง ขนาด 1000x1200 mm.</t>
  </si>
  <si>
    <t>กระจกเงาติดผนัง ขนาด 5000x1200 mm.</t>
  </si>
  <si>
    <t>กระจกเงาติดผนัง ขนาด 2000x1200 mm.</t>
  </si>
  <si>
    <t>กระจกเงาติดผนัง ขนาด 2500x1200 mm.</t>
  </si>
  <si>
    <t>บานกระจกติดตาย</t>
  </si>
  <si>
    <t>ราวแขวนผ้าเช็ดตัว</t>
  </si>
  <si>
    <t>รางน้ำเหล็กพับ</t>
  </si>
  <si>
    <t>ประตูบานเปิด สวิงคู่ กระจกบานเปลือย ขนาด 2350x1900 มม.</t>
  </si>
  <si>
    <t>ประตูบานเปิด สวิงคู่ กรอบบานอลูมิเนียมลูกฟักกระจก ขนาด 2200x1800 มม.</t>
  </si>
  <si>
    <t>ประตูบานเปิด สวิงคู่ กรอบบานอลูมิเนียมลูกฟักกระจก ขนาด2800x1800 มม.</t>
  </si>
  <si>
    <t>ประตูบานเปิดเดี่ยวบานเหล็กทนไฟ ติดตั้งอุปกรณ์บังคับบาน ขนาด 2000x1000 มม.</t>
  </si>
  <si>
    <t>ประตูบานเปิดเดี่ยวบานเหล็กระบายอากาศ ขนาด 2000x1000 มม.</t>
  </si>
  <si>
    <t>ประตูบานเปิดเดี่ยวบานเหล็กพร้อมช่องมองกระจก ขนาด 2000x1000 มม.</t>
  </si>
  <si>
    <t>ประตูบานเปิดเดี่ยว บานไม้อัดยางกรุลามิเนท ขนาด 2800x900 มม.</t>
  </si>
  <si>
    <t>ประตูบานเปิดเดี่ยว บานไม้อัดยางกรุลามิเนท ขนาด 2800x1000 มม.</t>
  </si>
  <si>
    <t>ประตูบานเปิดเดี่ยว บานไม้อัดยางทำสีพ่นขาว ขนาด 2200x800 มม.</t>
  </si>
  <si>
    <t>ประตูบานเปิดเดี่ยว บานไม้อัดยางทำสีพ่นขาว ขนาด 2200x1000 มม.</t>
  </si>
  <si>
    <t>ประตูบานเปิดเดี่ยว เกล็ดไม้ระบายอากาศ บานไม้อัดยางกันชื้นกรุลามิเนท ขนาด 2200x1000 มม.</t>
  </si>
  <si>
    <t>ประตูบานเปิดเดี่ยว เกล็ดไม้ระบายอากาศ บานไม้อัดยางกันชื้นกรุลามิเนท ขนาด 2200x800 มม.</t>
  </si>
  <si>
    <t>ประตูบานเปิดคู่ เปิดเดี่ยว บานไม้อัดยางกันชื้นทำสีพ่นขาว ขนาด 2200x1500 มม.</t>
  </si>
  <si>
    <t>ประตูบานเปิดเดี่ยว เกล็ดไม้ระบายอากาศ บานไม้อัดยางกันชื้นทำสีพ่นขาว ขนาด 2200x1000 มม.</t>
  </si>
  <si>
    <t>ประตูบานเปิดคู่ บานไม้อัดยางทำสีพ่นขาว ขนาด 2200x1800 มม.</t>
  </si>
  <si>
    <t>บานติดตายอลูมิเนียม พาวเดอร์ โค้ทสีขาว ขนาด 2800x7400 มม.</t>
  </si>
  <si>
    <t>บานติดตายอลูมิเนียม พาวเดอร์ โค้ทสีขาว ขนาด 2800x7250 มม.</t>
  </si>
  <si>
    <t>บานติดตายอลูมิเนียม พาวเดอร์ โค้ทสีขาวขนาด  3200x7400 มม.</t>
  </si>
  <si>
    <t>บานเลื่อนสลับพร้อมฃ่องแสงติดตายอลูมิเนียม พาวเดอร์ โค้ทสีขาวขนาด  2300x7400 มม.</t>
  </si>
  <si>
    <t>บานเลื่อนสลับพร้อมฃ่องแสงติดตายอลูมิเนียม พาวเดอร์ โค้ทสีขาว ขนาด 2300x5400 มม.</t>
  </si>
  <si>
    <t>บานกระทุ้งพร้อมช่องแสงติดตาย พาวเดอร์ โค้ทสีขาว ขนาด 2050x800 มม.</t>
  </si>
  <si>
    <t>บานกระทุ้งพร้อมช่องแสงติดตาย พาวเดอร์ โค้ทสีขาว ขนาด 700x1800 มม.</t>
  </si>
  <si>
    <t>บานกระทุ้งพร้อมช่องแสงติดตาย พาวเดอร์ โค้ทสีขาว ขนาด 700x2650 มม.</t>
  </si>
  <si>
    <t>บานกระทุ้งพร้อมช่องแสงติดตาย พาวเดอร์ โค้ทสีขาว ขนาด 700x3500 มม.</t>
  </si>
  <si>
    <t>ประตูบานเปิด สวิงคู่ กรอบบานอลูมิเนียมลูกฟักกระจก ขนาด 2200x900 มม.</t>
  </si>
  <si>
    <t>บานติดตายอลูมิเนียม พาวเดอร์ โค้ทสีขาว ขนาด 2800x8400 มม.</t>
  </si>
  <si>
    <t>บานติดตายอลูมิเนียม พาวเดอร์ โค้ทสีขาว ขนาด 2800x4050 มม.</t>
  </si>
  <si>
    <t>บานติดตายอลูมิเนียม พาวเดอร์ โค้ทสีขาว ขนาด 2800x3400 มม.</t>
  </si>
  <si>
    <t>บานติดตายอลูมิเนียม พาวเดอร์ โค้ทสีขาว ขนาด 2800x4900 มม.</t>
  </si>
  <si>
    <t>บานติดตายอลูมิเนียม พาวเดอร์ โค้ทสีขาว ขนาด 2800x3650 มม.</t>
  </si>
  <si>
    <t>บานติดตายอลูมิเนียม พาวเดอร์ โค้ทสีขาว ขนาด 2800x2350 มม.</t>
  </si>
  <si>
    <t xml:space="preserve"> - ราวกันตกบันได  </t>
  </si>
  <si>
    <t>PRECAST CONCRETE  ขนาด 40x20 cm.</t>
  </si>
  <si>
    <t>PRECAST CONCRETE  ขนาด 20x20 cm.</t>
  </si>
  <si>
    <t xml:space="preserve">PRECAST CONCRETE  ขนาด </t>
  </si>
  <si>
    <t>งานหลังคาบริเวณทางเดิน</t>
  </si>
  <si>
    <t>รางระบายน้ำ ขนาด 40x3 cm.</t>
  </si>
  <si>
    <t>หลังคา คสล.</t>
  </si>
  <si>
    <t>รางระบายน้ำ ขนาด30x3 cm.</t>
  </si>
  <si>
    <t>ขอบ คสล.</t>
  </si>
  <si>
    <t>W1</t>
  </si>
  <si>
    <t>บานติดตายอลูมิเนียม พาวเดอร์ โค้ทสีขาว ขนาด 3600x2800 มม.</t>
  </si>
  <si>
    <t xml:space="preserve">   อาคารสำนักงานศูนย์ขนส่งสาธารณะ  ฝขส.  ชั้น 1</t>
  </si>
  <si>
    <t>ปูแผ่นไม้เทียม</t>
  </si>
  <si>
    <t>F12</t>
  </si>
  <si>
    <t>บล็อกปูพื้น ตราช้างรุ่น NATURA BLOCK ขนาด 40x40x3 ซม. ปูบน LEAN CONCRETE</t>
  </si>
  <si>
    <t>หนา 7 ซม. เสริมเหล็ก Wire mesh เส้นผ่าศูนย์กลาง 4.00 มม.@ 0.20</t>
  </si>
  <si>
    <t>อาคารสำนักงานและ WORKSHOP ส่วนสนามบิน ฝ่ายสนามบินและอาคาร (อาคาร A)</t>
  </si>
  <si>
    <t>อาคารสำนักงานและ WORKSHOP ส่วนสุขาภิบาลและส่วนอาคาร ฝ่ายสนามบินและอาคาร (อาคาร B)</t>
  </si>
  <si>
    <t>อาคารคลังพัสดุ ฝสภ. (อาคาร C)</t>
  </si>
  <si>
    <t>อาคารคลังพัสดุ ฝสภ. (อาคาร D)</t>
  </si>
  <si>
    <t>งานต่อเติมอาคารเดิม (อาคาร E)</t>
  </si>
  <si>
    <t>ป้อมรักษาการณ์ภายในกลุ่ม AMF (อาคาร F)</t>
  </si>
  <si>
    <t>อาคารสำนักงานศูนย์ขนส่งสาธารณะ ฝขส. (อาคาร G)</t>
  </si>
  <si>
    <t>งานสาธารณูปโภค</t>
  </si>
  <si>
    <t>ค่าก่อสร้าง (ก่อน F)</t>
  </si>
  <si>
    <t>ค่างานโครงสร้าง</t>
  </si>
  <si>
    <t>งานครุภัณฑ์จัดจ้างหรือสั่งทำ (อาคารA)</t>
  </si>
  <si>
    <t>งานครุภัณฑ์จัดจ้างหรือสั่งทำ (อาคารB)</t>
  </si>
  <si>
    <t>งานครุภัณฑ์จัดจ้างหรือสั่งทำ (อาคารG)</t>
  </si>
  <si>
    <t>a</t>
  </si>
  <si>
    <t>b</t>
  </si>
  <si>
    <t>c</t>
  </si>
  <si>
    <t>d</t>
  </si>
  <si>
    <t>e</t>
  </si>
  <si>
    <t>f</t>
  </si>
  <si>
    <t>g</t>
  </si>
  <si>
    <t xml:space="preserve"> งานสาธารูปโภค</t>
  </si>
  <si>
    <t>งานระบบลิฟต์โดยสาร  (อาคาร B)</t>
  </si>
  <si>
    <t xml:space="preserve"> งานโครงสร้างวิศวกรรม (อาคาร A)</t>
  </si>
  <si>
    <t xml:space="preserve"> งานโครงสร้างวิศวกรรม (อาคาร B)</t>
  </si>
  <si>
    <t xml:space="preserve"> งานโครงสร้างวิศวกรรม (อาคาร C)</t>
  </si>
  <si>
    <t xml:space="preserve"> งานโครงสร้างวิศวกรรม (อาคารD)</t>
  </si>
  <si>
    <t xml:space="preserve"> งานโครงสร้างวิศวกรรม (อาคารE)</t>
  </si>
  <si>
    <t xml:space="preserve"> งานโครงสร้างวิศวกรรม (อาคารF)</t>
  </si>
  <si>
    <t xml:space="preserve"> งานโครงสร้างวิศวกรรม (อาคารG)</t>
  </si>
  <si>
    <t xml:space="preserve"> งานสถาปัตยกรรม  (อาคาร A)</t>
  </si>
  <si>
    <t xml:space="preserve"> งานสถาปัตยกรรม (อาคาร B)</t>
  </si>
  <si>
    <t xml:space="preserve"> งานสถาปัตยกรรม (อาคาร C)</t>
  </si>
  <si>
    <t xml:space="preserve"> งานสถาปัตยกรรม  (อาคาร D)</t>
  </si>
  <si>
    <t xml:space="preserve"> งานสถาปัตยกรรม (อาคาร E)</t>
  </si>
  <si>
    <t xml:space="preserve"> งานสถาปัตยกรรม (อาคาร F)</t>
  </si>
  <si>
    <t xml:space="preserve"> งานสถาปัตยกรรม (อาคาร G)</t>
  </si>
  <si>
    <t xml:space="preserve"> งานระบบไฟฟ้า และสื่อสาร  (อาคาร A)</t>
  </si>
  <si>
    <t xml:space="preserve"> งานระบบไฟฟ้า และสื่อสาร  (อาคาร B)</t>
  </si>
  <si>
    <t xml:space="preserve"> งานระบบไฟฟ้า และสื่อสาร  (อาคารC)</t>
  </si>
  <si>
    <t xml:space="preserve"> งานระบบไฟฟ้า และสื่อสาร  (อาคาร D)</t>
  </si>
  <si>
    <t xml:space="preserve"> งานระบบไฟฟ้า และสื่อสาร  (อาคาร E)</t>
  </si>
  <si>
    <t xml:space="preserve"> งานระบบไฟฟ้า และสื่อสาร  (อาคาร F)</t>
  </si>
  <si>
    <t xml:space="preserve"> งานระบบไฟฟ้า และสื่อสาร  (อาคาร G)</t>
  </si>
  <si>
    <t>งานระบบลื่อสารและแจ้งเหตุเพลิงไหม้  (อาคาร B)</t>
  </si>
  <si>
    <t>งานระบบลื่อสารและแจ้งเหตุเพลิงไหม้  (อาคาร C)</t>
  </si>
  <si>
    <t>งานระบบลื่อสารและแจ้งเหตุเพลิงไหม้  (อาคาร D)</t>
  </si>
  <si>
    <t>งานระบบลื่อสารและแจ้งเหตุเพลิงไหม้  (อาคา ร A )</t>
  </si>
  <si>
    <t>งานระบบลื่อสารและแจ้งเหตุเพลิงไหม้  (อาคาร E)</t>
  </si>
  <si>
    <t>งานระบบลื่อสารและแจ้งเหตุเพลิงไหม้  (อาคารF)</t>
  </si>
  <si>
    <t>งานระบบลื่อสารและแจ้งเหตุเพลิงไหม้  (อาคารG)</t>
  </si>
  <si>
    <t>งานระบบสุขาภิบาล, ระบบป้องกันอัคคีภัยและดับเพลิง (อาคารA)</t>
  </si>
  <si>
    <t>งานระบบสุขาภิบาล, ระบบป้องกันอัคคีภัยและดับเพลิง (อาคารB)</t>
  </si>
  <si>
    <t>งานระบบสุขาภิบาล, ระบบป้องกันอัคคีภัยและดับเพลิง (อาคาร C)</t>
  </si>
  <si>
    <t>งานระบบสุขาภิบาล, ระบบป้องกันอัคคีภัยและดับเพลิง (อาคาร D)</t>
  </si>
  <si>
    <t>งานระบบสุขาภิบาล, ระบบป้องกันอัคคีภัยและดับเพลิง (อาคาร E)</t>
  </si>
  <si>
    <t>งานระบบสุขาภิบาล, ระบบป้องกันอัคคีภัยและดับเพลิง (อาคาร G)</t>
  </si>
  <si>
    <t>งานระบบปรับอากาศและระบายอากาศ (อาคารA)</t>
  </si>
  <si>
    <t>งานระบบปรับอากาศและระบายอากาศ (อาคารB)</t>
  </si>
  <si>
    <t>งานระบบปรับอากาศและระบายอากาศ (อาคาร E)</t>
  </si>
  <si>
    <t>งานระบบปรับอากาศและระบายอากาศ(อาคาร G)</t>
  </si>
  <si>
    <t>รวมราคากลุ่มงานที่ 1.</t>
  </si>
  <si>
    <t>ส่วนที่ 2</t>
  </si>
  <si>
    <t>งานระบบสุขาภิบาล, ระบบป้องกันอัคคีภัยและดับเพลิง (อาคาร F)</t>
  </si>
  <si>
    <t>คำนวณราคากลาง          เมื่อวันที่            1              เดือน    กรกฎาคม                       พ.ศ.   2557</t>
  </si>
  <si>
    <t>คำนวณราคากลาง</t>
  </si>
  <si>
    <t xml:space="preserve">คำนวณราคากลางโดย  : </t>
  </si>
  <si>
    <t xml:space="preserve"> หน่วยงานเจ้าของโครงการ/งานก่อสร้าง</t>
  </si>
  <si>
    <t xml:space="preserve"> สถานที่ก่อสร้าง</t>
  </si>
  <si>
    <t xml:space="preserve"> ชื่อโครงการ/งานก่อสร้าง                  </t>
  </si>
  <si>
    <t xml:space="preserve"> ค่าทดสอบวัสดุ และ/หรือ ระบบทางวิศวกรรม</t>
  </si>
  <si>
    <t xml:space="preserve"> ค่าใช้จ่ายกรณีไม่อนุญาตให้คนงานพักในบริเวณสถานที่ก่อสร้าง (ค่าพาหนะไป-กลับที่พัก)</t>
  </si>
  <si>
    <t xml:space="preserve"> งานป้องกันฝุ่น   ( แผงผ้าใบทึบ ความสูงเท่าอาคารที่ก่อสร้าง )</t>
  </si>
  <si>
    <t>CALCULATION   SHEET</t>
  </si>
  <si>
    <t xml:space="preserve"> พร้อมประตูชั่วคราว</t>
  </si>
  <si>
    <t xml:space="preserve">กลุ่มงานที่  3. </t>
  </si>
  <si>
    <t xml:space="preserve"> ค่าเช่าเครื่องจักรกลที่จำเป็นต้องใช้ในงานก่อสร้าง เช่น  Mobile Crane, Concrete Pump</t>
  </si>
  <si>
    <t>กลุ่มงานที่  3.</t>
  </si>
  <si>
    <t>งานภูมิทัศน์,  งานผังบริเวณและสิ่งก่อสร้างประกอบอื่นๆ</t>
  </si>
  <si>
    <t>งานวิศวกรรมโครงสร้าง, งานสถาปัตยกรรม,  งานระบบสุขาภิบาล ดับเพลิง และป้องกันอัคคีภัย,  งานระบบไฟฟ้าและสื่อสาร,  งานระบบปรับอากาศและระบายอากาศ</t>
  </si>
  <si>
    <t>หน่วยงานเจ้าของโครงการ/งานก่อสร้าง</t>
  </si>
  <si>
    <t xml:space="preserve">             พ.ศ.     2558</t>
  </si>
  <si>
    <t>3)</t>
  </si>
  <si>
    <t>ส่วนที่  2.</t>
  </si>
  <si>
    <t>ส่วนที่  3.</t>
  </si>
  <si>
    <t>แบบ ปร.4 และ ปร.5 ที่แนบ    มีจำนวน</t>
  </si>
  <si>
    <t>A1505RUSI</t>
  </si>
  <si>
    <t xml:space="preserve"> ค่าจัดทำรั้ว Metal Sheet กั้นบริเวณก่อสร้างชั่วคราว สูงไม่ต่ำกว่า 2.00 ม.</t>
  </si>
  <si>
    <t>มหาวิทยาลัยเทคโนโลยีราชมงคลอีสาน   744  ถนนสุรนารายณ์     ตำบลในเมือง     อำเภอเมือง     จังหวัดนครราชสีมา</t>
  </si>
  <si>
    <t>ศูนย์กลาง มหาวิทยาลัยเทคโนโลยีราชมงคลอีสาน นครราชสีมา</t>
  </si>
  <si>
    <t xml:space="preserve"> - งานเฟอร์นิเจอร์-ลอยตัว</t>
  </si>
  <si>
    <t xml:space="preserve"> - งานระบบปรับอากาศ และระบายอากาศ</t>
  </si>
  <si>
    <t>แบบ  ปร.5 (ก)</t>
  </si>
  <si>
    <t>แบบ  ปร.5 ( ข )</t>
  </si>
  <si>
    <t>อาคารกิจการนักศึกษาและนันทนาการ    ตำบลในเมือง     อำเภอเมือง     จังหวัดนครราชสีมา</t>
  </si>
  <si>
    <t xml:space="preserve">                        คณะกรรมการกำหนดราคากลาง</t>
  </si>
  <si>
    <t>เมื่อวันที่       15      เดือน   พฤศจิกายน      พ.ศ.    2558</t>
  </si>
  <si>
    <t>เมื่อวันที่             15</t>
  </si>
  <si>
    <t>เดือน   พฤศจิกายน</t>
  </si>
  <si>
    <t xml:space="preserve">แผ่นที่  1/1    </t>
  </si>
  <si>
    <t xml:space="preserve">[ ส่วนบริการ, กีฬาในร่มและสโมสร ]   </t>
  </si>
  <si>
    <t xml:space="preserve">หน่วย  :  บาท       </t>
  </si>
  <si>
    <t>งานวิศวกรรมโครงสร้าง</t>
  </si>
  <si>
    <t xml:space="preserve"> งานระบบสุขาภิบาล ดับเพลิง และป้องกันอัคคีภัย</t>
  </si>
  <si>
    <t xml:space="preserve"> งานระบบไฟฟ้าและสื่อสาร</t>
  </si>
  <si>
    <t xml:space="preserve"> งานระบบปรับอากาศและระบายอากาศ</t>
  </si>
  <si>
    <t>งานระบบเครื่องกลและระบบพิเศษอื่นๆ (ถ้ามี)</t>
  </si>
  <si>
    <t>งานครุภัณฑ์จัดจ้างหรือสั่งทำ</t>
  </si>
  <si>
    <t>งานตกแต่งภายในอาคาร</t>
  </si>
  <si>
    <t>งานภูมิทัศน์</t>
  </si>
  <si>
    <t>งานผังบริเวณและสิ่งก่อสร้างประกอบอื่นๆ</t>
  </si>
  <si>
    <t>ครุภัณฑ์งานเฟอร์นิเจอร์ลอยตัว</t>
  </si>
  <si>
    <t>ครุภัณฑ์งานระบบสุขาภิบาล</t>
  </si>
  <si>
    <t>ครุภัณฑ์งานระบบปรับอากาศ และระบายอากาศ</t>
  </si>
  <si>
    <t xml:space="preserve">หน่วย  :  บาท      </t>
  </si>
  <si>
    <t>รวม งานกลุ่มที่ 1</t>
  </si>
  <si>
    <t>รวม งานกลุ่มที่ 2</t>
  </si>
  <si>
    <t>รวม งานกลุ่มที่ 3</t>
  </si>
  <si>
    <t>พื้นที่ก่อสร้างรวม</t>
  </si>
  <si>
    <t>……………………………………….</t>
  </si>
  <si>
    <t>(.........................................................)</t>
  </si>
  <si>
    <t>ประธานกรรมการกำหนดราคากลาง</t>
  </si>
  <si>
    <t xml:space="preserve">        ..........................................................</t>
  </si>
  <si>
    <t>..........................................................</t>
  </si>
  <si>
    <t xml:space="preserve">       (.........................................................)</t>
  </si>
  <si>
    <t xml:space="preserve">             กรรมการกำหนดราคากลาง</t>
  </si>
  <si>
    <t>กรรมการกำหนดราคากลาง</t>
  </si>
  <si>
    <t xml:space="preserve">- </t>
  </si>
  <si>
    <t>งานเฟอร์นิเจอร์ลอยตัว</t>
  </si>
  <si>
    <t>งานระบบสุขาภิบาล</t>
  </si>
  <si>
    <t xml:space="preserve">              กลุ่มงานที่ 1.  งานวิศวกรรมโครงสร้าง</t>
  </si>
  <si>
    <r>
      <t xml:space="preserve">ชื่อโครงการ / งานก่อสร้าง  :      </t>
    </r>
    <r>
      <rPr>
        <b/>
        <sz val="11"/>
        <rFont val="Tahoma"/>
        <family val="2"/>
      </rPr>
      <t>อาคารกิจการนักศึกษาและนันทนาการ      ตำบลในเมือง     อำเภอเมือง     จังหวัดนครราชสีมา</t>
    </r>
  </si>
  <si>
    <t xml:space="preserve">         มหาวิทยาลัยเทคโนโลยีราชมงคลอีสาน  744  ถนนสุรนารายณ์    ตำบลในเมือง    อำเภอเมือง    จังหวัดนครราชสีมา</t>
  </si>
  <si>
    <t>หน่วยงานเจ้าของโครงการ / งานก่อสร้าง  :    ศูนย์กลาง มหาวิทยาลัยเทคโนโลยีราชมงคลอีสาน นครราชสีมา</t>
  </si>
  <si>
    <t xml:space="preserve"> A1505RUSI</t>
  </si>
  <si>
    <t>พฤศจิกายน</t>
  </si>
  <si>
    <t>พ.ศ.  2558</t>
  </si>
  <si>
    <t xml:space="preserve">  งานวิศวกรรมโครงสร้าง</t>
  </si>
  <si>
    <t xml:space="preserve">   ส่วนบริการและกิจกรรม ขนาด ๓ ชั้น</t>
  </si>
  <si>
    <t>งานดิน, ฐานราก และเสาเข็ม</t>
  </si>
  <si>
    <t>งานโครงสร้าง คาน - พื้น ชั้น  1</t>
  </si>
  <si>
    <t>งานโครงสร้าง คาน - พื้น ชั้น ลอย</t>
  </si>
  <si>
    <t>งานโครงสร้าง คาน - พื้น ชั้น  2</t>
  </si>
  <si>
    <t>งานโครงสร้าง คาน - พื้น ชั้น  3</t>
  </si>
  <si>
    <t>งานโครงสร้าง คาน - พื้น ชั้นห้องเครื่อง</t>
  </si>
  <si>
    <t>งานโครงสร้าง คาน - พื้น ชั้นหลังคา</t>
  </si>
  <si>
    <t>งานโครงสร้าง ผนัง คสล. และ ผนังลิฟท์</t>
  </si>
  <si>
    <t>งานโครงสร้าง เสา</t>
  </si>
  <si>
    <t>งานโครงสร้างเหล็กรูปพรรณ ชั้นหลังคา</t>
  </si>
  <si>
    <t>งานโครงสร้าง บันได</t>
  </si>
  <si>
    <t>งานเสาเข็มตอก I - 0.40x0.40 ม. รับน้ำหนักบรรทุกปลอดภัยได้ไม่น้อยกว่า 65 ตัน/ต้น</t>
  </si>
  <si>
    <t>ต้น</t>
  </si>
  <si>
    <t xml:space="preserve">งานตัดหัวเสาเข็มตอก I - 0.40x0.40 ม. </t>
  </si>
  <si>
    <t>งานทดสอบความสมบูรณ์ของเสาเข็มตอก ด้วยวิธี SEISMIC INTEGRITY TEST</t>
  </si>
  <si>
    <t>งานทดสอบความสมบูรณ์ของเสาเข็มตอก ด้วยวิธี DYNAMIC LOAD TEST</t>
  </si>
  <si>
    <t>งานดินขุด</t>
  </si>
  <si>
    <t>ลบ.ม.</t>
  </si>
  <si>
    <t>1.1.6</t>
  </si>
  <si>
    <t>งานดินถมกลับ</t>
  </si>
  <si>
    <t>1.1.7</t>
  </si>
  <si>
    <t>งานทรายถมปรับระดับ</t>
  </si>
  <si>
    <t>1.1.8</t>
  </si>
  <si>
    <t>งานคอนกรีตหยาบ</t>
  </si>
  <si>
    <t>1.1.9</t>
  </si>
  <si>
    <t>งานคอนกรีตโครงสร้าง (fc' 280 ksc.)</t>
  </si>
  <si>
    <t>1.1.10</t>
  </si>
  <si>
    <t>งานไม้แบบ</t>
  </si>
  <si>
    <t>1.1.11</t>
  </si>
  <si>
    <t>ตะปู</t>
  </si>
  <si>
    <t>กก.</t>
  </si>
  <si>
    <t>1.1.12</t>
  </si>
  <si>
    <t>งานเหล็กเสริม</t>
  </si>
  <si>
    <t xml:space="preserve"> - RB 6 มม.   (SR-24)</t>
  </si>
  <si>
    <t xml:space="preserve"> - RB 9 มม.   (SR-24)</t>
  </si>
  <si>
    <t xml:space="preserve"> - DB 12 มม. (SD-40)</t>
  </si>
  <si>
    <t xml:space="preserve"> - DB 16 มม. (SD-40)</t>
  </si>
  <si>
    <t xml:space="preserve"> - DB 20 มม. (SD-40)</t>
  </si>
  <si>
    <t xml:space="preserve"> - DB 25 มม. (SD-40)</t>
  </si>
  <si>
    <t>1.1.13</t>
  </si>
  <si>
    <t>ลวดผูกเหล็ก</t>
  </si>
  <si>
    <t>รวมราคา ข้อ 1.1</t>
  </si>
  <si>
    <t>งานโครงสร้าง คาน - พื้น ชั้น 1</t>
  </si>
  <si>
    <t>1.2.1</t>
  </si>
  <si>
    <t>งานดินถม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</si>
  <si>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</si>
  <si>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</si>
  <si>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</si>
  <si>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</si>
  <si>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</si>
  <si>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</si>
  <si>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</si>
  <si>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</si>
  <si>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ผ้าพลาสติกรองพื้น</t>
  </si>
  <si>
    <t>1.2.10</t>
  </si>
  <si>
    <t>แผ่นพื้นสำเร็จรูป HOLLOW CORE มีความหนารวม TOPPING 0.13 ม.</t>
  </si>
  <si>
    <t>รับบน้ำหนักบรรทุกจรได้ไม่น้อยกว่า 300 กก./ตร.ม.</t>
  </si>
  <si>
    <t>รวมราคา ข้อ 1.2</t>
  </si>
  <si>
    <t>งานโครงสร้าง คาน - พื้น ชั้นลอย</t>
  </si>
  <si>
    <t>1.3.1</t>
  </si>
  <si>
    <t>แผ่นพื้นสำเร็จรูป HOLLOW CORE มีความหนารวม TOPPING 0.13 ม. รับน้ำหนัก</t>
  </si>
  <si>
    <t>บรรทุกจรได้ไม่น้อยกว่า 300 กก./ตร.ม.</t>
  </si>
  <si>
    <t>1.3.2</t>
  </si>
  <si>
    <t>1.3.3</t>
  </si>
  <si>
    <t>1.3.4</t>
  </si>
  <si>
    <t>1.3.5</t>
  </si>
  <si>
    <t>1.3.6</t>
  </si>
  <si>
    <t>1.3.7</t>
  </si>
  <si>
    <t>BS1 = WF - 300x200x8.0x12.0 มม. (56.80 กก./ม.)</t>
  </si>
  <si>
    <t>1.3.8</t>
  </si>
  <si>
    <t>BS2 = WF - 300x300x10.0x15.0 มม. (94.00 กก./ม.)</t>
  </si>
  <si>
    <t>1.3.9</t>
  </si>
  <si>
    <t>งานทาสีกันสนิม</t>
  </si>
  <si>
    <t>1.3.10</t>
  </si>
  <si>
    <t>งานทาสีน้ำมัน</t>
  </si>
  <si>
    <t>รวมราคา ข้อ 1.3</t>
  </si>
  <si>
    <t>งานโครงสร้าง คาน - พื้น ชั้น 2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</si>
  <si>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</si>
  <si>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</si>
  <si>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</si>
  <si>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</si>
  <si>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</si>
  <si>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</si>
  <si>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</si>
  <si>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</si>
  <si>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</si>
  <si>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รวมราคา ข้อ 1.4</t>
  </si>
  <si>
    <t>งานโครงสร้าง คาน - พื้น ชั้น 3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</si>
  <si>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</si>
  <si>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</si>
  <si>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</si>
  <si>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</si>
  <si>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</si>
  <si>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</si>
  <si>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</si>
  <si>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</si>
  <si>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BS4 = WF - 250x175x7.0x11.0 มม. (44.10 กก./ม.)</t>
  </si>
  <si>
    <t>1.5.9</t>
  </si>
  <si>
    <t>1.5.10</t>
  </si>
  <si>
    <t>รวมราคา ข้อ 1.5</t>
  </si>
  <si>
    <t>1.6.1</t>
  </si>
  <si>
    <t>1.6.2</t>
  </si>
  <si>
    <t>1.6.3</t>
  </si>
  <si>
    <t>1.6.4</t>
  </si>
  <si>
    <t>1.6.5</t>
  </si>
  <si>
    <t>1.6.6</t>
  </si>
  <si>
    <t>BS = LIGHT LIP CHANNEL - 200x75x20x3.2 มม. (9.52 กก./ม.)</t>
  </si>
  <si>
    <t>1.6.7</t>
  </si>
  <si>
    <t>BS3 = WF - 200x150x6.0x9.0 มม. (30.60 กก./ม.)</t>
  </si>
  <si>
    <t>1.6.8</t>
  </si>
  <si>
    <t>1.6.9</t>
  </si>
  <si>
    <t>1.6.10</t>
  </si>
  <si>
    <t>รวมราคา ข้อ 1.6</t>
  </si>
  <si>
    <t>1.7.1</t>
  </si>
  <si>
    <t>1.7.2</t>
  </si>
  <si>
    <t>1.7.3</t>
  </si>
  <si>
    <t>รวมราคา ข้อ 1.7</t>
  </si>
  <si>
    <t>1.8.1</t>
  </si>
  <si>
    <t>งานคอนกรีตโครงสร้าง กันซึม (fc' 280 ksc.)</t>
  </si>
  <si>
    <t>1.8.2</t>
  </si>
  <si>
    <t>งานคอนกรีตโครงสร้าง  (fc' 280 ksc.)</t>
  </si>
  <si>
    <t>1.8.3</t>
  </si>
  <si>
    <t>1.8.4</t>
  </si>
  <si>
    <t>1.8.5</t>
  </si>
  <si>
    <t>1.8.6</t>
  </si>
  <si>
    <t>1.8.7</t>
  </si>
  <si>
    <t>PVC. WATER STOP 8"</t>
  </si>
  <si>
    <t>1.8.8</t>
  </si>
  <si>
    <t>WATER PROOFING MEMBRANE</t>
  </si>
  <si>
    <t>1.8.9</t>
  </si>
  <si>
    <t>งานก่ออิฐบล๊อค</t>
  </si>
  <si>
    <t>รวมราคา ข้อ 1.8</t>
  </si>
  <si>
    <t>1.9.1</t>
  </si>
  <si>
    <t>1.9.2</t>
  </si>
  <si>
    <t>1.9.3</t>
  </si>
  <si>
    <t>1.9.4</t>
  </si>
  <si>
    <t>1.9.5</t>
  </si>
  <si>
    <t>1.9.6</t>
  </si>
  <si>
    <t>CS1 WF-300x200x8.0x12.0 มม. (56.80 กก./ม.)</t>
  </si>
  <si>
    <t>1.9.7</t>
  </si>
  <si>
    <t>CS2 WF-600x200x11.0x17.0 มม. (106.6 กก./ม.)</t>
  </si>
  <si>
    <t>1.9.8</t>
  </si>
  <si>
    <t>CS3 [/] - 200x200x4.5 มม. (27.21 กก./ม.)</t>
  </si>
  <si>
    <t>1.9.9</t>
  </si>
  <si>
    <t>CS4 WF-200x200x8.0x12.0 มม. (49.90 กก./ม.)</t>
  </si>
  <si>
    <t>1.9.10</t>
  </si>
  <si>
    <t>1.9.11</t>
  </si>
  <si>
    <t>รวมราคา ข้อ 1.9</t>
  </si>
  <si>
    <t>งานโครงสร้างเหล็กรูปพรรรณ ชั้นหลังคา</t>
  </si>
  <si>
    <t>1.10.1</t>
  </si>
  <si>
    <t>แปเหล็ก LIGHT LIP CHANNEL - 200x75x20x3.2 มม. (9.27 กก./ม.)</t>
  </si>
  <si>
    <t>1.10.2</t>
  </si>
  <si>
    <t xml:space="preserve"> Pipe Dia. 76.3 มม. หนา 3.2 มม. (5.77 กก./ม.)</t>
  </si>
  <si>
    <t>1.10.3</t>
  </si>
  <si>
    <t>Pipe Dia. 101.6 มม. หนา 3.2 มม. (7.77 กก./ม.)</t>
  </si>
  <si>
    <t>1.10.4</t>
  </si>
  <si>
    <t>Pipe Dia. 139.8 มม. หนา 4.0 มม. (13.40 กก./ม.)</t>
  </si>
  <si>
    <t>1.10.5</t>
  </si>
  <si>
    <t>Pipe Dia. 165.2 มม. หนา 6.0 มม. (23.56 กก./ม.)</t>
  </si>
  <si>
    <t>1.10.6</t>
  </si>
  <si>
    <t>Pipe Dia. 190.7 มม. หนา 7.0 มม. (24.2 กก./ม.)</t>
  </si>
  <si>
    <t>1.10.7</t>
  </si>
  <si>
    <t>1.10.8</t>
  </si>
  <si>
    <t>1.10.9</t>
  </si>
  <si>
    <t>TIE ROD Dia. 12 มม.</t>
  </si>
  <si>
    <t>1.10.10</t>
  </si>
  <si>
    <t>TURN BUCKLE FOR TIE ROD Dia. 12 มม.</t>
  </si>
  <si>
    <t>รวมราคา ข้อ 1.10</t>
  </si>
  <si>
    <t>1.11.1</t>
  </si>
  <si>
    <t>1.11.2</t>
  </si>
  <si>
    <t>1.11.3</t>
  </si>
  <si>
    <t>1.11.4</t>
  </si>
  <si>
    <t>1.11.5</t>
  </si>
  <si>
    <t>รวมราคา ข้อ 1.11</t>
  </si>
  <si>
    <t>นน.เหล็กเสริมรวม</t>
  </si>
  <si>
    <t>ปริมาณคอนกรีตรวม</t>
  </si>
  <si>
    <t xml:space="preserve">              กลุ่มงานที่ 1.  งานสถาปัตยกรรม</t>
  </si>
  <si>
    <t>ชื่อโครงการ / งานก่อสร้าง  :      อาคารกิจการนักศึกษาและนันทนาการ      ตำบลในเมือง     อำเภอเมือง     จังหวัดนครราชสีมา</t>
  </si>
  <si>
    <t>งานวัสดุพื้น และผิวพื้น</t>
  </si>
  <si>
    <t>งานวัสดุก่อผนัง</t>
  </si>
  <si>
    <t>งานวัสดุผิวผนัง</t>
  </si>
  <si>
    <t>งานวัสดุฝ้าเพดาน</t>
  </si>
  <si>
    <t>งานวัสดุบัวเชิงผนัง</t>
  </si>
  <si>
    <t>งานประตู และหน้าต่าง</t>
  </si>
  <si>
    <t>งานสุขภัณฑ์ และอุปกรณ์</t>
  </si>
  <si>
    <t>งานวัสดุผิวสำเร็จบันได</t>
  </si>
  <si>
    <t>งานหลังคา, เบ็ดเตล็ด และอื่นๆ</t>
  </si>
  <si>
    <t>2.1.1</t>
  </si>
  <si>
    <t>F0</t>
  </si>
  <si>
    <t>พื้น ค.ส.ล. ผสมน้ำยากันซึม ทำผิวขัดมันเรียบ ทำระบบกันซึม</t>
  </si>
  <si>
    <t>พื้น ค.ส.ล. ทำผิวขัดหยาบ (ขัดหยาบบนโครงสร้าง)</t>
  </si>
  <si>
    <t>พื้น ค.ส.ล. ทำผิวขัดมันเรียบ</t>
  </si>
  <si>
    <t>พื้น ค.ส.ล. เทปูนทรายปรับระดับ ทำผิวขัดมันเรียบ</t>
  </si>
  <si>
    <t>F3a</t>
  </si>
  <si>
    <t>พื้น ค.ส.ล. เทปูนทรายปรับระดับ ทำผิวขัดมันเรียบผสมผงสีเขียว</t>
  </si>
  <si>
    <t>ไม่มีในแบบ</t>
  </si>
  <si>
    <t>2.1.6</t>
  </si>
  <si>
    <t>พื้น ค.ส.ล. ผสมน้ำยากันซึม ทำผิวขัดมันเรียบ</t>
  </si>
  <si>
    <t>2.1.7</t>
  </si>
  <si>
    <t>พื้น ค.ส.ล. ทำผิวขัดเรียบ ทำระบบกันซึม PVC. SHEET MEMBRANE</t>
  </si>
  <si>
    <t>2.1.8</t>
  </si>
  <si>
    <t>พื้น ค.ส.ล. ทำผิวขัดมัน สลับ ผิวขัดหยาบ</t>
  </si>
  <si>
    <t>2.1.9</t>
  </si>
  <si>
    <t>พื้น ค.ส.ล. ทำผิวขัดมัน สลับ ผิวปูกระเบื้องเซรามิค ขนาด 24" x 24" ชนิดกันลื่น</t>
  </si>
  <si>
    <t>2.1.10</t>
  </si>
  <si>
    <t>พื้น ค.ส.ล. ปูกระเบื้องเซรามิค ขนาด 12" x 12" ชนิดกันลื่น</t>
  </si>
  <si>
    <t>2.1.11</t>
  </si>
  <si>
    <t>พื้น ค.ส.ล. เทปูนทรายปรับระดับ ทำผิวขัดเรียบ ปูปาร์เก้ไม้แดง ขนาด 2" x 12"</t>
  </si>
  <si>
    <t>2.1.12</t>
  </si>
  <si>
    <t>พื้น ค.ส.ล. เทปูนทรายปรับระดับ ทำผิวขัดเรียบ ปูกระเบื้องยาง ชนิดแผ่น</t>
  </si>
  <si>
    <t>ขนาด 12" x 12" ความหนาไม่น้อยกว่า 2 มม.</t>
  </si>
  <si>
    <t>2.1.13</t>
  </si>
  <si>
    <t>พื้น ค.ส.ล.ทำผิวกรวดล้าง เบอร์ 5 เว้นร่อง ขนาด 10 x 10 มม. สลับกระเบื้องเซรามิค</t>
  </si>
  <si>
    <t>ขนาด 24" x 24" ชนิดกันลื่น (เลือกสีภายหลัง)</t>
  </si>
  <si>
    <t>2.1.14</t>
  </si>
  <si>
    <t>พื้น ค.ส.ล. ผสมน้ำยากันซึม ผิวปูกระเบื้องเซรามิค ขนาด 4" x 4" (เลือกสีภายหลัง)</t>
  </si>
  <si>
    <t>2.1.15</t>
  </si>
  <si>
    <t>F13</t>
  </si>
  <si>
    <t xml:space="preserve">แผ่นไฟเบอร์ซีเมนต์บอร์ด ชนิดขอบตรง ขนาด 1.40x2.40 ม. หนา 20 มม. </t>
  </si>
  <si>
    <t>ตีเว้นร่อง 3 มม. โครงคร่าวเหล็ก</t>
  </si>
  <si>
    <t>รวมราคา ข้อ 2.1</t>
  </si>
  <si>
    <t>AC</t>
  </si>
  <si>
    <t xml:space="preserve">แผ่นอลูมิเนียมคอมโพสิท ไส้กลางชนิด PE. ความหนารวมไม่น้อยกว่า 4 มม. </t>
  </si>
  <si>
    <t>โครงคร่าวเหล็กติดตั้งตามมาตรฐานผู้ผลิต (คิดอยู่ในงานหลังคา, เบ็ดเตล็ด และอื่นๆ)</t>
  </si>
  <si>
    <t>AL1</t>
  </si>
  <si>
    <t>เกล็ดโลหะเคลือบสีระบายอากาศ รุ่น 470 ของ LYSAGHT หรือเทียบเท่า หนา 0.42 มม.</t>
  </si>
  <si>
    <t>รวมค่าขนส่ง</t>
  </si>
  <si>
    <t>Zincalume, AZ150, G550 ( 3 เกล็ด / เมตร ) โครงคร่าวติดตั้งตามมาตรฐานผู้ผลิต</t>
  </si>
  <si>
    <t>ผนังก่ออิฐมอญครึ่งแผ่น ฉาบปูนเรียบ ความหนาไม่น้อยกว่า 0.20 ม.</t>
  </si>
  <si>
    <t>คอนกรีตเสริมเหล็กฉาบปูนเรียบ  ( เฉพาะค่างานฉาบ )</t>
  </si>
  <si>
    <t>Cb</t>
  </si>
  <si>
    <t>คอนกรีตบล๊อก ช่องลมระบายอากาศ ขนาด 20 x 40 ซม. สูงจากพื้น 10 ซม.</t>
  </si>
  <si>
    <t>2.2.7</t>
  </si>
  <si>
    <t>Ce</t>
  </si>
  <si>
    <t>คอนกรีตเสริมเหล็ก เปลือยผิว ทำระบบกันซึม</t>
  </si>
  <si>
    <t>2.2.8</t>
  </si>
  <si>
    <t>FB</t>
  </si>
  <si>
    <t>แผ่นไฟเบอร์ซีเมนต์บอร์ด ชนิดขอบตรง ขนาด 1.20 x 2.40 ม. หนา 10 มม.</t>
  </si>
  <si>
    <t>ตีเว้นร่อง 3 มม. โครงเคร่าเหล็ก</t>
  </si>
  <si>
    <t>2.2.9</t>
  </si>
  <si>
    <t>G1</t>
  </si>
  <si>
    <t>แผ่นยิบซั่ม หนา 18 มม.รอยต่อฉาบเรียบ / ทาสี</t>
  </si>
  <si>
    <t>โครงคร่าวโลหะติดตั้งตามมาตรฐานผู้ผลิต</t>
  </si>
  <si>
    <t>2.2.10</t>
  </si>
  <si>
    <t>G2</t>
  </si>
  <si>
    <t>แผ่นยิบซั่ม ชนิดลดเสียงสะท้อน หนา 18 มม.รอยต่อฉาบเรียบ / ทาสี</t>
  </si>
  <si>
    <t>โครงคร่าวโลหะติดตั้งตามมาตรฐานผู้ผลิต ภายในกรุฉนวนกันเสียง</t>
  </si>
  <si>
    <t>2.2.11</t>
  </si>
  <si>
    <t>GS</t>
  </si>
  <si>
    <t>บล๊อกแก้ว (GLASS BLOCK) ขนาด 8" x 8" (เลือกสีและลายภายหลัง)</t>
  </si>
  <si>
    <t>2.2.12</t>
  </si>
  <si>
    <t>ผนังก่อคอนกรีตมวลเบา ขนาด 3" ก่อ 1 ชั้น ฉาบด้วยปูนฉาบอิฐมวลเบา</t>
  </si>
  <si>
    <t>2.2.13</t>
  </si>
  <si>
    <t>ผนังก่อคอนกรีตมวลเบา ขนาด 8" ก่อ 1 ชั้น ฉาบด้วยปูนฉาบอิฐมวลเบา</t>
  </si>
  <si>
    <t>2.2.14</t>
  </si>
  <si>
    <t>Ms</t>
  </si>
  <si>
    <t>แผ่น Metal Sheet Siding รุ่น TRIMMAX, Clean Colorbond  AZ150 หนา 0.42 มม.</t>
  </si>
  <si>
    <t>2.2.15</t>
  </si>
  <si>
    <t>ST1</t>
  </si>
  <si>
    <r>
      <t xml:space="preserve">เสาเหล็กรูปพรรณ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0.15 ม.ทาสีกันสนิม / ทาสีน้ำมันทับหน้า (ดูแบบวิศวกรรม)</t>
    </r>
  </si>
  <si>
    <t>เฉพาะทาสี</t>
  </si>
  <si>
    <t>2.2.16</t>
  </si>
  <si>
    <t xml:space="preserve"> - เสาเอ็น - ทับหลัง ขนาด ( 0.10 x 0.10 ) ม.</t>
  </si>
  <si>
    <t xml:space="preserve"> - เสาเอ็น - ทับหลัง ขนาด ( 0.20 x 0.20 ) ม.</t>
  </si>
  <si>
    <t>รวมราคา ข้อ 2.2</t>
  </si>
  <si>
    <t>2.3.1</t>
  </si>
  <si>
    <t>FN0</t>
  </si>
  <si>
    <t>ฉาบปูนเรียบ</t>
  </si>
  <si>
    <t>2.3.2</t>
  </si>
  <si>
    <t>ทาสีน้ำพลาสติกอะครีลิค - ชนิดทาภายนอก (รวมงานฉาบปูนเรียบผนัง)</t>
  </si>
  <si>
    <t>2.3.3</t>
  </si>
  <si>
    <t>ทาสีน้ำพลาสติกอะครีลิค - ชนิดทาภายใน  (รวมงานฉาบปูนเรียบผนัง)</t>
  </si>
  <si>
    <t>2.3.4</t>
  </si>
  <si>
    <t>ทาสีน้ำมัน   (รวมงานฉาบปูนเรียบผนัง)</t>
  </si>
  <si>
    <t>2.3.5</t>
  </si>
  <si>
    <t>FN4</t>
  </si>
  <si>
    <t>ผนังบุกระเบื้องแกรนิตโต้ ขนาด 12" x 24" ชนิดขอบตัด (เลือกสีภายหลัง)</t>
  </si>
  <si>
    <t>2.3.6</t>
  </si>
  <si>
    <t>FN5</t>
  </si>
  <si>
    <t>ผนังบุกระเบื้องเซรามิค ขนาด 12" x 12" กรุสูงจากพื้น 1.80 ม.(เลือกสีภายหลัง)</t>
  </si>
  <si>
    <t>2.3.7</t>
  </si>
  <si>
    <t>FN6</t>
  </si>
  <si>
    <t>ผนังบุกระเบื้องเซรามิค ขนาด 4" x 4" (เลือกสีภายหลัง)</t>
  </si>
  <si>
    <t>2.3.8</t>
  </si>
  <si>
    <t>FN7</t>
  </si>
  <si>
    <t>2.3.9</t>
  </si>
  <si>
    <t>FN8</t>
  </si>
  <si>
    <t>กระเบื้องเซรามิค ขนาด 8"x8" (เลือกสีภายหลัง) กรุสูงจากพื้นห้อง 1.20 ม.</t>
  </si>
  <si>
    <t>(ร้านค้า ชั้น 2 ส่วน A) ตอนบนทาสีอะครีลิค ชนิดทาภายใน</t>
  </si>
  <si>
    <t>รวมราคา ข้อ 2.3</t>
  </si>
  <si>
    <t xml:space="preserve"> งานวัสดุฝ้าเพดาน</t>
  </si>
  <si>
    <t>2.4.1</t>
  </si>
  <si>
    <t>C0</t>
  </si>
  <si>
    <t>ท้องพื้น ค.ส.ล. แต่งผิวเรียบ</t>
  </si>
  <si>
    <t xml:space="preserve"> ไม่รวมทาสี</t>
  </si>
  <si>
    <t>2.4.2</t>
  </si>
  <si>
    <t>ท้องพื้น ค.ส.ล. แต่งผิวเรียบ ทาสีน้ำพลาสติกอะครีลิค</t>
  </si>
  <si>
    <t>2.4.3</t>
  </si>
  <si>
    <t>โลหะชุบสังกะสั หนา 0.50 มม. / ทาสีอะครีลิค-ชนิดทาภายใน</t>
  </si>
  <si>
    <t>2.4.4</t>
  </si>
  <si>
    <t xml:space="preserve">ยิปซั่มบอร์ด 9 มม. ชนิดทนความชื้นขอบลาด 4 ด้าน ฉาบรอยต่อเรียบ </t>
  </si>
  <si>
    <t>ทาสีอะคริลิค ชนิดทาภายใน  โครงคร่าวเหล็กชุบสังกะสี หนา 0.50 มม.</t>
  </si>
  <si>
    <t>2.4.5</t>
  </si>
  <si>
    <t>ยิปซั่มบอร์ด 12 มม. ชนิดลดเสียงสะท้อน ขอบลาด 4 ด้าน ฉาบรอยต่อเรียบ</t>
  </si>
  <si>
    <t>ทาสีอะคริลิค-ชนิดทาภายใน  โครงคร่าวเหล็กชุบสังกะสี หนา 0.50 มม.</t>
  </si>
  <si>
    <t>2.4.6</t>
  </si>
  <si>
    <t xml:space="preserve">สีน้ำพลาสติกอะคริลิค ทาฝ้าเพดาน ( ชนิดทาภายใน ) </t>
  </si>
  <si>
    <t>2.4.7</t>
  </si>
  <si>
    <t xml:space="preserve">สีน้ำพลาสติกอะคริลิค ทาฝ้าเพดาน ( ชนิดทาภายนอก ) </t>
  </si>
  <si>
    <t>2.4.8</t>
  </si>
  <si>
    <t>ฝ้าเพดานโลหะเคลือบสี "Lysaght" Trimmax Clean Colorbond AZ150,0.42 mm.</t>
  </si>
  <si>
    <t>BMT , GS50 (ฝ้าภายนอก)</t>
  </si>
  <si>
    <t>2.4.9</t>
  </si>
  <si>
    <t>ฉนวนกันความร้อน STAY COOL 150 mm. ตราช้างหรือเทียบเท่า ชนิด Foil</t>
  </si>
  <si>
    <t>รอบตัว ติดตั้งระหว่างช่องแปด้วยลวดตาข่าย Wire Mesh 4 mm. @ 0.20 m.</t>
  </si>
  <si>
    <t>รวมราคา ข้อ 2.4</t>
  </si>
  <si>
    <t xml:space="preserve"> งานวัสดุบัวเชิงผนัง</t>
  </si>
  <si>
    <t>2.5.1</t>
  </si>
  <si>
    <t>บัวยาง สูง 0.10 ม.</t>
  </si>
  <si>
    <t>2.5.2</t>
  </si>
  <si>
    <t>2.5.3</t>
  </si>
  <si>
    <t>รวมราคา ข้อ 2.5</t>
  </si>
  <si>
    <t>หมวดงานประตู และหน้าต่าง</t>
  </si>
  <si>
    <t>2.6.1</t>
  </si>
  <si>
    <t>ประตูบานเลื่อน-คู่ อลูมิเนียมสี 514 พร้อมช่องแสงติดตาย ขนาด 2x(2.40x0.75ม.)</t>
  </si>
  <si>
    <t>ช่องเปิด ขนาด 2x(2.40x0.75ม.)  ลูกฟักกระจกใส หนา 6 มม.</t>
  </si>
  <si>
    <t>2.6.2</t>
  </si>
  <si>
    <t xml:space="preserve">ประตูบานสวิง-คู่ อลูมิเนียมสี 514 ช่องเปิด ขนาด 2x(2.40x0.95ม.) </t>
  </si>
  <si>
    <t>ลูกฟักกระจกใส หนา 6 มม.</t>
  </si>
  <si>
    <t>2.6.3</t>
  </si>
  <si>
    <t xml:space="preserve">ประตูบานสวิง-คู่ อลูมิเนียมสี 514 ช่องเปิด ขนาด 2x(2.20x0.90ม.) </t>
  </si>
  <si>
    <t>2.6.4</t>
  </si>
  <si>
    <t>ประตูบานเปิด-เดี่ยว บานเหล็ก หนา 40 มม. ช่องแสงกระจกใส (0.15x0.75 ม.)</t>
  </si>
  <si>
    <t>บานขนาด (2.00x0.90 ม.) วงกบเหล็ก ขนาก 2"x4" ทำสีพ่นเสร็จจากโรงงาน</t>
  </si>
  <si>
    <t>2.6.5</t>
  </si>
  <si>
    <t xml:space="preserve">ประตูบานเปิด-เดี่ยว บานเหล็ก หนา 40 มม. บานขนาด (2.15x0.90 ม.) </t>
  </si>
  <si>
    <t>วงกบเหล็ก ขนาด 2"x4" ทำสีพ่นเสร็จจากโรงงาน</t>
  </si>
  <si>
    <t>2.6.6</t>
  </si>
  <si>
    <t xml:space="preserve">ประตูบานเปิด-คู่ บานเหล็ก หนา 40 มม. บานขนาด 2x(2.15x0.90 ม.) </t>
  </si>
  <si>
    <t>2.6.7</t>
  </si>
  <si>
    <t>M04</t>
  </si>
  <si>
    <t>ประตูบานเปิด-คู่ บานเหล็ก หนา 40 มม. ช่องแสงกระจกใส (0.15x0.75 ม.)</t>
  </si>
  <si>
    <t>บานขนาด 2x(2.15x0.90 ม.) วงกบเหล็ด ขนาก 2"x4" ทำสีพ่นเสร็จจากโรงงาน</t>
  </si>
  <si>
    <t>2.6.8</t>
  </si>
  <si>
    <t>M05</t>
  </si>
  <si>
    <t xml:space="preserve">ประตูบานเปิด-เดี่ยว บานเหล็ก หนา 40 มม. บานขนาด (0.80x0.70 ม.) </t>
  </si>
  <si>
    <t>2.6.9</t>
  </si>
  <si>
    <t>M05a</t>
  </si>
  <si>
    <t>2.6.10</t>
  </si>
  <si>
    <t>ประตูบานเปิด-เดี่ยว บานไม้อัดยางทนน้ำ บานหนา 35 มม. ทำสีพ่นขาว</t>
  </si>
  <si>
    <t>ขนาด (0.90x2.00 ม.) วงกบอลูมิเนียมสี 514 หนา 2.0 มม.</t>
  </si>
  <si>
    <t>2.6.11</t>
  </si>
  <si>
    <t>ขนาด (0.90x2.15 ม.) วงกบอลูมิเนียมสี 514 หนา 2.0 มม. พร้อมเกล็ดระบายอากาศ</t>
  </si>
  <si>
    <t>2.6.12</t>
  </si>
  <si>
    <t>ประตูบานเลื่อน-เดี่ยว บานไม้อัดยางทนน้ำ บานหนา 35 มม. กรุลามิเนต ปิดขอบ PVC.</t>
  </si>
  <si>
    <t xml:space="preserve">ขนาด (1.10x2.15 ม.) วงกบอลูมิเนียมสี 514 หนา 2.0 มม. </t>
  </si>
  <si>
    <t>2.6.13</t>
  </si>
  <si>
    <t>ประตูบานเปิด-เดี่ยว บานไม้อัดยาง บานหนา 35 มม. กรุลามิเนต+ฉนวนกันเสียงภายใน</t>
  </si>
  <si>
    <t>ขนาด (0.90x2.15 ม.) วงกบอลูมิเนียมสี 514 หนา 2.0 มม./ ช่องมองกระจก</t>
  </si>
  <si>
    <t>2.6.14</t>
  </si>
  <si>
    <t>ประตูบานเปิด-คู่ บานไม้อัดยาง บานหนา 35 มม. กรุลามิเนต+ฉนวนกันเสียงภายใน</t>
  </si>
  <si>
    <t>ขนาด 2x(0.90x2.15 ม.) วงกบอลูมิเนียมสี 514 หนา 2.0 มม./ ช่องมองกระจก</t>
  </si>
  <si>
    <t>2.6.15</t>
  </si>
  <si>
    <t>D01</t>
  </si>
  <si>
    <t>ประตูบานเปิด-คู่ บานไม้อัดยางทนน้ำ บานหนา 35 มม.</t>
  </si>
  <si>
    <t>ขนาด 2x(0.45x1.20 ม.) วงกบอลูมิเนียมสี 514 หนา 2.0 มม.</t>
  </si>
  <si>
    <t>2.6.16</t>
  </si>
  <si>
    <t>D02</t>
  </si>
  <si>
    <t>ขนาด 2x(0.60x1.20 ม.) วงกบอลูมิเนียมสี 514 หนา 2.0 มม.</t>
  </si>
  <si>
    <t>2.6.17</t>
  </si>
  <si>
    <t>D03</t>
  </si>
  <si>
    <t>ประตูบานเปิด-คู่ บานเหล็ก บานหนา 40 มม. ขนาด 2x(0.45x1.20 ม.)</t>
  </si>
  <si>
    <t>2.6.18</t>
  </si>
  <si>
    <t>D04</t>
  </si>
  <si>
    <t>ประตูบานเปิด-คู่ บานเหล็ก บานหนา 40 มม. ขนาด 2x(0.90x1.20 ม.)</t>
  </si>
  <si>
    <t>2.6.19</t>
  </si>
  <si>
    <t>ช่องแสงติดตายขนาด 4x(2.20x1.30 ม.)  + ช่องแสงบนขนาด 4x(0.80x1.30 ม.)</t>
  </si>
  <si>
    <t xml:space="preserve"> + ช่องแสงบนขนาด 1x(0.80x1.80 ม.) อลูมิเนียม 514 สีชาเข้ม หนา 1.8 มม.</t>
  </si>
  <si>
    <t>กระจกเขียวใส หนา 6 มม.</t>
  </si>
  <si>
    <t>2.6.20</t>
  </si>
  <si>
    <t>1a</t>
  </si>
  <si>
    <t>ช่องแสงติดตายขนาด 6x(2.20x1.30 ม.)  + ช่องแสงติดตายขนาด 1x(2.20x0.95 ม.)</t>
  </si>
  <si>
    <t>ช่องแสงติดตายขนาด 1x(2.20x0.70 ม.)  + ช่องแสงบนขนาด 1x(0.80x0.70 ม.)</t>
  </si>
  <si>
    <t xml:space="preserve"> + ช่องแสงบนขนาด 1x(0.80x1.80 ม.) + ช่องแสงบนขนาด 6x(0.80x1.30 ม.)</t>
  </si>
  <si>
    <t xml:space="preserve"> + ช่องแสงบนขนาด 1x(0.80x0.95 ม.) อลูมิเนียม 514 สีชาเข้ม หนา 1.8 มม.</t>
  </si>
  <si>
    <t>2.6.21</t>
  </si>
  <si>
    <t>1b</t>
  </si>
  <si>
    <t>2.6.22</t>
  </si>
  <si>
    <t>1c</t>
  </si>
  <si>
    <t>ช่องแสงติดตายขนาด 2x(2.20x1.30 ม.)  + ช่องแสงบนขนาด 2x(0.80x1.30 ม.)</t>
  </si>
  <si>
    <t xml:space="preserve"> อลูมิเนียม 514 สีชาเข้ม หนา 1.8 มม. กระจกเขียวใส หนา 6 มม.</t>
  </si>
  <si>
    <t>2.6.23</t>
  </si>
  <si>
    <t>ช่องแสงติดตายขนาด ( 2.00x0.90 ม. ) อลูมิเนียม 514 สีชาเข้ม หนา 1.8 มม.</t>
  </si>
  <si>
    <t>2.6.24</t>
  </si>
  <si>
    <t>หน้าต่างบานเลื่อน-คู่+ช่องแสงติดตาย อลูมิเนียม 514 สีชาเข้ม หนา 1.8 มม.</t>
  </si>
  <si>
    <t>กระจกเขียวใส หนา 6 มม. ขนาด 2x(1.40x1.00)+ช่องแสงติดตาย ขนาด2x(1.40x1.00)</t>
  </si>
  <si>
    <t>2.6.25</t>
  </si>
  <si>
    <t>กระจกเขียวใส หนา 6 มม. ขนาด 2x(1.40x0.75)+ช่องแสงติดตาย ขนาด2x(1.40x0.75)</t>
  </si>
  <si>
    <t>2.6.26</t>
  </si>
  <si>
    <t>4a</t>
  </si>
  <si>
    <t>หน้าต่างบานเลื่อน-เดี่ยว + ช่องแสงติดตาย อลูมิเนียม 514 สีชาเข้ม หนา 1.8 มม.</t>
  </si>
  <si>
    <t>กระจกเขียวใส หนา 6 มม. ขนาด (1.40x0.75) + ช่องแสงติดตาย ขนาด (1.40x0.75)</t>
  </si>
  <si>
    <t>2.6.27</t>
  </si>
  <si>
    <t>หน้าต่างบานกระทุ้ง+ช่องแสงติดตาย อลูมิเนียม 514 สีชาเข้ม หนา 1.8 มม.</t>
  </si>
  <si>
    <t>กระจกเขียวใส หนา 6 มม. ขนาด 3x(0.80x0.86)+ช่องแสงติดตาย ขนาด3x(0.65x0.86)</t>
  </si>
  <si>
    <t>2.6.28</t>
  </si>
  <si>
    <t>กระจกเขียวใส หนา 6 มม. ขนาด 2x(0.80x0.87)+ช่องแสงติดตาย ขนาด2x(0.65x0.87)</t>
  </si>
  <si>
    <t>2.6.29</t>
  </si>
  <si>
    <t>หน้าต่างบานกระทุ้ง  อลูมิเนียม 514 สีชาเข้ม หนา 1.8 มม. กระจกเขียวใส หนา 6 มม.</t>
  </si>
  <si>
    <t xml:space="preserve"> ขนาด 5x(0.65x0.86)</t>
  </si>
  <si>
    <t>2.6.30</t>
  </si>
  <si>
    <t xml:space="preserve"> ขนาด 3x(0.65x0.80)</t>
  </si>
  <si>
    <t>2.6.31</t>
  </si>
  <si>
    <t xml:space="preserve"> ขนาด 2x(0.65x0.87)</t>
  </si>
  <si>
    <t>2.6.32</t>
  </si>
  <si>
    <t xml:space="preserve"> ขนาด 4x(0.50x0.86)</t>
  </si>
  <si>
    <t>2.6.33</t>
  </si>
  <si>
    <t xml:space="preserve"> ขนาด 3x(0.50x0.80)</t>
  </si>
  <si>
    <t>2.6.34</t>
  </si>
  <si>
    <t>บล๊อคแก้ว ขนาด 0.40x1.40 ม.</t>
  </si>
  <si>
    <t>คิดรวมในผนังก่อ</t>
  </si>
  <si>
    <t>2.6.35</t>
  </si>
  <si>
    <t>บล๊อคแก้ว ขนาด 0.40x3.40 ม.</t>
  </si>
  <si>
    <t>รวมราคา ข้อ 2.6</t>
  </si>
  <si>
    <t>หมวดงานสุขภัณฑ์พร้อมอุปกรณ์</t>
  </si>
  <si>
    <t>2.7.1</t>
  </si>
  <si>
    <t>ห้องน้ำ T-01, T-02, T-03 (ผู้พิการ), T-04, T-05, T-06, T-07</t>
  </si>
  <si>
    <t>ห้อง</t>
  </si>
  <si>
    <t xml:space="preserve"> COUNTER TOP หินแกรนิต กว้าง 0.60 ม. ยาว 4.25 ม. รวมลูกตั้ง </t>
  </si>
  <si>
    <t xml:space="preserve"> COUNTER TOP หินแกรนิต กว้าง 0.60 ม. ยาว 5.20 ม. รวมลูกตั้ง </t>
  </si>
  <si>
    <t xml:space="preserve"> COUNTER TOP หินแกรนิต กว้าง 0.60 ม. ยาว 3.60 ม. รวมลูกตั้ง </t>
  </si>
  <si>
    <t xml:space="preserve"> COUNTER TOP หินแกรนิต กว้าง 0.60 ม. ยาว 4.50 ม. รวมลูกตั้ง </t>
  </si>
  <si>
    <t xml:space="preserve"> COUNTER TOP หินแกรนิต กว้าง 0.60 ม. ยาว 4.40 ม. รวมลูกตั้ง </t>
  </si>
  <si>
    <t xml:space="preserve"> TOP หินแกรนิต หลังโถสุขภัณฑ์ กว้าง 0.15 ม. ยาว 0.90 ม.  </t>
  </si>
  <si>
    <t xml:space="preserve"> TOP หินสีครีม หลังโถปัสสาวะชาย กว้าง 0.15 ม. ยาว 4.25 ม.  </t>
  </si>
  <si>
    <t xml:space="preserve"> TOP หินสีครีม หลังโถปัสสาวะชาย กว้าง 0.15 ม. ยาว 4.40 ม.  </t>
  </si>
  <si>
    <t xml:space="preserve"> TOP หินสีครีม หลังโถปัสสาวะชาย กว้าง 0.15 ม. ยาว 4.80 ม.  </t>
  </si>
  <si>
    <t xml:space="preserve"> อ่างล้างหน้า แบบฝังใต้เคาน์เตอร์  470LM - WT - 0 </t>
  </si>
  <si>
    <t xml:space="preserve"> อ่างล้างหน้า แบบแขวนผนัง WP-1511 - WT (สำหรับผู้พิการ) </t>
  </si>
  <si>
    <t xml:space="preserve"> ก๊อกอ่างล้างหน้า-กดอัตโนมัติ  A - 2410 </t>
  </si>
  <si>
    <t xml:space="preserve"> ก๊อกอ่างล้างหน้า  A - 0306 - 100  (สำหรับผู้พิการ) </t>
  </si>
  <si>
    <t xml:space="preserve"> สะดืออ่างล้างหน้า  A - 8007 </t>
  </si>
  <si>
    <t xml:space="preserve"> สะดืออ่างล้างหน้า  A - 8016 - A- N  (สำหรับผู้พิการ) </t>
  </si>
  <si>
    <t xml:space="preserve"> ท่อน้ำทิ้งอ่างล้างหน้า  A - 8100 - N </t>
  </si>
  <si>
    <t xml:space="preserve"> STOP VALVE  A - 5601    (สำหรับอ่างล้างหน้า &amp; โถสุขภัณฑ์) </t>
  </si>
  <si>
    <t xml:space="preserve"> สายน้ำดี  A - 800 </t>
  </si>
  <si>
    <t xml:space="preserve"> โถสุขภัณฑ์นั่งราบ ชนิด Flush Valve  No. 2481 / SC - WT - 0 </t>
  </si>
  <si>
    <t xml:space="preserve"> Flush Valve สำหรับโถสุขภัณฑ์  No. A - 5901 - 06N </t>
  </si>
  <si>
    <t xml:space="preserve"> โถสุขภัณฑ์นั่งราบ ชนิด Flush Tank  No. 21465C - WT - 0  (สำหรับผู้พิการ) </t>
  </si>
  <si>
    <t xml:space="preserve"> โถสุขภัณฑ์นั่งยองมีฐาน ชนิด Flush Valve  No. 100FP - WT - 0 </t>
  </si>
  <si>
    <t xml:space="preserve"> Flush Valve สำหรับโถสุขภัณฑ์  No. A - 5902 - 06N </t>
  </si>
  <si>
    <t xml:space="preserve"> โถปัสสาวะชาย  No. 6502 - WT - 0 </t>
  </si>
  <si>
    <t xml:space="preserve"> Flush Valve สำหรับโถปัสสาวะชาย  No. A - 5900 - 01N </t>
  </si>
  <si>
    <t xml:space="preserve"> ขอแขวนผ้า  K-2801-41-N </t>
  </si>
  <si>
    <t xml:space="preserve"> ตะแกรงดักกลิ่น  A-8200 N </t>
  </si>
  <si>
    <t xml:space="preserve"> ก๊อกเตี้ย  A-TJ69-10 </t>
  </si>
  <si>
    <t xml:space="preserve"> ที่ใส่กระดาษชำระ  Kimberly Clark (JRT) 0966500 หรือเทียบเท่า</t>
  </si>
  <si>
    <t xml:space="preserve"> สายฉีดชำระ  A-4700-WT (ไม่รวม Stop Valve) </t>
  </si>
  <si>
    <t xml:space="preserve"> สายฉีดชำระ  A-4700A-CH (รวม Stop Valve) (สำหรับผู้พิการ)</t>
  </si>
  <si>
    <t xml:space="preserve"> ที่ใส่สบู่เหลวพร้อมขวด  VP-WF3184-N</t>
  </si>
  <si>
    <t xml:space="preserve"> กระจกเงา-กรอบแสตนเลส กว้าง 2 ซม.ขนาด ( 0.90 x 0.60 ม.)  (สำหรับผู้พิการ)</t>
  </si>
  <si>
    <t xml:space="preserve"> กระจกเงา-กรอบแสตนเลส กว้าง 2 ซม.ขนาด ( 1.60 x 4.25 ม.) </t>
  </si>
  <si>
    <t xml:space="preserve"> กระจกเงา-กรอบแสตนเลส กว้าง 2 ซม.ขนาด ( 1.60 x 5.20 ม.) </t>
  </si>
  <si>
    <t xml:space="preserve"> กระจกเงา-กรอบแสตนเลส กว้าง 2 ซม.ขนาด ( 1.60 x 4.50 ม.) </t>
  </si>
  <si>
    <t xml:space="preserve"> กระจกเงา-กรอบแสตนเลส กว้าง 2 ซม.ขนาด ( 1.60 x 3.60 ม.) </t>
  </si>
  <si>
    <t xml:space="preserve"> กระจกเงา-กรอบแสตนเลส กว้าง 2 ซม.ขนาด ( 1.60 x 4.40 ม.) </t>
  </si>
  <si>
    <t xml:space="preserve"> ชุดประตูกั้นห้องน้ำสำเร็จรูปพร้อมอุปกรณ์  "WILLY" หรือเทียบเท่า</t>
  </si>
  <si>
    <t xml:space="preserve"> ราวแขวนผ้า TF - 9085</t>
  </si>
  <si>
    <t xml:space="preserve"> ราวทรงตัวผู้พิการ สำหรับอ่างล้างมือ  Ø 32 มม.No.HR-320280-01 </t>
  </si>
  <si>
    <t xml:space="preserve"> ราวทรงตัวผู้พิการ  รูปตัว L ( Left ) Ø 32 มม.No.HR-320540-01L </t>
  </si>
  <si>
    <t xml:space="preserve"> ฝักบัวอาบน้ำก้านแข็ง รุ่น A-650680</t>
  </si>
  <si>
    <t xml:space="preserve"> วาล์ว เปิด-ปิด ฝักบัว / น้ำเย็น ชนิดฝังผนัง รุ่น  A - TJ61 - 10</t>
  </si>
  <si>
    <t xml:space="preserve"> ที่ใส่สบู่แบบฝังผนัง 9000 - WT</t>
  </si>
  <si>
    <t>รวมราคา ข้อ 2.7</t>
  </si>
  <si>
    <t>หมวดงานผิวสำเร็จบันได</t>
  </si>
  <si>
    <t>2.8.1</t>
  </si>
  <si>
    <t xml:space="preserve"> (บันไดหลัก)</t>
  </si>
  <si>
    <t xml:space="preserve"> -</t>
  </si>
  <si>
    <t>พื้นลูกตั้ง-ลูกนอน ผิวขัดมันเรียบ</t>
  </si>
  <si>
    <t>พื้นชานพักบันได ผิวขัดมันเรียบ</t>
  </si>
  <si>
    <t>จมูกบันได เซาะร่องเหลี่ยมกันลื่น 5x5 มม. 2 แนว</t>
  </si>
  <si>
    <t>ราวกันตกบันไดเหล็กกล่อง ขนาด 2"x4" หนา 2.3 มม./ลูกกรงเหล็กกลม</t>
  </si>
  <si>
    <t xml:space="preserve"> ขนาด 1" หนา 2.3 มม ทาสีกันสนิมทับด้วยสีน้ำมัน สีเทา (ตามแบบขยายR1b)</t>
  </si>
  <si>
    <t>2.8.2</t>
  </si>
  <si>
    <t xml:space="preserve">ST-02 </t>
  </si>
  <si>
    <t>(โถงบันได 2)</t>
  </si>
  <si>
    <t>จมูกบันได เซาะร่องเหลี่ยมกันลื่น 5x5 มม. 2 แนว ปาดมุมกว้าง 10 มม.</t>
  </si>
  <si>
    <t>ราวกันตกบันได มือจับ+ลูกกรงเหล็ก สูง 0.90 ม. ทาสีน้ำมัน (ตามแบบขยาย R2a)</t>
  </si>
  <si>
    <t>2.8.3</t>
  </si>
  <si>
    <t xml:space="preserve">ST-03 </t>
  </si>
  <si>
    <t>(โถงบันได 3)</t>
  </si>
  <si>
    <t>2.8.4</t>
  </si>
  <si>
    <t>(โถงบันได 4)</t>
  </si>
  <si>
    <t>2.8.5</t>
  </si>
  <si>
    <t>ราวมือจับเหล็ก สูง 0.90 ม. ทาสีน้ำมัน (ตามแบบขยาย R3)</t>
  </si>
  <si>
    <t>2.8.6</t>
  </si>
  <si>
    <t>2.8.7</t>
  </si>
  <si>
    <t>ST-07</t>
  </si>
  <si>
    <t>(บันไดลิง ปีนเข้า - ออก ถังเก็บน้ำ)</t>
  </si>
  <si>
    <t>บันไดลิงเหล็ก ปีนเข้าถังเก็บน้ำ ราวมือจับกลม 2" + ลูกนอน 1-1/2" สูง 1.8 ม.</t>
  </si>
  <si>
    <t>บันไดลิงแสตนเลส  ปีนออกถังเก็บน้ำ ราวมือจับกลม 2" + ลูกนอน 1-1/2" สูง 2.05 ม.</t>
  </si>
  <si>
    <t>2.8.8</t>
  </si>
  <si>
    <t>RA1</t>
  </si>
  <si>
    <t>(ทางลาดบริเวณสวนหน้าอาคาร)</t>
  </si>
  <si>
    <t>พื้นทางลาด ผิวขัดมันเรียบ ตีเว้นร่อง 1 ซม x 1 ซม. ระยะห่างตามแบบ</t>
  </si>
  <si>
    <t>ผนังกันตก สูง 0.90 ม. ทาสีภายนอก</t>
  </si>
  <si>
    <t>รางระบายน้ำ คสล. ขนาด 0.10 x 0.10 ม.</t>
  </si>
  <si>
    <t>2.8.9</t>
  </si>
  <si>
    <t>RA2</t>
  </si>
  <si>
    <t>(ทางลาดสำหรับผู้พิการ ขึ้น-ลง พื้นที่กิจกรรม - ชั้นลอย)</t>
  </si>
  <si>
    <t xml:space="preserve">พื้นชานพัก ผิวขัดมันเรียบ </t>
  </si>
  <si>
    <t>ผนังกันตก ทาสีภายนอก</t>
  </si>
  <si>
    <t>2.8.10</t>
  </si>
  <si>
    <t>RA3</t>
  </si>
  <si>
    <t>(ทางลาดสำหรับผู้พิการ ขึ้น-ลง อาคาร)</t>
  </si>
  <si>
    <t>รวมราคา ข้อ 2.8</t>
  </si>
  <si>
    <t>2.9.1</t>
  </si>
  <si>
    <t xml:space="preserve">เสาตกแต่งหุ้มอลูมิเนียมคัมโพสิต ไส้กลางชนิด PE. ความหนารวมไม่น้อยกว่า 4 มม. </t>
  </si>
  <si>
    <t>โครงคร่าวเหล็กติดตั้งตามมาตรฐานผู้ผลิต ( MEENABOND / pe. หรือเทียบเท่า)</t>
  </si>
  <si>
    <t>เสาตกแต่ง ด้านข้างอาคาร ขนาด 0.30x0.60 ม.</t>
  </si>
  <si>
    <t>เสาตกแต่ง ด้านข้างอาคาร ขนาด 0.25x0.40 ม.</t>
  </si>
  <si>
    <t>2.9.2</t>
  </si>
  <si>
    <t xml:space="preserve">กันสาดตกแต่งหุ้มอลูมิเนียมคัมโพสิต ไส้กลางชนิด PE ความหนารวมไม่น้อยกว่า 4 มม. </t>
  </si>
  <si>
    <t>2.9.3</t>
  </si>
  <si>
    <t>FLASHING / ครอบข้าง หุ้มอลูมิเนียมคัมโพสิทไส้กลางชนิด PE ความหนารวมไม่น้อยกว่า 4 มม.</t>
  </si>
  <si>
    <t>2.9.4</t>
  </si>
  <si>
    <t>หลังคา METAL SHEET "LYSAGHT" TRIMDEK HI-TEN เคลือบสี หนา 0.565 มม.</t>
  </si>
  <si>
    <t>ใต้แผ่นติดฉนวนกันความร้อน PE.FOEM บุ FOIL 1 ด้าน หนา 10 มม.(หรือเทียบเท่า)</t>
  </si>
  <si>
    <t>2.9.5</t>
  </si>
  <si>
    <t>สีทาลูกศรจราจร</t>
  </si>
  <si>
    <t>อัน</t>
  </si>
  <si>
    <t>2.9.6</t>
  </si>
  <si>
    <t>คันกั้นล้อที่จอดรถ</t>
  </si>
  <si>
    <t>2.9.7</t>
  </si>
  <si>
    <t>สัญลักษณ์ที่จอดรถผู้พิการ</t>
  </si>
  <si>
    <t>2.9.8</t>
  </si>
  <si>
    <t>สีทาพื้นที่จอดรถแสดงพื้นที่ห้ามจอด (ตารางทะแยงมุม)</t>
  </si>
  <si>
    <t>2.9.9</t>
  </si>
  <si>
    <t>สีทาเส้นแบ่งช่องจอดรถยนต์</t>
  </si>
  <si>
    <t>2.9.10</t>
  </si>
  <si>
    <t>ยกขอบ ค.ส.ล. ขนาด 0.10 x 0.10 ม.</t>
  </si>
  <si>
    <t>2.9.11</t>
  </si>
  <si>
    <t>รางระบายน้ำ คสล. กว้าง 30 ซม. ลึก 3 ซม.</t>
  </si>
  <si>
    <t>2.9.12</t>
  </si>
  <si>
    <t>กระจกเงาห้องซ้อมการแสดง</t>
  </si>
  <si>
    <t>รวมค่าแรง</t>
  </si>
  <si>
    <t>2.9.13</t>
  </si>
  <si>
    <t>2.9.14</t>
  </si>
  <si>
    <t>รางระบายน้ำฝน Stainless หนา 1.2 มม. พับขึ้นรูปตามแบบ ขนาด (0.85 x 0.75 ม.)</t>
  </si>
  <si>
    <t>รางระบายน้ำฝน Stainless หนา 1.2 มม. พับขึ้นรูปตามแบบ ขนาด (1.30 x 0.80 ม.)</t>
  </si>
  <si>
    <t>2.9.15</t>
  </si>
  <si>
    <t>เซาะร่องฝั่งเส้น "U" PVC กว้าง 2 ซม. ลึก 1 ซม.</t>
  </si>
  <si>
    <t>2.9.16</t>
  </si>
  <si>
    <t xml:space="preserve"> ผนังตะแกรงลวดตาข่าย ChainLink ขนาดช่อง 2" x 2" # กรอบนอกเหล็ก 2 - L- 40 x 40 x 3.2 มม.</t>
  </si>
  <si>
    <t xml:space="preserve"> + เสาเหล็ก ขนาด [] - 0.10 x 0.10 ม. ระยะห่างตามแบบกำหนด ( ห้อง GAS Station )</t>
  </si>
  <si>
    <t>2.9.17</t>
  </si>
  <si>
    <t>บัว คสล.</t>
  </si>
  <si>
    <t>2.9.18</t>
  </si>
  <si>
    <t>หลังคา SKYLIGHT (รายละเอียดตามแบบ)</t>
  </si>
  <si>
    <t>รวมราคา ข้อ 2.9</t>
  </si>
  <si>
    <t xml:space="preserve">              กลุ่มงานที่ 1.   งานระบบสุขาภิบาลและป้องกันอัคคีภัย</t>
  </si>
  <si>
    <t>ชื่อโครงการ / งานก่อสร้าง  :      อาคารกิจการนักศึกษาและนันทนาการ     ตำบลในเมือง     อำเภอเมือง     จังหวัดนครราชสีมา</t>
  </si>
  <si>
    <t>งานระบบสุขาภิบาล ดับเพลิง และป้องกันอัคคีภัย</t>
  </si>
  <si>
    <t xml:space="preserve">ระบบระบายน้ำฝนและระบายน้ำในอาคาร </t>
  </si>
  <si>
    <t>(Storm Drain &amp; Building Drain System)</t>
  </si>
  <si>
    <t xml:space="preserve">ระบบบำบัดน้ำเสียและระบบ Reuse </t>
  </si>
  <si>
    <t>(Waste Water Treatment &amp; Reuse System)</t>
  </si>
  <si>
    <t>ระบบน้ำประปา (Cold Water Supply System)</t>
  </si>
  <si>
    <t>3.1.1</t>
  </si>
  <si>
    <t>เครื่องสูบน้ำเพิ่มแรงดัน  (Constant Pressure Booster Pump)</t>
  </si>
  <si>
    <t xml:space="preserve">   -   A-1CBP-01</t>
  </si>
  <si>
    <t>3.1.2</t>
  </si>
  <si>
    <t>Flush Water Booster Pump</t>
  </si>
  <si>
    <t xml:space="preserve">   -   A-1FWP-01</t>
  </si>
  <si>
    <t>3.1.3</t>
  </si>
  <si>
    <t>Cold Water Tank</t>
  </si>
  <si>
    <t>3.1.4</t>
  </si>
  <si>
    <t>ท่อเหล็กอาบสังกะสี (ERW Galvanized Steel Pipe ASTM A-53 Grade A</t>
  </si>
  <si>
    <t>Schedule 40 w/ PE Lining) ท่อเมน</t>
  </si>
  <si>
    <r>
      <t xml:space="preserve">   -   65  มม. </t>
    </r>
    <r>
      <rPr>
        <sz val="11"/>
        <rFont val="Symbol"/>
        <family val="1"/>
        <charset val="2"/>
      </rPr>
      <t>Æ</t>
    </r>
  </si>
  <si>
    <t>เมตร</t>
  </si>
  <si>
    <r>
      <t xml:space="preserve">   -   80  มม. </t>
    </r>
    <r>
      <rPr>
        <sz val="11"/>
        <rFont val="Symbol"/>
        <family val="1"/>
        <charset val="2"/>
      </rPr>
      <t>Æ</t>
    </r>
  </si>
  <si>
    <r>
      <t xml:space="preserve">   -   100  มม. </t>
    </r>
    <r>
      <rPr>
        <sz val="11"/>
        <rFont val="Symbol"/>
        <family val="1"/>
        <charset val="2"/>
      </rPr>
      <t>Æ</t>
    </r>
  </si>
  <si>
    <t>เหมา</t>
  </si>
  <si>
    <t xml:space="preserve">   -  Fitting, Hanger &amp; Support, ค่าทดสอบและทาสีท่อ</t>
  </si>
  <si>
    <t>3.1.5</t>
  </si>
  <si>
    <t>ท่อพีวีซีชั้น 13.5 (PVC Pipe Class 13.5)</t>
  </si>
  <si>
    <r>
      <t xml:space="preserve">   -   15  มม. </t>
    </r>
    <r>
      <rPr>
        <sz val="11"/>
        <rFont val="Symbol"/>
        <family val="1"/>
        <charset val="2"/>
      </rPr>
      <t xml:space="preserve">Æ </t>
    </r>
  </si>
  <si>
    <r>
      <t xml:space="preserve">   -   20  มม. </t>
    </r>
    <r>
      <rPr>
        <sz val="11"/>
        <rFont val="Symbol"/>
        <family val="1"/>
        <charset val="2"/>
      </rPr>
      <t xml:space="preserve">Æ </t>
    </r>
  </si>
  <si>
    <r>
      <t xml:space="preserve">   -   25  มม. </t>
    </r>
    <r>
      <rPr>
        <sz val="11"/>
        <rFont val="Symbol"/>
        <family val="1"/>
        <charset val="2"/>
      </rPr>
      <t xml:space="preserve">Æ </t>
    </r>
  </si>
  <si>
    <r>
      <t xml:space="preserve">   -   40  มม. </t>
    </r>
    <r>
      <rPr>
        <sz val="11"/>
        <rFont val="Symbol"/>
        <family val="1"/>
        <charset val="2"/>
      </rPr>
      <t xml:space="preserve">Æ </t>
    </r>
  </si>
  <si>
    <r>
      <t xml:space="preserve">   -   50  มม. </t>
    </r>
    <r>
      <rPr>
        <sz val="11"/>
        <rFont val="Symbol"/>
        <family val="1"/>
        <charset val="2"/>
      </rPr>
      <t xml:space="preserve">Æ </t>
    </r>
  </si>
  <si>
    <r>
      <t xml:space="preserve">   -   65  มม. </t>
    </r>
    <r>
      <rPr>
        <sz val="11"/>
        <rFont val="Symbol"/>
        <family val="1"/>
        <charset val="2"/>
      </rPr>
      <t xml:space="preserve">Æ </t>
    </r>
  </si>
  <si>
    <r>
      <t xml:space="preserve">   -   80  มม. </t>
    </r>
    <r>
      <rPr>
        <sz val="11"/>
        <rFont val="Symbol"/>
        <family val="1"/>
        <charset val="2"/>
      </rPr>
      <t xml:space="preserve">Æ </t>
    </r>
  </si>
  <si>
    <t>3.1.6</t>
  </si>
  <si>
    <t>Gate Valve  150 PSI WOG</t>
  </si>
  <si>
    <r>
      <t xml:space="preserve">   -   100  มม. </t>
    </r>
    <r>
      <rPr>
        <sz val="11"/>
        <rFont val="Symbol"/>
        <family val="1"/>
        <charset val="2"/>
      </rPr>
      <t xml:space="preserve">Æ </t>
    </r>
  </si>
  <si>
    <t>3.1.7</t>
  </si>
  <si>
    <t>Strainer  150 PSI WOG</t>
  </si>
  <si>
    <t>3.1.8</t>
  </si>
  <si>
    <t>Water Meter</t>
  </si>
  <si>
    <t>3.1.9</t>
  </si>
  <si>
    <t>Automatic Air Vent</t>
  </si>
  <si>
    <t>3.1.10</t>
  </si>
  <si>
    <r>
      <t xml:space="preserve">Stop Valve   15  มม. </t>
    </r>
    <r>
      <rPr>
        <sz val="10"/>
        <rFont val="Symbol"/>
        <family val="1"/>
        <charset val="2"/>
      </rPr>
      <t>Æ</t>
    </r>
  </si>
  <si>
    <t>3.1.11</t>
  </si>
  <si>
    <t>สายอ่อนเข้าเครื่องสุขภัณฑ์ (Flexible Hose)</t>
  </si>
  <si>
    <t>3.1.12</t>
  </si>
  <si>
    <t>สายอ่อนชำระ (Rinsing Spray)</t>
  </si>
  <si>
    <t>3.1.13</t>
  </si>
  <si>
    <t>ก๊อกสนาม (Hose Bibb)</t>
  </si>
  <si>
    <t>3.1.14</t>
  </si>
  <si>
    <t>อุปกรณ์ลดแรงสั่นสะเทือน (Vibration Isolator)</t>
  </si>
  <si>
    <t>3.1.15</t>
  </si>
  <si>
    <t>ฐานแท่นคอนกรีต (Concrete Foundation)</t>
  </si>
  <si>
    <t>งานอื่นๆ (ถ้ามีให้ระบุรายละเอียด)</t>
  </si>
  <si>
    <t>รวมราคารายการที่ 3.1</t>
  </si>
  <si>
    <t>ระบบระบายน้ำโสโครก น้ำทิ้ง ระบายอากาศและท่อน้ำทิ้งจากห้องครัว</t>
  </si>
  <si>
    <t>3.2.1</t>
  </si>
  <si>
    <r>
      <t xml:space="preserve">   -   150  มม. </t>
    </r>
    <r>
      <rPr>
        <sz val="11"/>
        <rFont val="Symbol"/>
        <family val="1"/>
        <charset val="2"/>
      </rPr>
      <t xml:space="preserve">Æ </t>
    </r>
  </si>
  <si>
    <t>3.2.2</t>
  </si>
  <si>
    <t>ท่อพีวีซีชั้น 8.5 (PVC Pipe Class 8.5)</t>
  </si>
  <si>
    <r>
      <t xml:space="preserve">   -   32  มม. </t>
    </r>
    <r>
      <rPr>
        <sz val="11"/>
        <rFont val="Symbol"/>
        <family val="1"/>
        <charset val="2"/>
      </rPr>
      <t xml:space="preserve">Æ </t>
    </r>
  </si>
  <si>
    <t>3.2.3</t>
  </si>
  <si>
    <t>ท่อพีพี (PP Pipe Class B)</t>
  </si>
  <si>
    <t>3.2.4</t>
  </si>
  <si>
    <t>ช่องสำหรับทำความสะอาดท่อ (Cleanout)</t>
  </si>
  <si>
    <t>รวมราคารายการที่ 3.2</t>
  </si>
  <si>
    <t>3.3</t>
  </si>
  <si>
    <t>3.3.1</t>
  </si>
  <si>
    <t>เครื่องสูบระบายน้ำ (Drainage Pump)</t>
  </si>
  <si>
    <t xml:space="preserve">   -   A-1DNP-01, 02</t>
  </si>
  <si>
    <t>3.3.2</t>
  </si>
  <si>
    <r>
      <t xml:space="preserve">   -   200  มม. </t>
    </r>
    <r>
      <rPr>
        <sz val="11"/>
        <rFont val="Symbol"/>
        <family val="1"/>
        <charset val="2"/>
      </rPr>
      <t xml:space="preserve">Æ </t>
    </r>
  </si>
  <si>
    <t>3.3.3</t>
  </si>
  <si>
    <t>ท่อ RCP Pipe ชั้น 3 (RCP Pipe Class 3)</t>
  </si>
  <si>
    <r>
      <t xml:space="preserve">   -   400  มม. </t>
    </r>
    <r>
      <rPr>
        <sz val="11"/>
        <rFont val="Symbol"/>
        <family val="1"/>
        <charset val="2"/>
      </rPr>
      <t xml:space="preserve">Æ </t>
    </r>
  </si>
  <si>
    <r>
      <t xml:space="preserve">   -   600  มม. </t>
    </r>
    <r>
      <rPr>
        <sz val="11"/>
        <rFont val="Symbol"/>
        <family val="1"/>
        <charset val="2"/>
      </rPr>
      <t xml:space="preserve">Æ </t>
    </r>
  </si>
  <si>
    <r>
      <t xml:space="preserve">   -   800  มม. </t>
    </r>
    <r>
      <rPr>
        <sz val="11"/>
        <rFont val="Symbol"/>
        <family val="1"/>
        <charset val="2"/>
      </rPr>
      <t xml:space="preserve">Æ </t>
    </r>
  </si>
  <si>
    <t xml:space="preserve">   -  Fitting, Hanger &amp; Support</t>
  </si>
  <si>
    <t>3.3.4</t>
  </si>
  <si>
    <t>ช่องระบายน้ำฝน (Roof Drain)</t>
  </si>
  <si>
    <t>3.3.5</t>
  </si>
  <si>
    <t>ช่องระบายน้ำจากพื้น (Floor Drain)</t>
  </si>
  <si>
    <t>3.3.6</t>
  </si>
  <si>
    <t>Gate Valve 150 PSI WOG</t>
  </si>
  <si>
    <t>3.3.7</t>
  </si>
  <si>
    <t>Check Valve, Swing Type  150 PSI WOG</t>
  </si>
  <si>
    <t>3.3.8</t>
  </si>
  <si>
    <t>Flexible Pipe Connector 150 PSI WOG</t>
  </si>
  <si>
    <t>3.3.9</t>
  </si>
  <si>
    <t>บ่อพักระบายน้ำพร้อมฝา</t>
  </si>
  <si>
    <t>3.3.10</t>
  </si>
  <si>
    <t>บ่อตรวจระบายน้ำพร้อมตะแกงดักขยะ</t>
  </si>
  <si>
    <t>รวมราคารายการที่ 3.3</t>
  </si>
  <si>
    <t>3.4</t>
  </si>
  <si>
    <t>ระบบแก๊สหุงต้ม (Gas System)</t>
  </si>
  <si>
    <t>3.4.1</t>
  </si>
  <si>
    <t>ระบบท่อและอุปกรณ์ประกอบท่อภายในสถานีก๊าซ (จำนวน 20 ถัง)</t>
  </si>
  <si>
    <t>3.4.2</t>
  </si>
  <si>
    <t>ระบบเครื่องช่วยระเหยก๊าซและงาน Wiring ระบบไฟฟ้า</t>
  </si>
  <si>
    <t>3.4.3</t>
  </si>
  <si>
    <t>ระบบอุปกรณ์สำหรับความปลอดภัย ภายในสถานีก๊าซ</t>
  </si>
  <si>
    <t>3.4.4</t>
  </si>
  <si>
    <t>ระบบอุปกรณ์และระบบท่อเมนจ่ายก๊าซ</t>
  </si>
  <si>
    <t>3.4.5</t>
  </si>
  <si>
    <t xml:space="preserve">ระบบอุปรณ์สำหรับชุด Gas Meter </t>
  </si>
  <si>
    <t>3.4.6</t>
  </si>
  <si>
    <t xml:space="preserve">ระบบ Gas Detector </t>
  </si>
  <si>
    <t>3.4.7</t>
  </si>
  <si>
    <t>ระบบตู้ Graphic Annunciator Board</t>
  </si>
  <si>
    <t>3.4.8</t>
  </si>
  <si>
    <t>ค่าดำเนินการติดตั้ง</t>
  </si>
  <si>
    <t>3.4.9</t>
  </si>
  <si>
    <t>รายการงานยื่นขออนุญาตเป็นสถานีก๊าซจากกรมธุรกิจพลังงาน</t>
  </si>
  <si>
    <t>รวมราคารายการที่ 3.4</t>
  </si>
  <si>
    <t>3.5</t>
  </si>
  <si>
    <t>ระบบบำบัดน้ำเสีย (Waste Water Treatment  System)</t>
  </si>
  <si>
    <t>3.5.1</t>
  </si>
  <si>
    <t>Flush Water Tank (Resuse Inline)</t>
  </si>
  <si>
    <t xml:space="preserve">   -   A-1FWT-01</t>
  </si>
  <si>
    <t>3.5.2</t>
  </si>
  <si>
    <t xml:space="preserve">ถังดักไขมัน </t>
  </si>
  <si>
    <t xml:space="preserve">   -   A-1GT-01 (54 Cu.M)</t>
  </si>
  <si>
    <t>3.5.3</t>
  </si>
  <si>
    <t xml:space="preserve">ถังบำบัดน้ำเสีย </t>
  </si>
  <si>
    <t xml:space="preserve">   -   A-1WWT-01 (64 Cu.M)</t>
  </si>
  <si>
    <t xml:space="preserve">   -   A-1WWT-02 (42 Cu.M)</t>
  </si>
  <si>
    <t>รวมราคารายการที่ 3.5</t>
  </si>
  <si>
    <t>3.6</t>
  </si>
  <si>
    <t>ระบบไฟฟ้าและควบคุม (Electrical &amp; Control System)</t>
  </si>
  <si>
    <t>3.6.1</t>
  </si>
  <si>
    <t>Panel Board No.</t>
  </si>
  <si>
    <t>3.6.1.1</t>
  </si>
  <si>
    <t>A-1ESP5</t>
  </si>
  <si>
    <r>
      <t xml:space="preserve">CB, IC </t>
    </r>
    <r>
      <rPr>
        <sz val="16"/>
        <rFont val="Arial"/>
        <family val="2"/>
      </rPr>
      <t>≥</t>
    </r>
    <r>
      <rPr>
        <sz val="16"/>
        <rFont val="Cordia New"/>
        <family val="2"/>
      </rPr>
      <t xml:space="preserve"> 25KA</t>
    </r>
  </si>
  <si>
    <t xml:space="preserve">   - 3P   80A</t>
  </si>
  <si>
    <t>อุปกรณ์เครื่องวัด (Metering)</t>
  </si>
  <si>
    <t xml:space="preserve">   - CT  150/5A</t>
  </si>
  <si>
    <t xml:space="preserve">   - แอมมิเตอร์ (Ammeter)</t>
  </si>
  <si>
    <t xml:space="preserve">   - โวลท์มิเตอร์ (Voltmeter)</t>
  </si>
  <si>
    <t xml:space="preserve">   - Pilot Lamp</t>
  </si>
  <si>
    <t xml:space="preserve">   - ฟิวส์ควบคุม (Control Fuse)</t>
  </si>
  <si>
    <t>Y- A</t>
  </si>
  <si>
    <t xml:space="preserve">   - 22KW</t>
  </si>
  <si>
    <t>ตู้ไฟฟ้าและอุปกรณ์ประกอบ (Cubicle w/ Busbar &amp; Acc.)</t>
  </si>
  <si>
    <t>3.6.1.2</t>
  </si>
  <si>
    <t>A-1ESP4</t>
  </si>
  <si>
    <t xml:space="preserve">   - 3P   15A</t>
  </si>
  <si>
    <t xml:space="preserve">   - CT  100/5A</t>
  </si>
  <si>
    <t>D.O.L Starter</t>
  </si>
  <si>
    <t xml:space="preserve">   - 3 KW</t>
  </si>
  <si>
    <t>Cubicle Size 600 x 900 x 200 w/</t>
  </si>
  <si>
    <t>3.6.1.3</t>
  </si>
  <si>
    <t>A-1SCB1</t>
  </si>
  <si>
    <t xml:space="preserve">   - 3P   50A</t>
  </si>
  <si>
    <t xml:space="preserve">   - 11 KW</t>
  </si>
  <si>
    <t>6.1.1.4</t>
  </si>
  <si>
    <t>A-1ECB3</t>
  </si>
  <si>
    <t xml:space="preserve">   - 3P   30A</t>
  </si>
  <si>
    <t xml:space="preserve">   - 5.5 KW</t>
  </si>
  <si>
    <t>6.1.1.5</t>
  </si>
  <si>
    <t>A-1SP1</t>
  </si>
  <si>
    <t xml:space="preserve">   - CT  80/5A</t>
  </si>
  <si>
    <t xml:space="preserve">   - 1.1 KW</t>
  </si>
  <si>
    <t xml:space="preserve">   - 11KW</t>
  </si>
  <si>
    <t>3.6.2</t>
  </si>
  <si>
    <t>สายไฟฟ้าชนิด IEC 01</t>
  </si>
  <si>
    <t xml:space="preserve">   -    2.5 มม²</t>
  </si>
  <si>
    <t xml:space="preserve">   -    4   มม²</t>
  </si>
  <si>
    <t xml:space="preserve">   -    6   มม²</t>
  </si>
  <si>
    <t xml:space="preserve">   -    10   มม²</t>
  </si>
  <si>
    <t xml:space="preserve">   -    16   มม²</t>
  </si>
  <si>
    <t>3.6.3</t>
  </si>
  <si>
    <t>ท่อร้อยสายไฟฟ้าชนิด IMC (IMC Conduit)</t>
  </si>
  <si>
    <t>รวมราคารายการที่ 3.6</t>
  </si>
  <si>
    <t>ระบบดับเพลิง และป้องกันอัคคีภัย</t>
  </si>
  <si>
    <t>3.7.1</t>
  </si>
  <si>
    <t>ท่อเหล็กดำ Sch.40 A53, GR.A มีตะเข็บ (Black Steel Pipe Sch.40, A53 GR.B, Seamed)</t>
  </si>
  <si>
    <t>3.7.2</t>
  </si>
  <si>
    <t>วาล์วและอุปกรณ์ (Valve &amp; Pipe Accessories)</t>
  </si>
  <si>
    <t>3.7.2.2</t>
  </si>
  <si>
    <t>Butterfly Valve  175 PSI</t>
  </si>
  <si>
    <t>3.7.2.3</t>
  </si>
  <si>
    <t>Check Valve, Swing Type  175 PSI</t>
  </si>
  <si>
    <t>3.7.2.4</t>
  </si>
  <si>
    <t xml:space="preserve">Automatic Air Vent </t>
  </si>
  <si>
    <t>3.7.2.5</t>
  </si>
  <si>
    <t>Fire Department Connection</t>
  </si>
  <si>
    <r>
      <t xml:space="preserve">   -  65 มม.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x 65 มม.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x 100 มม. </t>
    </r>
    <r>
      <rPr>
        <sz val="10"/>
        <rFont val="Symbol"/>
        <family val="1"/>
        <charset val="2"/>
      </rPr>
      <t>Æ</t>
    </r>
  </si>
  <si>
    <t>3.7.3</t>
  </si>
  <si>
    <t xml:space="preserve">ตู้ดับเพลิงและถังดับเพลิงชนิดมือถือ </t>
  </si>
  <si>
    <t>3.7.3.1</t>
  </si>
  <si>
    <t>Fire Hose Cabinet</t>
  </si>
  <si>
    <t xml:space="preserve">   - Recess Type Cabinet</t>
  </si>
  <si>
    <t xml:space="preserve">   - Dry Chemical Portable Fire Extinguisher  @ 4.5 kg.</t>
  </si>
  <si>
    <r>
      <t xml:space="preserve">   - 25 mm </t>
    </r>
    <r>
      <rPr>
        <sz val="10"/>
        <rFont val="Symbol"/>
        <family val="1"/>
        <charset val="2"/>
      </rPr>
      <t>Æ</t>
    </r>
    <r>
      <rPr>
        <sz val="10"/>
        <rFont val="Cordia New"/>
        <family val="2"/>
      </rPr>
      <t xml:space="preserve"> </t>
    </r>
    <r>
      <rPr>
        <sz val="16"/>
        <rFont val="Cordia New"/>
        <family val="2"/>
      </rPr>
      <t>x 30 m  Automatic Hose &amp; Reel</t>
    </r>
  </si>
  <si>
    <r>
      <t xml:space="preserve">   - 65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x 30 m  Hose &amp; Reel</t>
    </r>
  </si>
  <si>
    <r>
      <t xml:space="preserve">   - 65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 Angle Hose Valve</t>
    </r>
  </si>
  <si>
    <r>
      <t xml:space="preserve">   - 65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 Coupling Adaptor w/Cap &amp; Chain</t>
    </r>
  </si>
  <si>
    <r>
      <t xml:space="preserve">   - 65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 Jet/Spray Nozzle</t>
    </r>
  </si>
  <si>
    <r>
      <t xml:space="preserve">   - 25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 Jet/Spray Nozzle</t>
    </r>
  </si>
  <si>
    <r>
      <t xml:space="preserve">   - 25 mm </t>
    </r>
    <r>
      <rPr>
        <sz val="10"/>
        <rFont val="Symbol"/>
        <family val="1"/>
        <charset val="2"/>
      </rPr>
      <t>Æ</t>
    </r>
    <r>
      <rPr>
        <sz val="16"/>
        <rFont val="Cordia New"/>
        <family val="2"/>
      </rPr>
      <t xml:space="preserve">  Ball Valve</t>
    </r>
  </si>
  <si>
    <t>3.7.3.2</t>
  </si>
  <si>
    <t>Fire Extinguisher Cabinet</t>
  </si>
  <si>
    <t>รวมราคารายการที่ 3.7</t>
  </si>
  <si>
    <t>3.8</t>
  </si>
  <si>
    <t>ระบบป้องกันไฟและควันลาม (Fire Barrier System)</t>
  </si>
  <si>
    <t>รวมราคารายการที่ 3.8</t>
  </si>
  <si>
    <t xml:space="preserve">              กลุ่มงานที่ 1.  หมวดงานระบบไฟฟ้า และสื่อสาร</t>
  </si>
  <si>
    <t>ชื่อโครงการ / งานก่อสร้าง  :      อาคารกิจการนักศึกษาและนันทนาการ    ตำบลในเมือง     อำเภอเมือง     จังหวัดนครราชสีมา</t>
  </si>
  <si>
    <t>หมวดงานระบบไฟฟ้า และสื่อสาร</t>
  </si>
  <si>
    <t>Main Incoming &amp; HV Routing</t>
  </si>
  <si>
    <t>4.1.1</t>
  </si>
  <si>
    <t>25KV SAC Cable</t>
  </si>
  <si>
    <t xml:space="preserve"> - </t>
  </si>
  <si>
    <t>35   mm²</t>
  </si>
  <si>
    <t>4.1.2</t>
  </si>
  <si>
    <t>HV Cable Terminator (Indoor)</t>
  </si>
  <si>
    <t>4.1.3</t>
  </si>
  <si>
    <t>Drop-Out Fuse w/Fuselink</t>
  </si>
  <si>
    <t>100A  At 15 kV.</t>
  </si>
  <si>
    <t>4.1.4</t>
  </si>
  <si>
    <t>Lightning arrester (High Voltage)</t>
  </si>
  <si>
    <t>21 kV , 5 kA  At 24 kV.</t>
  </si>
  <si>
    <t>4.1.5</t>
  </si>
  <si>
    <t>12-m Concrete Riser Pole</t>
  </si>
  <si>
    <t>4.1.5.1</t>
  </si>
  <si>
    <t>ลูกถ้วย Suspention Type</t>
  </si>
  <si>
    <t>4.1.5.2</t>
  </si>
  <si>
    <t>Line Post Type</t>
  </si>
  <si>
    <t>4.1.5.3</t>
  </si>
  <si>
    <t>Race</t>
  </si>
  <si>
    <t>4.1.5.4</t>
  </si>
  <si>
    <t>Guy Wire</t>
  </si>
  <si>
    <t>4.1.5.5</t>
  </si>
  <si>
    <t>ลูกถ้วยแรค</t>
  </si>
  <si>
    <t>4.1.5.6</t>
  </si>
  <si>
    <t>Bolt Wire, Wire,Conduit &amp; Accessories</t>
  </si>
  <si>
    <t>รวมราคารายการที่ 4.1</t>
  </si>
  <si>
    <t>4.2</t>
  </si>
  <si>
    <t>Transformer</t>
  </si>
  <si>
    <t>4.2.1</t>
  </si>
  <si>
    <t>Oil Immersed 800 KVA w/ Enclosure  &amp; Acc.</t>
  </si>
  <si>
    <t>4.2.2</t>
  </si>
  <si>
    <t>12-m Concrete Riser Pole w/ Accessories</t>
  </si>
  <si>
    <t>รวมราคารายการที่ 4.2</t>
  </si>
  <si>
    <t>4.3</t>
  </si>
  <si>
    <t>เครื่องกำเนิดไฟฟ้าสำรอง (Standby Generator Set)</t>
  </si>
  <si>
    <t>4.3.1</t>
  </si>
  <si>
    <t>Generator Stand By Rating</t>
  </si>
  <si>
    <t xml:space="preserve">   - 200 kVa</t>
  </si>
  <si>
    <t>4.3.2</t>
  </si>
  <si>
    <t>Day Tank &amp; Accessories</t>
  </si>
  <si>
    <t>4.3.3</t>
  </si>
  <si>
    <t>Air Intake Louver, Gravity Shutter, Sound Attenuator,</t>
  </si>
  <si>
    <t>4.3.4</t>
  </si>
  <si>
    <t>Generator Control Panel</t>
  </si>
  <si>
    <t>4.3.4.1</t>
  </si>
  <si>
    <r>
      <t xml:space="preserve">CB, IC </t>
    </r>
    <r>
      <rPr>
        <sz val="16"/>
        <rFont val="Arial"/>
        <family val="2"/>
      </rPr>
      <t>≥</t>
    </r>
    <r>
      <rPr>
        <sz val="16"/>
        <rFont val="Cordia New"/>
        <family val="2"/>
      </rPr>
      <t xml:space="preserve"> 40 KA</t>
    </r>
  </si>
  <si>
    <t xml:space="preserve">   - MCCB 3P.400A</t>
  </si>
  <si>
    <t>4.3.5</t>
  </si>
  <si>
    <t>4.3.6</t>
  </si>
  <si>
    <t xml:space="preserve">Concrete Foundation </t>
  </si>
  <si>
    <t>รวมราคารายการที่ 4.3</t>
  </si>
  <si>
    <t>4.4</t>
  </si>
  <si>
    <t>แผงเมนไฟฟ้าปกติ (Main Distribution Board)</t>
  </si>
  <si>
    <t>4.4.1</t>
  </si>
  <si>
    <t>MDB 1</t>
  </si>
  <si>
    <t>4.4.1.1</t>
  </si>
  <si>
    <r>
      <t xml:space="preserve">CB, IC </t>
    </r>
    <r>
      <rPr>
        <sz val="9"/>
        <rFont val="Symbol"/>
        <family val="1"/>
        <charset val="2"/>
      </rPr>
      <t>ณ</t>
    </r>
    <r>
      <rPr>
        <sz val="14"/>
        <rFont val="BrowalliaUPC"/>
        <family val="2"/>
        <charset val="222"/>
      </rPr>
      <t xml:space="preserve"> 50 KA</t>
    </r>
  </si>
  <si>
    <t>3P   150A</t>
  </si>
  <si>
    <t>3P   200A</t>
  </si>
  <si>
    <t>3P   400A</t>
  </si>
  <si>
    <t>3P   800A</t>
  </si>
  <si>
    <t>ACB 4P  1250A</t>
  </si>
  <si>
    <t>4.4.1.2</t>
  </si>
  <si>
    <t>CT  1500/5A</t>
  </si>
  <si>
    <t>Pilot Lamp</t>
  </si>
  <si>
    <t>Control Fuse</t>
  </si>
  <si>
    <t>HRC Fuse</t>
  </si>
  <si>
    <t>Digital Mater</t>
  </si>
  <si>
    <t>Surge Arrester (Class B+C)</t>
  </si>
  <si>
    <t>4.4.1.3</t>
  </si>
  <si>
    <t>ตู้ไฟฟ้าและอุปกรณ์ประกอบ</t>
  </si>
  <si>
    <t>4.4.1.4</t>
  </si>
  <si>
    <t>4.4.1.5</t>
  </si>
  <si>
    <t>คาปาซิเตอร์ (Capacitor bank)</t>
  </si>
  <si>
    <t>60 KVAR Capacitor</t>
  </si>
  <si>
    <t>60A Contactor</t>
  </si>
  <si>
    <t>80A Fuse</t>
  </si>
  <si>
    <t>KVAR Controller</t>
  </si>
  <si>
    <t>Reactance 6%</t>
  </si>
  <si>
    <t>รวมราคารายการที่ 4.4</t>
  </si>
  <si>
    <t>4.5</t>
  </si>
  <si>
    <t>แผงเมนไฟฟ้าฉุกเฉิน (Main Essential Distribution Board)</t>
  </si>
  <si>
    <t>4.5.1</t>
  </si>
  <si>
    <t>MDB</t>
  </si>
  <si>
    <t>4.5.1.1</t>
  </si>
  <si>
    <t>3P   50A</t>
  </si>
  <si>
    <t>3P   80A</t>
  </si>
  <si>
    <t>3P   225A</t>
  </si>
  <si>
    <t>ATS</t>
  </si>
  <si>
    <t xml:space="preserve">   - 4P.400A</t>
  </si>
  <si>
    <t>4.5.1.2</t>
  </si>
  <si>
    <t>CT  400/5A</t>
  </si>
  <si>
    <t>Surge Arrester (Class C)</t>
  </si>
  <si>
    <t>4.5.1.3</t>
  </si>
  <si>
    <t>4.5.1.4</t>
  </si>
  <si>
    <t>รวมราคารายการที่ 4.5</t>
  </si>
  <si>
    <t>4.6</t>
  </si>
  <si>
    <t>Distribution Board</t>
  </si>
  <si>
    <t>4.6.1</t>
  </si>
  <si>
    <t>A-1DB1</t>
  </si>
  <si>
    <t>4.6.1.1</t>
  </si>
  <si>
    <r>
      <t xml:space="preserve">CB, IC </t>
    </r>
    <r>
      <rPr>
        <sz val="9"/>
        <rFont val="Symbol"/>
        <family val="1"/>
        <charset val="2"/>
      </rPr>
      <t>ณ</t>
    </r>
    <r>
      <rPr>
        <sz val="14"/>
        <rFont val="BrowalliaUPC"/>
        <family val="2"/>
        <charset val="222"/>
      </rPr>
      <t xml:space="preserve"> 25 KA</t>
    </r>
  </si>
  <si>
    <t>3P   30A</t>
  </si>
  <si>
    <t>3P   100A</t>
  </si>
  <si>
    <t>3P   125A</t>
  </si>
  <si>
    <t>4.6.1.2</t>
  </si>
  <si>
    <t xml:space="preserve"> Ammeter</t>
  </si>
  <si>
    <t xml:space="preserve"> Amp Selector Switch</t>
  </si>
  <si>
    <t>Voltmeter</t>
  </si>
  <si>
    <t>Volt Selector Switch</t>
  </si>
  <si>
    <t>4.6.1.3</t>
  </si>
  <si>
    <t>4.6.2</t>
  </si>
  <si>
    <t>A-2DB1</t>
  </si>
  <si>
    <t>4.6.2.1</t>
  </si>
  <si>
    <t>1P   20A</t>
  </si>
  <si>
    <t>4.6.2.2</t>
  </si>
  <si>
    <t>CT  200/5A</t>
  </si>
  <si>
    <t>4.6.2.3</t>
  </si>
  <si>
    <t>4.6.3</t>
  </si>
  <si>
    <t>A-2DB2</t>
  </si>
  <si>
    <t>4.6.3.1</t>
  </si>
  <si>
    <t>3P   60A</t>
  </si>
  <si>
    <t>4.6.3.2</t>
  </si>
  <si>
    <t>4.6.3.3</t>
  </si>
  <si>
    <t>4.6.4</t>
  </si>
  <si>
    <t>A-3DB1</t>
  </si>
  <si>
    <t>4.6.4.1</t>
  </si>
  <si>
    <t>4.6.4.2</t>
  </si>
  <si>
    <t>4.6.4.3</t>
  </si>
  <si>
    <t>รวมราคารายการที่ 4.6</t>
  </si>
  <si>
    <t>4.7</t>
  </si>
  <si>
    <t>Essential Distribution Board</t>
  </si>
  <si>
    <t>4.7.1</t>
  </si>
  <si>
    <t>A-1EDB1</t>
  </si>
  <si>
    <t>4.7.1.1</t>
  </si>
  <si>
    <t>3P   40A</t>
  </si>
  <si>
    <t>3P  150A</t>
  </si>
  <si>
    <t>3P  400A</t>
  </si>
  <si>
    <t>4.7.1.2</t>
  </si>
  <si>
    <t>4.7.1.3</t>
  </si>
  <si>
    <t>4.7.2</t>
  </si>
  <si>
    <t>A-3EDB1</t>
  </si>
  <si>
    <t>4.7.2.1</t>
  </si>
  <si>
    <t>3P   20A</t>
  </si>
  <si>
    <t>3P  80A</t>
  </si>
  <si>
    <t>4.7.2.2</t>
  </si>
  <si>
    <t>CT  80/5A</t>
  </si>
  <si>
    <t>4.7.2.3</t>
  </si>
  <si>
    <t>รวมราคารายการที่ 4.7</t>
  </si>
  <si>
    <t>4.8</t>
  </si>
  <si>
    <t>CB Box &amp; Safety Switch</t>
  </si>
  <si>
    <t>4.8.1</t>
  </si>
  <si>
    <t>CB Box w/ 3P CB  125A (WP)</t>
  </si>
  <si>
    <t>CB Box w/ 3P CB  150A (WP)</t>
  </si>
  <si>
    <t>CB Box w/ 2P CB  16A (WP)</t>
  </si>
  <si>
    <t>อื่นๆ ถ้ามี (ให้ระบุรายละเอียด)</t>
  </si>
  <si>
    <t>รวมราคารายการที่ 4.8</t>
  </si>
  <si>
    <t>4.9</t>
  </si>
  <si>
    <t>แผงสวิทช์ย่อยและเซอร์กิต เบรคเกอร์ (Panelboard &amp; CB)</t>
  </si>
  <si>
    <t>4.9.1</t>
  </si>
  <si>
    <r>
      <t xml:space="preserve">Main CB, Panelboard (1 </t>
    </r>
    <r>
      <rPr>
        <sz val="11"/>
        <rFont val="Arial"/>
        <family val="2"/>
      </rPr>
      <t>≥</t>
    </r>
    <r>
      <rPr>
        <sz val="16"/>
        <rFont val="Cordia New"/>
        <family val="2"/>
      </rPr>
      <t>, 3 Wires)</t>
    </r>
  </si>
  <si>
    <t>100A 6 CCT.</t>
  </si>
  <si>
    <t>4.9.2</t>
  </si>
  <si>
    <r>
      <t xml:space="preserve">Main CB, Panelboard (3 </t>
    </r>
    <r>
      <rPr>
        <sz val="11"/>
        <rFont val="Arial"/>
        <family val="2"/>
      </rPr>
      <t>≥</t>
    </r>
    <r>
      <rPr>
        <sz val="16"/>
        <rFont val="Cordia New"/>
        <family val="2"/>
      </rPr>
      <t>, 4 Wires)</t>
    </r>
  </si>
  <si>
    <t>100A 18 CCT.</t>
  </si>
  <si>
    <t>100A 24 CCT.</t>
  </si>
  <si>
    <t>100A 30 CCT.</t>
  </si>
  <si>
    <t>100A 36 CCT.</t>
  </si>
  <si>
    <t>100A 42 CCT.</t>
  </si>
  <si>
    <t>250A 42 CCT.</t>
  </si>
  <si>
    <t>4.9.3</t>
  </si>
  <si>
    <t>Main CB</t>
  </si>
  <si>
    <t>4.9.3.1</t>
  </si>
  <si>
    <r>
      <t xml:space="preserve">CB, IC </t>
    </r>
    <r>
      <rPr>
        <sz val="12"/>
        <rFont val="Arial"/>
        <family val="2"/>
      </rPr>
      <t>≥</t>
    </r>
    <r>
      <rPr>
        <sz val="16"/>
        <rFont val="Cordia New"/>
        <family val="2"/>
      </rPr>
      <t xml:space="preserve"> 14 kA</t>
    </r>
  </si>
  <si>
    <t>4.9.3.2</t>
  </si>
  <si>
    <r>
      <t xml:space="preserve">CB (Miniature), IC </t>
    </r>
    <r>
      <rPr>
        <sz val="12"/>
        <rFont val="Arial"/>
        <family val="2"/>
      </rPr>
      <t>≥</t>
    </r>
    <r>
      <rPr>
        <sz val="16"/>
        <rFont val="Cordia New"/>
        <family val="2"/>
      </rPr>
      <t xml:space="preserve"> 5 kA</t>
    </r>
  </si>
  <si>
    <t>3P   15A</t>
  </si>
  <si>
    <t>1P   15A</t>
  </si>
  <si>
    <t>1P   30A</t>
  </si>
  <si>
    <t>1P   40A</t>
  </si>
  <si>
    <t>รวมราคารายการที่ 4.9</t>
  </si>
  <si>
    <t>4.10</t>
  </si>
  <si>
    <t>สายไฟฟ้า (Cable &amp; Wire)</t>
  </si>
  <si>
    <t>4.10.1</t>
  </si>
  <si>
    <t>สายป้อน (FEEDDER)</t>
  </si>
  <si>
    <t>7.7.1.1</t>
  </si>
  <si>
    <t>4   มม²</t>
  </si>
  <si>
    <t>6   มม²</t>
  </si>
  <si>
    <t>10   มม²</t>
  </si>
  <si>
    <t>16   มม²</t>
  </si>
  <si>
    <t>25   มม²</t>
  </si>
  <si>
    <t>35   มม²</t>
  </si>
  <si>
    <t>70   มม²</t>
  </si>
  <si>
    <t>95   มม²</t>
  </si>
  <si>
    <t>120   มม²</t>
  </si>
  <si>
    <t>4.10.2</t>
  </si>
  <si>
    <t>สายวงจรย่อย (BRANCH CIRCUIT)</t>
  </si>
  <si>
    <t>4.10.2.1</t>
  </si>
  <si>
    <t>2.5   มม²</t>
  </si>
  <si>
    <t>สายไฟฟ้าชนิด NYY, 750V 70 ◦C</t>
  </si>
  <si>
    <t>รวมราคารายการที่ 4.10</t>
  </si>
  <si>
    <t>4.11</t>
  </si>
  <si>
    <t>รางเดินสายไฟฟ้า (Raceway)</t>
  </si>
  <si>
    <t>4.11.1</t>
  </si>
  <si>
    <t>ท่อร้อยสายไฟฟ้าสายป้อน (FEEDDER)</t>
  </si>
  <si>
    <t>4.11.1.1</t>
  </si>
  <si>
    <t>15  มม. Ø</t>
  </si>
  <si>
    <t>20  มม. Ø</t>
  </si>
  <si>
    <t>25  มม. Ø</t>
  </si>
  <si>
    <t>32  มม. Ø</t>
  </si>
  <si>
    <t>40  มม. Ø</t>
  </si>
  <si>
    <t>65  มม. Ø</t>
  </si>
  <si>
    <t>Fitting, Hanger &amp; support</t>
  </si>
  <si>
    <t>4.11.1.2</t>
  </si>
  <si>
    <t>กล่องเดินสายไฟฟ้า (Wireway)</t>
  </si>
  <si>
    <t>50 มม. x 100 มม.</t>
  </si>
  <si>
    <t>100 มม. x 100 มม.</t>
  </si>
  <si>
    <t>150 มม. x 100 มม.</t>
  </si>
  <si>
    <t>4.11.2</t>
  </si>
  <si>
    <t>ท่อร้อยสายไฟฟ้าวงจรย่อย (BRANCH CIRCUIT)</t>
  </si>
  <si>
    <t>4.11.2.1</t>
  </si>
  <si>
    <t>ท่อร้อยสายไฟฟ้าชนิด EMT (EMT Conduit)</t>
  </si>
  <si>
    <t>4.11.2.2</t>
  </si>
  <si>
    <t>4.11.2.3</t>
  </si>
  <si>
    <t>ท่ออ่อน (Flexible Conduit)</t>
  </si>
  <si>
    <t>รวมราคารายการที่ 4.11</t>
  </si>
  <si>
    <t>4.12</t>
  </si>
  <si>
    <t>สวิทช์และเต้ารับ (Switch &amp; Outlet)</t>
  </si>
  <si>
    <t>4.12.1</t>
  </si>
  <si>
    <t>15A 250V, Single Pole Switch</t>
  </si>
  <si>
    <t>15A 250V, Single Pole Switch w/ Lamp</t>
  </si>
  <si>
    <t>15A 250V, Single Outlet</t>
  </si>
  <si>
    <t>15A 250V, Duplex Outlet</t>
  </si>
  <si>
    <t>รวมราคารายการที่ 4.12</t>
  </si>
  <si>
    <t>4.13</t>
  </si>
  <si>
    <t>โคมไฟฟ้า (Luminaire)</t>
  </si>
  <si>
    <t>4.13.1</t>
  </si>
  <si>
    <t>A1 [1x28 w.]</t>
  </si>
  <si>
    <t>4.13.2</t>
  </si>
  <si>
    <t>B1 [1x28w.]</t>
  </si>
  <si>
    <t>4.13.3</t>
  </si>
  <si>
    <t>B2 [2x28 w.]</t>
  </si>
  <si>
    <t>4.13.4</t>
  </si>
  <si>
    <t>C2 [2x28 w.] WP</t>
  </si>
  <si>
    <t>4.13.5</t>
  </si>
  <si>
    <t>DL118</t>
  </si>
  <si>
    <t>4.13.6</t>
  </si>
  <si>
    <t>DL226</t>
  </si>
  <si>
    <t>4.13.7</t>
  </si>
  <si>
    <t>PENDENT LIGHT</t>
  </si>
  <si>
    <t>4.13.8</t>
  </si>
  <si>
    <t>LB</t>
  </si>
  <si>
    <t>4.13.9</t>
  </si>
  <si>
    <t>Exit &amp; Fire Exit Sign</t>
  </si>
  <si>
    <t>4.13.10</t>
  </si>
  <si>
    <t>Emergency Battery Light w/ 2 x 55W Halogen Lamp</t>
  </si>
  <si>
    <t>4.13.11</t>
  </si>
  <si>
    <t>Flood or Spot Lighting</t>
  </si>
  <si>
    <t>4.13.12</t>
  </si>
  <si>
    <t>Pole light</t>
  </si>
  <si>
    <t>4.13.13</t>
  </si>
  <si>
    <t>Accessories</t>
  </si>
  <si>
    <t>อุปกรณ์ประกอบอื่นๆ</t>
  </si>
  <si>
    <t>รวมราคารายการที่ 4.13</t>
  </si>
  <si>
    <t>4.14</t>
  </si>
  <si>
    <t>ระบบป้องกันฟ้าผ่าและระบบต่อลงดิน</t>
  </si>
  <si>
    <t>4.14.1</t>
  </si>
  <si>
    <t>Ground Rod</t>
  </si>
  <si>
    <t>4.14.2</t>
  </si>
  <si>
    <t>4.14.3</t>
  </si>
  <si>
    <t>สายทองแดงเปลือย (Bare Copper Wire)</t>
  </si>
  <si>
    <t>4.14.4</t>
  </si>
  <si>
    <t>Bare Copper Tape 25 มม. x 3 มม.</t>
  </si>
  <si>
    <t>4.14.5</t>
  </si>
  <si>
    <t>Test Box</t>
  </si>
  <si>
    <t>4.14.6</t>
  </si>
  <si>
    <t>Ground Bar</t>
  </si>
  <si>
    <t>4.14.7</t>
  </si>
  <si>
    <t>ท่อร้อยสายไฟฟ้าชนิด PVC (PVC Conduit)</t>
  </si>
  <si>
    <t>4.14.8</t>
  </si>
  <si>
    <t>Exothermic Weld</t>
  </si>
  <si>
    <t>รวมราคารายการที่ 4.14</t>
  </si>
  <si>
    <t>4.15</t>
  </si>
  <si>
    <t>ระบบสัญญาณแจ้งเหตุเพลิงไหม้ (Fire Alarm System)</t>
  </si>
  <si>
    <t>4.15.1</t>
  </si>
  <si>
    <t>Fire Alarm Control Panel &amp; Power Supply Unit</t>
  </si>
  <si>
    <t>4.15.2</t>
  </si>
  <si>
    <t>Graphic Annunciator</t>
  </si>
  <si>
    <t>4.15.3</t>
  </si>
  <si>
    <t>Printer</t>
  </si>
  <si>
    <t>4.15.4</t>
  </si>
  <si>
    <t>Computer w/ Software</t>
  </si>
  <si>
    <t>4.15.5</t>
  </si>
  <si>
    <t>Smoke Detector</t>
  </si>
  <si>
    <t>4.15.6</t>
  </si>
  <si>
    <t>Manual Station w/ Key Switch</t>
  </si>
  <si>
    <t>4.15.7</t>
  </si>
  <si>
    <t>Fireman Telephone Outlet</t>
  </si>
  <si>
    <t>4.15.8</t>
  </si>
  <si>
    <t>Alarm Bell</t>
  </si>
  <si>
    <t>4.15.9</t>
  </si>
  <si>
    <t>Strobe light</t>
  </si>
  <si>
    <t>4.15.10</t>
  </si>
  <si>
    <t>Fire Speaker</t>
  </si>
  <si>
    <t>4.15.11</t>
  </si>
  <si>
    <t xml:space="preserve">FR 2C-2.5 มม² </t>
  </si>
  <si>
    <t xml:space="preserve">VCT 2C-1.5 มม² </t>
  </si>
  <si>
    <t>TIEV  0.65 มม Ø  2 Pairs</t>
  </si>
  <si>
    <t>CVV 1.5 มม² 30 Core</t>
  </si>
  <si>
    <t>16 AWG Fire Rated Twisted Pair With Shileld</t>
  </si>
  <si>
    <t>4.15.12</t>
  </si>
  <si>
    <t>4.15.13</t>
  </si>
  <si>
    <t>4.15.14</t>
  </si>
  <si>
    <t>รวมราคารายการที่ 4.15</t>
  </si>
  <si>
    <t>4.16</t>
  </si>
  <si>
    <t>ระบบโทรศัพท์ (Telephone System)</t>
  </si>
  <si>
    <t>4.16.1</t>
  </si>
  <si>
    <t>เต้ารับโทรศัพท์ (Telephone Outlet)</t>
  </si>
  <si>
    <t>4.16.2</t>
  </si>
  <si>
    <t>แผงรวมสาย (Telephone Terminal Cabinet)</t>
  </si>
  <si>
    <t>20/20 Pairs</t>
  </si>
  <si>
    <t>4.16.4</t>
  </si>
  <si>
    <t>สายโทรศัพท์ (Cable &amp; Wire)</t>
  </si>
  <si>
    <r>
      <t xml:space="preserve">TIEV  0.65 มม </t>
    </r>
    <r>
      <rPr>
        <sz val="11"/>
        <rFont val="Symbol"/>
        <family val="1"/>
        <charset val="2"/>
      </rPr>
      <t>Æ</t>
    </r>
    <r>
      <rPr>
        <sz val="16"/>
        <rFont val="Cordia New"/>
        <family val="2"/>
      </rPr>
      <t xml:space="preserve">  4 Pairs</t>
    </r>
  </si>
  <si>
    <t>4.16.5</t>
  </si>
  <si>
    <t>4.16.6</t>
  </si>
  <si>
    <t>รวมราคารายการที่ 4.16</t>
  </si>
  <si>
    <t>4.17</t>
  </si>
  <si>
    <t>ระบบสื่อสารข้อมูล (Data System)</t>
  </si>
  <si>
    <t>4.17.1</t>
  </si>
  <si>
    <t>เต้ารับข้อมูล (RJ45 Cat. 6 Modular Jack)</t>
  </si>
  <si>
    <t>4.17.2</t>
  </si>
  <si>
    <t>แผงรวมสาย ( Patch Panel)</t>
  </si>
  <si>
    <t>4.17.2.1</t>
  </si>
  <si>
    <t>Communication Fiber Optic Patch Panel</t>
  </si>
  <si>
    <t>1 x 6 Port</t>
  </si>
  <si>
    <t>4.17.2.2</t>
  </si>
  <si>
    <t>UTP Cat. 6 Patch Panel</t>
  </si>
  <si>
    <t>1 x 24 Port</t>
  </si>
  <si>
    <t>4.17.3</t>
  </si>
  <si>
    <t>Fiber Optic Patch Cord (ยาว 3 ม)</t>
  </si>
  <si>
    <t>4.17.4</t>
  </si>
  <si>
    <t>UTP Cat. 6 Patch Cord</t>
  </si>
  <si>
    <t>4.17.5</t>
  </si>
  <si>
    <t>ตู้ Rack 19"</t>
  </si>
  <si>
    <t>12 U</t>
  </si>
  <si>
    <t>42 U</t>
  </si>
  <si>
    <t>4.17.6</t>
  </si>
  <si>
    <t>Fiber Optic Cable</t>
  </si>
  <si>
    <t xml:space="preserve">12 Core Singlemode (Outdoor) </t>
  </si>
  <si>
    <t>4.17.7</t>
  </si>
  <si>
    <t>สายโทรศัพท์และสายส่งข้อมูล (Cable &amp; Wire)</t>
  </si>
  <si>
    <t>UTP Cat. 6  4 Pairs</t>
  </si>
  <si>
    <t>4.17.8</t>
  </si>
  <si>
    <t>4.17.9</t>
  </si>
  <si>
    <t>4.17.10</t>
  </si>
  <si>
    <t>UPS power supply</t>
  </si>
  <si>
    <t>4.17.11</t>
  </si>
  <si>
    <t>Testing &amp; Commissioning (ทั้งระบบ)</t>
  </si>
  <si>
    <t>รวมราคารายการที่ 4.17</t>
  </si>
  <si>
    <t>4.18</t>
  </si>
  <si>
    <t>ระบบเสาอากาศโทรทัศน์รวม (MATV System)</t>
  </si>
  <si>
    <t>4.18.1</t>
  </si>
  <si>
    <t>เสาอากาศ (Antenna) Free TV</t>
  </si>
  <si>
    <t>4.18.2</t>
  </si>
  <si>
    <t>Power Supply</t>
  </si>
  <si>
    <t>4.18.3</t>
  </si>
  <si>
    <t>Equipment Cabinet</t>
  </si>
  <si>
    <t>4.18.4</t>
  </si>
  <si>
    <t>TV-FM Outlet</t>
  </si>
  <si>
    <t>4.18.5</t>
  </si>
  <si>
    <t>4-Way Tap-Off</t>
  </si>
  <si>
    <t>4.18.6</t>
  </si>
  <si>
    <t>3-Way Splitter</t>
  </si>
  <si>
    <t>4.18.7</t>
  </si>
  <si>
    <t>สายนำสัญญาณ (Coaxial Cable)</t>
  </si>
  <si>
    <t>RJ 6</t>
  </si>
  <si>
    <t>RJ 11</t>
  </si>
  <si>
    <t>4.18.8</t>
  </si>
  <si>
    <t>4.18.9</t>
  </si>
  <si>
    <t>รวมราคารายการที่ 4.18</t>
  </si>
  <si>
    <t>4.19</t>
  </si>
  <si>
    <t>รวมราคารายการที่ 4.19</t>
  </si>
  <si>
    <t xml:space="preserve">              กลุ่มงานที่ 1.   งานระบบปรับอากาศและระบายอากาศ</t>
  </si>
  <si>
    <t xml:space="preserve">   งานระบบปรับอากาศและระบายอากาศ</t>
  </si>
  <si>
    <t>งานเครื่องปรับอากาศ</t>
  </si>
  <si>
    <t>5.1.1</t>
  </si>
  <si>
    <t>เครื่องปรับอากาศแบบแยกส่วน (Splt Type Air-Conditioning Unit)</t>
  </si>
  <si>
    <t>5.1.1.1</t>
  </si>
  <si>
    <t>Unit No.</t>
  </si>
  <si>
    <t>A-1FCU-01/A-1CDU-01 (5.2 kW, 300 L/s) 17,700 BTU/hr</t>
  </si>
  <si>
    <t>A-MFCU-01, 02/A-MCDU-01, 02 (10.56 kW, 500 L/s) 36,000 BTU/hr</t>
  </si>
  <si>
    <t>A-MFCU-03, 04/A-MCDU-03, 04 (10.56 kW, 500 L/s) 36,000 BTU/hr</t>
  </si>
  <si>
    <t>A-MFCU-05, 06/A-MCDU-05, 06 (10.56 kW, 500 L/s) 36,000 BTU/hr</t>
  </si>
  <si>
    <t>A-MFCU-07, 08/A-MCDU-07, 08 (10.56 kW, 500 L/s) 36,000 BTU/hr</t>
  </si>
  <si>
    <t>A-MFCU-09, 10/A-MCDU-09, 10 (10.56 kW, 500 L/s) 36,000 BTU/hr</t>
  </si>
  <si>
    <t>A-2FCU-01,02/A-2CDU-01,02 (14.08 kW, 800 L/s) 48,000 BTU/hr</t>
  </si>
  <si>
    <t>A-3FCU-01, 02/A-3CDU-01, 02 (10.56 kW, 600 L/s) 36,000 BTU/hr</t>
  </si>
  <si>
    <t>A-3FCU-03, 04/A-3CDU-03, 04 (10.56 kW, 600 L/s) 36,000 BTU/hr</t>
  </si>
  <si>
    <t>A-3FCU-05/A-3CDU-05, (7.04 kW, 400 L/s) 24,000 BTU/hr</t>
  </si>
  <si>
    <t>A-3FCU-06, 07/A-3CDU-06, 07 (9.68 kW, 550 L/s) 33,000 BTU/hr</t>
  </si>
  <si>
    <t>A-3FCU-08, 09/A-3CDU-08, 09 (12.32 kW, 700 L/s) 42,000 BTU/hr</t>
  </si>
  <si>
    <t>A-3FCU-10, 11/A-3CDU-10, 11 (12.32 kW, 700 L/s) 42,000 BTU/hr</t>
  </si>
  <si>
    <t>A-3FCU-12 To 15/A-3CDU-12 To 15 (12.32 kW, 700 L/s) 42,000 BTU/hr</t>
  </si>
  <si>
    <t>A-3FCU-16 To 19/A-3CDU-16 To 19 (12.32 kW, 700 L/s) 42,000 BTU/hr</t>
  </si>
  <si>
    <t xml:space="preserve">Room Thermostat w/ 3-Speed Switch, </t>
  </si>
  <si>
    <t>รวมราคา ข้อ 5.1</t>
  </si>
  <si>
    <t>งานพัดลมระบายอากาศ</t>
  </si>
  <si>
    <t>5.2.1</t>
  </si>
  <si>
    <t>พัดลมชนิด Centrifugal Belt Drve (Overhung)</t>
  </si>
  <si>
    <t>A-2KEF-01 (450 L/s, 300 Pa)</t>
  </si>
  <si>
    <t>A-2KEF-02 (450 L/s, 300 Pa)</t>
  </si>
  <si>
    <t>A-2KEF-03 (450 L/s, 300 Pa)</t>
  </si>
  <si>
    <t>A-2KEF-04 (450 L/s, 300 Pa)</t>
  </si>
  <si>
    <t>A-2KEF-05 (450 L/s, 300 Pa)</t>
  </si>
  <si>
    <t>A-2KEF-06 (450 L/s, 300 Pa)</t>
  </si>
  <si>
    <t>A-2KEF-07 (450 L/s, 300 Pa)</t>
  </si>
  <si>
    <t>A-2KEF-08 (450 L/s, 300 Pa)</t>
  </si>
  <si>
    <t>A-2KEF-09 (450 L/s, 300 Pa)</t>
  </si>
  <si>
    <t>A-2KEF-10 (450 L/s, 300 Pa)</t>
  </si>
  <si>
    <t>A-2KEF-11 (450 L/s, 300 Pa)</t>
  </si>
  <si>
    <t>A-2KEF-12 (450 L/s, 300 Pa)</t>
  </si>
  <si>
    <t>A-2KEF-13 (450 L/s, 300 Pa)</t>
  </si>
  <si>
    <t>A-2KEF-14 (450 L/s, 300 Pa)</t>
  </si>
  <si>
    <t>A-2KEF-15 (450 L/s, 300 Pa)</t>
  </si>
  <si>
    <t>A-2KEF-16 (450 L/s, 300 Pa)</t>
  </si>
  <si>
    <t>A-2KEF-17 (450 L/s, 300 Pa)</t>
  </si>
  <si>
    <t>A-2KEF-18 (450 L/s, 300 Pa)</t>
  </si>
  <si>
    <t>A-2KEF-19 (450 L/s, 300 Pa)</t>
  </si>
  <si>
    <t>A-2KEF-20 (450 L/s, 300 Pa)</t>
  </si>
  <si>
    <t>A-2KEF-21 (450 L/s, 300 Pa)</t>
  </si>
  <si>
    <t>A-2KEF-22 (450 L/s, 300 Pa)</t>
  </si>
  <si>
    <t>A-2KEF-23 (450 L/s, 300 Pa)</t>
  </si>
  <si>
    <t>A-2KEF-24 (450 L/s, 300 Pa)</t>
  </si>
  <si>
    <t>A-2KEF-25 (450 L/s, 300 Pa)</t>
  </si>
  <si>
    <t>A-3KEF-01 (1350 L/s, 350 Pa)</t>
  </si>
  <si>
    <t>A-3KEF-02 (1800 L/s, 350 Pa)</t>
  </si>
  <si>
    <t>A-3KEF-03 (3150 L/s, 450 Pa)</t>
  </si>
  <si>
    <t>A-3KEF-04 (2250 L/s, 450 Pa)</t>
  </si>
  <si>
    <t>A-3KEF-05 (2700 L/s, 400 Pa)</t>
  </si>
  <si>
    <t>5.2.2</t>
  </si>
  <si>
    <t>พัดลมชนิด Centrifugal Belt Drve</t>
  </si>
  <si>
    <t>A-3EAF-01 (450 L/s, 100 Pa)</t>
  </si>
  <si>
    <t>A-3EAF-02 (350 L/s, 100 Pa)</t>
  </si>
  <si>
    <t>A-3EAF-19 (450 L/s, 300 Pa)</t>
  </si>
  <si>
    <t>5.2.3</t>
  </si>
  <si>
    <t>พัดลมชนิด Centrifugal Direct Drve</t>
  </si>
  <si>
    <t>A-1EAF-11 (300 L/s, 100 Pa)</t>
  </si>
  <si>
    <t>A-1EAF-12 (350 L/s, 100 Pa)</t>
  </si>
  <si>
    <t>A-2EAF-02 (350 L/s, 100 Pa)</t>
  </si>
  <si>
    <t>A-2EAF-03 (280 L/s, 100 Pa)</t>
  </si>
  <si>
    <t>5.2.4</t>
  </si>
  <si>
    <t>พัดลมชนิด Propeller Fan Automatic Sthutter Type</t>
  </si>
  <si>
    <t>A-1EAF-06 (50 L/s, _ Pa)</t>
  </si>
  <si>
    <t>A-MEAF-01 (200 L/s, _ Pa)</t>
  </si>
  <si>
    <t>A-MEAF-02 (200 L/s, _ Pa)</t>
  </si>
  <si>
    <t>A-MEAF-03 (200 L/s, _ Pa)</t>
  </si>
  <si>
    <t>A-MEAF-04 (200 L/s, _ Pa)</t>
  </si>
  <si>
    <t>A-MEAF-05 (200 L/s, _ Pa)</t>
  </si>
  <si>
    <t>A-MEAF-06 (50 L/s, 50 Pa)</t>
  </si>
  <si>
    <t>A-MEAF-07 (300 L/s, 100 Pa)</t>
  </si>
  <si>
    <t>A-MEAF-08 (350 L/s, 100 Pa)</t>
  </si>
  <si>
    <t>A-2EAF-01 (350 L/s, _ Pa)</t>
  </si>
  <si>
    <t>A-2EAF-04 (100 L/s, _ Pa)</t>
  </si>
  <si>
    <t>A-2EAF-05 (150 L/s, _ Pa)</t>
  </si>
  <si>
    <t>A-3EAF-05 (300 L/s, _ Pa)</t>
  </si>
  <si>
    <t>A-3EAF-06 (120 L/s, _ Pa)</t>
  </si>
  <si>
    <t>A-3EAF-07 (120 L/s, _ Pa)</t>
  </si>
  <si>
    <t>A-3EAF-08 (50 L/s, _ Pa)</t>
  </si>
  <si>
    <t>A-3EAF-09 (120 L/s, _ Pa)</t>
  </si>
  <si>
    <t>A-3EAF-10 (200 L/s, _ Pa)</t>
  </si>
  <si>
    <t>A-3EAF-12, 13 (200 L/s, _ Pa)</t>
  </si>
  <si>
    <t>A-3EAF-14, 15 (200 L/s, _ Pa)</t>
  </si>
  <si>
    <t>5.2.5</t>
  </si>
  <si>
    <t>พัดลมชนิด Propeller Fan Industrail Tpye</t>
  </si>
  <si>
    <t>A-1EAF-01 (250 L/s, _ Pa)</t>
  </si>
  <si>
    <t>A-1EAF-02 (250 L/s, _ Pa)</t>
  </si>
  <si>
    <t>A-1EAF-03 (850 L/s, _ Pa)</t>
  </si>
  <si>
    <t>A-1EAF-04 (850 L/s, _ Pa)</t>
  </si>
  <si>
    <t>A-1EAF-05 (850 L/s, _ Pa)</t>
  </si>
  <si>
    <t>A-1EAF-07 (400 L/s, _ Pa)</t>
  </si>
  <si>
    <t>A-1EAF-08 (400 L/s, _ Pa)</t>
  </si>
  <si>
    <t>A-1EAF-09 (500 L/s, _ Pa)</t>
  </si>
  <si>
    <t>A-3EAF-03 (350 L/s, _ Pa)</t>
  </si>
  <si>
    <t>A-3EAF-04 (500 L/s, _ Pa)</t>
  </si>
  <si>
    <t>A-3EAF-16 To 18 (1000 L/s, _ Pa)</t>
  </si>
  <si>
    <t>5.2.6</t>
  </si>
  <si>
    <t>พัดลมโคจร Circulating Type</t>
  </si>
  <si>
    <r>
      <t>A-MCAF-01 To 10 (</t>
    </r>
    <r>
      <rPr>
        <sz val="16"/>
        <rFont val="Arial"/>
        <family val="2"/>
      </rPr>
      <t>ø</t>
    </r>
    <r>
      <rPr>
        <sz val="13.6"/>
        <rFont val="Cordia New"/>
        <family val="2"/>
      </rPr>
      <t xml:space="preserve"> 16" </t>
    </r>
    <r>
      <rPr>
        <sz val="16"/>
        <rFont val="Cordia New"/>
        <family val="2"/>
      </rPr>
      <t>)</t>
    </r>
  </si>
  <si>
    <r>
      <t>A-2CAF-01 To 26 (</t>
    </r>
    <r>
      <rPr>
        <sz val="16"/>
        <rFont val="Arial"/>
        <family val="2"/>
      </rPr>
      <t>ø</t>
    </r>
    <r>
      <rPr>
        <sz val="13.6"/>
        <rFont val="Cordia New"/>
        <family val="2"/>
      </rPr>
      <t xml:space="preserve"> 56" </t>
    </r>
    <r>
      <rPr>
        <sz val="16"/>
        <rFont val="Cordia New"/>
        <family val="2"/>
      </rPr>
      <t>)</t>
    </r>
  </si>
  <si>
    <r>
      <t>A-2CAF-27 To 28 (</t>
    </r>
    <r>
      <rPr>
        <sz val="16"/>
        <rFont val="Arial"/>
        <family val="2"/>
      </rPr>
      <t>ø</t>
    </r>
    <r>
      <rPr>
        <sz val="13.6"/>
        <rFont val="Cordia New"/>
        <family val="2"/>
      </rPr>
      <t xml:space="preserve"> 16" </t>
    </r>
    <r>
      <rPr>
        <sz val="16"/>
        <rFont val="Cordia New"/>
        <family val="2"/>
      </rPr>
      <t>)</t>
    </r>
  </si>
  <si>
    <r>
      <t>A-3CAF-01 To 05 (</t>
    </r>
    <r>
      <rPr>
        <sz val="16"/>
        <rFont val="Arial"/>
        <family val="2"/>
      </rPr>
      <t>ø</t>
    </r>
    <r>
      <rPr>
        <sz val="13.6"/>
        <rFont val="Cordia New"/>
        <family val="2"/>
      </rPr>
      <t xml:space="preserve"> 16" </t>
    </r>
    <r>
      <rPr>
        <sz val="16"/>
        <rFont val="Cordia New"/>
        <family val="2"/>
      </rPr>
      <t>)</t>
    </r>
  </si>
  <si>
    <t>5.2.7</t>
  </si>
  <si>
    <t>พัดลมชนิด Ceiling Fan</t>
  </si>
  <si>
    <t>A-1EAF-10 (50 L/s, 5 Pa)</t>
  </si>
  <si>
    <t>5.2.8</t>
  </si>
  <si>
    <t>รวมราคา ข้อ 5.2</t>
  </si>
  <si>
    <t>งานท่อน้ำยาและฉนวน</t>
  </si>
  <si>
    <t>5.3.1</t>
  </si>
  <si>
    <t>ท่อน้ำยา (Refrigerant Cu Tube Type L)</t>
  </si>
  <si>
    <r>
      <t xml:space="preserve">10  มม. </t>
    </r>
    <r>
      <rPr>
        <sz val="9"/>
        <rFont val="Symbol"/>
        <family val="1"/>
        <charset val="2"/>
      </rPr>
      <t>ฦ</t>
    </r>
    <r>
      <rPr>
        <sz val="14"/>
        <rFont val="BrowalliaUPC"/>
        <family val="2"/>
        <charset val="222"/>
      </rPr>
      <t xml:space="preserve">  (Nominal OD.)</t>
    </r>
  </si>
  <si>
    <r>
      <t xml:space="preserve">12  มม. </t>
    </r>
    <r>
      <rPr>
        <sz val="9"/>
        <rFont val="Symbol"/>
        <family val="1"/>
        <charset val="2"/>
      </rPr>
      <t>ฦ</t>
    </r>
    <r>
      <rPr>
        <sz val="14"/>
        <rFont val="BrowalliaUPC"/>
        <family val="2"/>
        <charset val="222"/>
      </rPr>
      <t xml:space="preserve">  (Nominal OD.)</t>
    </r>
  </si>
  <si>
    <r>
      <t xml:space="preserve">15  มม. </t>
    </r>
    <r>
      <rPr>
        <sz val="9"/>
        <rFont val="Symbol"/>
        <family val="1"/>
        <charset val="2"/>
      </rPr>
      <t>ฦ</t>
    </r>
    <r>
      <rPr>
        <sz val="14"/>
        <rFont val="BrowalliaUPC"/>
        <family val="2"/>
        <charset val="222"/>
      </rPr>
      <t xml:space="preserve">  (Nominal OD.)</t>
    </r>
  </si>
  <si>
    <r>
      <t xml:space="preserve">22  มม. </t>
    </r>
    <r>
      <rPr>
        <sz val="9"/>
        <rFont val="Symbol"/>
        <family val="1"/>
        <charset val="2"/>
      </rPr>
      <t>ฦ</t>
    </r>
    <r>
      <rPr>
        <sz val="14"/>
        <rFont val="BrowalliaUPC"/>
        <family val="2"/>
        <charset val="222"/>
      </rPr>
      <t xml:space="preserve">  (Nominal OD.)</t>
    </r>
  </si>
  <si>
    <t>อุปกรณ์ประกอบท่อ</t>
  </si>
  <si>
    <t>อุปกรณ์รองรับท่อ</t>
  </si>
  <si>
    <t>5.3.2</t>
  </si>
  <si>
    <t>25-mm Closed Cell Foam</t>
  </si>
  <si>
    <t>อุปกรณ์ประกอบ</t>
  </si>
  <si>
    <t>รวมราคา ข้อ 5.3</t>
  </si>
  <si>
    <t>งานท่อน้ำทิ้ง</t>
  </si>
  <si>
    <t>5.4.1</t>
  </si>
  <si>
    <r>
      <t xml:space="preserve">20  มม. </t>
    </r>
    <r>
      <rPr>
        <sz val="9"/>
        <rFont val="Symbol"/>
        <family val="1"/>
        <charset val="2"/>
      </rPr>
      <t>ฦ</t>
    </r>
  </si>
  <si>
    <r>
      <t xml:space="preserve">25  มม. </t>
    </r>
    <r>
      <rPr>
        <sz val="9"/>
        <rFont val="Symbol"/>
        <family val="1"/>
        <charset val="2"/>
      </rPr>
      <t>ฦ</t>
    </r>
  </si>
  <si>
    <r>
      <t xml:space="preserve">32  มม. </t>
    </r>
    <r>
      <rPr>
        <sz val="9"/>
        <rFont val="Symbol"/>
        <family val="1"/>
        <charset val="2"/>
      </rPr>
      <t>ฦ</t>
    </r>
  </si>
  <si>
    <r>
      <t xml:space="preserve">40  มม. </t>
    </r>
    <r>
      <rPr>
        <sz val="9"/>
        <rFont val="Symbol"/>
        <family val="1"/>
        <charset val="2"/>
      </rPr>
      <t>ฦ</t>
    </r>
  </si>
  <si>
    <r>
      <t xml:space="preserve">50  มม. </t>
    </r>
    <r>
      <rPr>
        <sz val="9"/>
        <rFont val="Symbol"/>
        <family val="1"/>
        <charset val="2"/>
      </rPr>
      <t>ฦ</t>
    </r>
  </si>
  <si>
    <t>5.4.2</t>
  </si>
  <si>
    <t>19-mm Closed Cell Foam</t>
  </si>
  <si>
    <t>รวมราคา ข้อ 5.4</t>
  </si>
  <si>
    <t>งานท่อลม</t>
  </si>
  <si>
    <t>5.5.1</t>
  </si>
  <si>
    <t>แผ่นสังกะสี ท่อระบายอากาศ</t>
  </si>
  <si>
    <t>สังกะสีเบอร์ 26 GA</t>
  </si>
  <si>
    <r>
      <t>ม.</t>
    </r>
    <r>
      <rPr>
        <sz val="18"/>
        <rFont val="BrowalliaUPC"/>
        <family val="2"/>
        <charset val="222"/>
      </rPr>
      <t>²</t>
    </r>
  </si>
  <si>
    <t>สังกะสีเบอร์ 24 GA</t>
  </si>
  <si>
    <t>สังกะสีเบอร์ 22 GA</t>
  </si>
  <si>
    <t>อุปกรณ์รองรับท่อลม</t>
  </si>
  <si>
    <t>5.5.2</t>
  </si>
  <si>
    <t>แผ่นเหล็กดำ หนา 2.0 มม.</t>
  </si>
  <si>
    <t>5.5.3</t>
  </si>
  <si>
    <t>ฉนวนท่อลม</t>
  </si>
  <si>
    <t>40-mm Calcium Silicate</t>
  </si>
  <si>
    <t>รวมราคา ข้อ 5.5</t>
  </si>
  <si>
    <t>หน้ากากลม</t>
  </si>
  <si>
    <t>5.6.1</t>
  </si>
  <si>
    <t>Exhaust Air Register</t>
  </si>
  <si>
    <t>200 x 150</t>
  </si>
  <si>
    <t>600 x 300</t>
  </si>
  <si>
    <t>5.6.2</t>
  </si>
  <si>
    <t>Exhaust Air Louver</t>
  </si>
  <si>
    <t>400 x 200</t>
  </si>
  <si>
    <t>700 x 250</t>
  </si>
  <si>
    <t>1000 x 300</t>
  </si>
  <si>
    <t>5.6.3</t>
  </si>
  <si>
    <t>Fresh Air Grille w/ Insect Screen</t>
  </si>
  <si>
    <t>800 x 200</t>
  </si>
  <si>
    <t>900 x 250</t>
  </si>
  <si>
    <t>1000 x 400</t>
  </si>
  <si>
    <t>1200 x 300</t>
  </si>
  <si>
    <t>1400 x 400</t>
  </si>
  <si>
    <t>1500 x 250</t>
  </si>
  <si>
    <t>1800 x 1800</t>
  </si>
  <si>
    <t>รวมราคา ข้อ 5.6</t>
  </si>
  <si>
    <t>ไฟฟ้าสำหรับระบบปรับอากาศ</t>
  </si>
  <si>
    <t>5.7.1</t>
  </si>
  <si>
    <t>Panel Board</t>
  </si>
  <si>
    <t>A-1AP1</t>
  </si>
  <si>
    <t>A-1AP2</t>
  </si>
  <si>
    <t>A-2AP1 to 25</t>
  </si>
  <si>
    <t>A-2AP26</t>
  </si>
  <si>
    <t>A-2AP27</t>
  </si>
  <si>
    <t>A-2AP28</t>
  </si>
  <si>
    <t>A-2AP29</t>
  </si>
  <si>
    <t>A-2AP30</t>
  </si>
  <si>
    <t>A-2AP31</t>
  </si>
  <si>
    <t>5.7.2</t>
  </si>
  <si>
    <t>สายไฟฟ้าชนิด ICE 01</t>
  </si>
  <si>
    <r>
      <t>2.5 มม</t>
    </r>
    <r>
      <rPr>
        <sz val="14"/>
        <rFont val="Times New Roman"/>
        <family val="1"/>
        <charset val="222"/>
      </rPr>
      <t>²</t>
    </r>
  </si>
  <si>
    <r>
      <t>4   มม</t>
    </r>
    <r>
      <rPr>
        <sz val="14"/>
        <rFont val="Times New Roman"/>
        <family val="1"/>
        <charset val="222"/>
      </rPr>
      <t>²</t>
    </r>
  </si>
  <si>
    <r>
      <t>6   มม</t>
    </r>
    <r>
      <rPr>
        <sz val="14"/>
        <rFont val="Times New Roman"/>
        <family val="1"/>
        <charset val="222"/>
      </rPr>
      <t>²</t>
    </r>
  </si>
  <si>
    <r>
      <t>10   มม</t>
    </r>
    <r>
      <rPr>
        <sz val="14"/>
        <rFont val="Times New Roman"/>
        <family val="1"/>
        <charset val="222"/>
      </rPr>
      <t>²</t>
    </r>
  </si>
  <si>
    <t>5.7.3</t>
  </si>
  <si>
    <r>
      <t xml:space="preserve">15  มม. </t>
    </r>
    <r>
      <rPr>
        <sz val="9"/>
        <rFont val="Symbol"/>
        <family val="1"/>
        <charset val="2"/>
      </rPr>
      <t>ฦ</t>
    </r>
  </si>
  <si>
    <t>รวมราคา ข้อ 5.7</t>
  </si>
  <si>
    <t xml:space="preserve">              กลุ่มงานที่ 2.   งานครุภัณฑ์จัดจ้างหรือสั่งทำ,  งานตกแต่งภายในอาคาร</t>
  </si>
  <si>
    <t xml:space="preserve"> งานครุภัณฑ์จัดจ้างหรือสั่งทำ</t>
  </si>
  <si>
    <t>6.1.1</t>
  </si>
  <si>
    <t xml:space="preserve">BF-01 </t>
  </si>
  <si>
    <t xml:space="preserve">หน้าร้านกรุไม้เนื้อแข็งทำสีธรรมชาติ  หน้าร้านไม้ระแนง </t>
  </si>
  <si>
    <t>พร้อมเสากลมตกแต่งกรุไม้อัดสักโครงเหล็กกล่อง 1" x 2'</t>
  </si>
  <si>
    <t>ระแนง 1"x1"</t>
  </si>
  <si>
    <t>แบกกิ้ง ระแนง</t>
  </si>
  <si>
    <t>หลังคาระแนง</t>
  </si>
  <si>
    <t>co1</t>
  </si>
  <si>
    <t>co2</t>
  </si>
  <si>
    <t>หลังใหญ่</t>
  </si>
  <si>
    <t>หลังเล็ก</t>
  </si>
  <si>
    <t>8 หลัง</t>
  </si>
  <si>
    <t>18 หลัง</t>
  </si>
  <si>
    <t>รวมราคา ข้อ 6.1</t>
  </si>
  <si>
    <t xml:space="preserve"> งานตกแต่งภายในอาคาร</t>
  </si>
  <si>
    <t>งานตกแต่งภายใน - ฝ้าเพดานโรงอาหาร</t>
  </si>
  <si>
    <t>ฝ้าตกแต่ง</t>
  </si>
  <si>
    <t>7.1.1</t>
  </si>
  <si>
    <t>งานฝ้าเพดาน-ตกแต่งด้วยกระด้งไม้ไผ่ ยึดติดกับลวดสลิง</t>
  </si>
  <si>
    <t>ตรม</t>
  </si>
  <si>
    <t>ตะแกรงเชนลิ้ง</t>
  </si>
  <si>
    <t>คละขนาด จัดวางตามแบบ</t>
  </si>
  <si>
    <t>กระด้ง 40</t>
  </si>
  <si>
    <t>กระด้ง 60</t>
  </si>
  <si>
    <t>กระด้ง 80  แบบโบ๋</t>
  </si>
  <si>
    <t>ยึดเข้ากับ ท้องพื้น+เหล็กฉาก</t>
  </si>
  <si>
    <t>รวมราคา ข้อ 7.1</t>
  </si>
  <si>
    <t xml:space="preserve">              ส่วนงานที่  2.  งานครุภัณฑ์จัดซื้อหรือสั่งซื้อ</t>
  </si>
  <si>
    <t xml:space="preserve">   งานครุภัณฑ์จัดซื้อหรือสั่งซื้อ</t>
  </si>
  <si>
    <t>ครุภัณฑ์ - งานเฟอร์นิเจอร์ - ลอยตัว (สั่งซื้อ)</t>
  </si>
  <si>
    <t>ครุภัณฑ์ - งานระบบสุขาภิบาล</t>
  </si>
  <si>
    <t>ครุภัณฑ์ - งานระบบปรับอากาศ และระบายอากาศ</t>
  </si>
  <si>
    <t>8.1.1</t>
  </si>
  <si>
    <t>LF-01</t>
  </si>
  <si>
    <t xml:space="preserve">โต๊ะวิทยากร  โต๊ะทำงานไม้ Partical Board ปิดขอบ PVC Edge </t>
  </si>
  <si>
    <t>พร้อมลิ้นชักข้าง ขนาด 0.60x1.20x0.75 ม.</t>
  </si>
  <si>
    <t>8.1.2</t>
  </si>
  <si>
    <t>LF-02</t>
  </si>
  <si>
    <t>โต๊ะเลคเชอร์  โต๊ะพับฟอร์เมก้า ขาวเงา โครงขาเหล็ก</t>
  </si>
  <si>
    <t>ขนาด 0.45x1.80x0.75 ม.</t>
  </si>
  <si>
    <t>8.1.3</t>
  </si>
  <si>
    <t>LF-03</t>
  </si>
  <si>
    <t xml:space="preserve">เก้าอี้วิทยากร เก้าอี้สำนักงาน หุ้มหนังเทียม ไม่มีท้าวแขน </t>
  </si>
  <si>
    <t>พร้อมล้อพลาสติก</t>
  </si>
  <si>
    <t>8.1.4</t>
  </si>
  <si>
    <t>LF-04</t>
  </si>
  <si>
    <t>เก้าอี้เลคเชอร์  เก้าอี้โพลีแบบมีพนัก ขาโครเมี่ยม</t>
  </si>
  <si>
    <t>8.1.5</t>
  </si>
  <si>
    <t>LF-05</t>
  </si>
  <si>
    <t>โต๊ะรับประทานอาหาร-โต๊ะพับ Top Formica ขาวเงา โครงขาเหล็ก</t>
  </si>
  <si>
    <t>ขนาด 0.60x1.80x0.75 ม.</t>
  </si>
  <si>
    <t>8.1.6</t>
  </si>
  <si>
    <t>LF-06</t>
  </si>
  <si>
    <t>โต๊ะรับประทานอาหาร Top โต๊ะปิด Formica  ขาวเงา โครงขาเหล็ก</t>
  </si>
  <si>
    <t>ขนาด 0.60x0.60x0.75 ม.</t>
  </si>
  <si>
    <t>8.1.7</t>
  </si>
  <si>
    <t>LF-07</t>
  </si>
  <si>
    <t>ชุดโต๊ะ เก้าอี้ รับประทานอาหาร Top โต๊ะปิด Formica ขาวเงา</t>
  </si>
  <si>
    <t>โครงขาเหล็กพร้อมเก้าอี้ ขนาด 0.60x1.80x0.75 ม.</t>
  </si>
  <si>
    <t>8.1.8</t>
  </si>
  <si>
    <t>LF-08</t>
  </si>
  <si>
    <t>เก้าอี้รับประทานอาหาร  เก้าอี้โพลีแบบมีพนัก ขาโครเมี่ยม</t>
  </si>
  <si>
    <t>8.1.9</t>
  </si>
  <si>
    <t>LF-09</t>
  </si>
  <si>
    <t>8.1.10</t>
  </si>
  <si>
    <t>LF-10</t>
  </si>
  <si>
    <t>โต๊ะประชุม Top โต๊ะปิด Formica  ขาวเงา โครงขาเหล็ก</t>
  </si>
  <si>
    <t>8.1.11</t>
  </si>
  <si>
    <t>LF-11</t>
  </si>
  <si>
    <t>8.1.12</t>
  </si>
  <si>
    <t>LF-12</t>
  </si>
  <si>
    <t xml:space="preserve">เก้าอี้ประชุม  เก้าอี้หนังเทียมมีพนักพิงพร้อมท้าวแขน </t>
  </si>
  <si>
    <t>ขาเหล็กชุบโครเมียม และ ล้อพลาสติก</t>
  </si>
  <si>
    <t>รวมราคา ข้อ 8.1</t>
  </si>
  <si>
    <t>8.2.1</t>
  </si>
  <si>
    <t>8.2.1.1</t>
  </si>
  <si>
    <t>8.2.1.2</t>
  </si>
  <si>
    <t>8.2.2</t>
  </si>
  <si>
    <t>8.2.2.1</t>
  </si>
  <si>
    <t>8.2.3</t>
  </si>
  <si>
    <t>ระบบบำบัดน้ำเสีย</t>
  </si>
  <si>
    <t>(Waste Water Treatment System)</t>
  </si>
  <si>
    <t>8.2.3.1</t>
  </si>
  <si>
    <t>8.2.3.2</t>
  </si>
  <si>
    <t>รวมราคา ข้อ 8.2</t>
  </si>
  <si>
    <t>8.3.1</t>
  </si>
  <si>
    <t>8.3.1.1</t>
  </si>
  <si>
    <t>A-1FCU-01/A-1CDU-01 (5.2 kW, 300 L/s)  17,700 BTU/hr</t>
  </si>
  <si>
    <t>A-MFCU-01, 02/A-MCDU-01, 02 (10.56 kW, 500 L/s)  36,000 BTU/hr</t>
  </si>
  <si>
    <t>A-MFCU-03, 04/A-MCDU-03, 04 (10.56 kW, 500 L/s)  36,000 BTU/hr</t>
  </si>
  <si>
    <t>A-MFCU-05, 06/A-MCDU-05, 06 (10.56 kW, 500 L/s)  36,000 BTU/hr</t>
  </si>
  <si>
    <t>A-MFCU-07, 08/A-MCDU-07, 08 (10.56 kW, 500 L/s)  36,000 BTU/hr</t>
  </si>
  <si>
    <t>A-MFCU-09, 10/A-MCDU-09, 10 (10.56 kW, 500 L/s)  36,000 BTU/hr</t>
  </si>
  <si>
    <t>A-2FCU-01,02/A-2CDU-01,02 (14.08 kW, 800 L/s)  48,000 BTU/hr</t>
  </si>
  <si>
    <t>A-3FCU-01, 02/A-3CDU-01, 02 (10.56 kW, 600 L/s)  36,000 BTU/hr</t>
  </si>
  <si>
    <t>A-3FCU-03, 04/A-3CDU-03, 04 (10.56 kW, 600 L/s)  36,000 BTU/hr</t>
  </si>
  <si>
    <t>A-3FCU-05/A-3CDU-05, (7.04 kW, 400 L/s)  24,000 BTU/hr</t>
  </si>
  <si>
    <t>A-3FCU-06, 07/A-3CDU-06, 07 (9.68 kW, 550 L/s)  33,000 BTU/hr</t>
  </si>
  <si>
    <t>A-3FCU-08, 09/A-3CDU-08, 09 (12.32 kW, 700 L/s)  42,000 BTU/hr</t>
  </si>
  <si>
    <t>A-3FCU-10, 11/A-3CDU-10, 11 (12.32 kW, 700 L/s)  42,000 BTU/hr</t>
  </si>
  <si>
    <t>A-3FCU-12 To 15/A-3CDU-12 To 15 (12.32 kW, 700 L/s)  42,000 BTU/hr</t>
  </si>
  <si>
    <t>A-3FCU-16 To 19/A-3CDU-16 To 19 (12.32 kW, 700 L/s)  42,000 BTU/hr</t>
  </si>
  <si>
    <t>รวมราคา ข้อ 8.3.1</t>
  </si>
  <si>
    <t>8.3.2</t>
  </si>
  <si>
    <t>8.3.2.1</t>
  </si>
  <si>
    <t>8.3.2.2</t>
  </si>
  <si>
    <t>8.3.2.3</t>
  </si>
  <si>
    <t>8.3.2.4</t>
  </si>
  <si>
    <t>8.3.2.5</t>
  </si>
  <si>
    <t>8.3.2.6</t>
  </si>
  <si>
    <t>8.3.2.7</t>
  </si>
  <si>
    <t>รวมราคา ข้อ 8.3.2</t>
  </si>
  <si>
    <t>รวมราคา ข้อ 8.3</t>
  </si>
  <si>
    <t xml:space="preserve">[ ส่วนกีฬาและสระว่ายน้ำ ]   </t>
  </si>
  <si>
    <t>พื้นที่ก่อสร้างเดิมตาม Prelim.</t>
  </si>
  <si>
    <t>พื้นที่ก่อสร้างรวม(หักลานพลาซ่า)</t>
  </si>
  <si>
    <t>ครุภัณฑ์-งานระบบสุขาภิบาล</t>
  </si>
  <si>
    <t>ครุภัณฑ์-งานระบบปรับอากาศ และระบายอากาศ</t>
  </si>
  <si>
    <t>รวม งานส่วนที่ 2</t>
  </si>
  <si>
    <t xml:space="preserve">  อาคารส่วนกีฬาและสระว่ายน้ำ  ขนาด ๒ ชั้น</t>
  </si>
  <si>
    <t>งานโครงสร้าง คาน - พื้น ชั้น หลังคา</t>
  </si>
  <si>
    <t xml:space="preserve">งานโครงสร้าง ผนัง คสล. </t>
  </si>
  <si>
    <t xml:space="preserve">งานเสาเข็มตอก I - 0.40x0.40x15.00 ม. </t>
  </si>
  <si>
    <t>รับน้ำหนักบรรทุกปลอดภัยได้ไม่น้อยกว่า 65 ตัน/ต้น</t>
  </si>
  <si>
    <t xml:space="preserve">งานเสาเข็มตอก I - 0.26x0.26x15.00 ม. </t>
  </si>
  <si>
    <t>รับน้ำหนักบรรทุกปลอดภัยได้ไม่น้อยกว่า 40 ตัน/ต้น</t>
  </si>
  <si>
    <t xml:space="preserve">งานตัดหัวเสาเข็มตอก I - 0.26x0.26 ม. </t>
  </si>
  <si>
    <t>1.1.14</t>
  </si>
  <si>
    <t>1.1.15</t>
  </si>
  <si>
    <t>1.2.11</t>
  </si>
  <si>
    <t>รับบน้ำหนักบรรทุกจรได้ไม่น้อยกว่า 500 กก./ตร.ม.</t>
  </si>
  <si>
    <t>BS6 = WF - 200x100x5.5x8.0 มม. (21.30 กก./ม.)</t>
  </si>
  <si>
    <t>1.4.10</t>
  </si>
  <si>
    <t>BS5 = WF - 250x125x6.0x9.0 มม. (29.60 กก./ม.)</t>
  </si>
  <si>
    <t>1.7.4</t>
  </si>
  <si>
    <t>1.7.5</t>
  </si>
  <si>
    <t>1.7.6</t>
  </si>
  <si>
    <t>1.7.7</t>
  </si>
  <si>
    <t>1.7.8</t>
  </si>
  <si>
    <t>CS5 WF-175x175x7.5x11.0 มม. (40.20 กก./ม.)</t>
  </si>
  <si>
    <t>1.7.9</t>
  </si>
  <si>
    <t>STEEL PLATE - 175x175x10 มม.</t>
  </si>
  <si>
    <t>แผ่น</t>
  </si>
  <si>
    <t>1.7.10</t>
  </si>
  <si>
    <t>Bolt Dia. 20 มม.</t>
  </si>
  <si>
    <t>1.7.11</t>
  </si>
  <si>
    <t>1.7.12</t>
  </si>
  <si>
    <t>1.7.13</t>
  </si>
  <si>
    <t>1.7.14</t>
  </si>
  <si>
    <t>แปเหล็ก LIGHT LIP CHANNEL - 100x50x20x3.2 มม. (5.50 กก./ม.)</t>
  </si>
  <si>
    <t>Pipe Dia. 76.3 มม. หนา 3.2 มม. (5.77 กก./ม.)</t>
  </si>
  <si>
    <t>Pipe Dia. 190.7 มม. หนา 7.0 มม. (24.20 กก./ม.)</t>
  </si>
  <si>
    <t>TUR BUCKLE FOR TIE ROD Dia. 12 มม.</t>
  </si>
  <si>
    <t>AL2</t>
  </si>
  <si>
    <t>เกล็ดโลหะเคลือบสีระบายอากาศ รุ่น 313 ของ LYSAGHT หรือเทียบเท่า หนา 0.42 มม.</t>
  </si>
  <si>
    <t>Zincalume, AZ150, G550 ( 5 เกล็ด / เมตร ) โครงคร่าวติดตั้งตามมาตรฐานผู้ผลิต</t>
  </si>
  <si>
    <t>คอนกรีตบล๊อก ช่องลมระบายอากาศ ขนาด 19 x 39 ซม. สูงจากพื้น 10 ซม.</t>
  </si>
  <si>
    <t>หลังแผ่นติดตั้งฉนวนกันความร้อน PE. FOAM บุ FOIL 1 ด้าน หนา 10 มม.</t>
  </si>
  <si>
    <t xml:space="preserve"> By Interior</t>
  </si>
  <si>
    <t xml:space="preserve"> (คิดอยู่ในงานหลังคา, เบ็ดเตล็ด และอื่นๆ)</t>
  </si>
  <si>
    <t>ยิบซั่มบอร์ด 9 มม.ชนิดธรรมดาขอบลาด 4 ด้าน ฉาบรอยต่อเรียบ โครงคร่าว</t>
  </si>
  <si>
    <t>ฝ้าเพดาน โลหะคลือบสี "LYSAGHT" Trimmax Clean Colorbond  AZ150, 0.42 mm.</t>
  </si>
  <si>
    <t>BMT, GS50  ( ฝ้าภายนอก )</t>
  </si>
  <si>
    <t>ฉนวนกันความร้อน STAY COOL 150 mm.ตราช้างหรือเทียบเท่า ชนิด Foil รอบตัว</t>
  </si>
  <si>
    <r>
      <t xml:space="preserve">ติดตั้งระหว่างช่องแปด้วยลวดตาข่าย Wire  Mesh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4 mm. @ 0.20 m.#</t>
    </r>
  </si>
  <si>
    <t>บัวยางสีดำ สูง 0.10 ม.</t>
  </si>
  <si>
    <t xml:space="preserve"> ประตูบานเปิด-เดี่ยว ไม้อัดยาง บานหนา 35 มม ทำสีพ่นขาว ขนาด</t>
  </si>
  <si>
    <t xml:space="preserve"> ( 0.90 x 2.00 ม.) วงกบอลูมิเนียมสี 514. หนา 2.0 มม.</t>
  </si>
  <si>
    <t xml:space="preserve"> ประตูบานเปิด-เดี่ยว ไม้อัดยางชนิดกาวทนน้ำ / เกล็ดระบายอากาศล่าง </t>
  </si>
  <si>
    <t xml:space="preserve"> บานหนา 35 มม ขนาด ( 0.90 x 2.00 ม.) วงกบอลูมิเนียมสี 514. หนา 2.0 มม.</t>
  </si>
  <si>
    <t xml:space="preserve"> ประตูบานเลื่อน-เดี่ยว ไม้อัดยางชนิดกาวทนน้ำ บานหนา 35 มม.</t>
  </si>
  <si>
    <t xml:space="preserve"> ขนาด ( 1.10 x 2.05 ม.) วงกบอลูมิเนียมสี 514. หนา 2.0 มม.</t>
  </si>
  <si>
    <t xml:space="preserve"> ประตูบานเปิด-เดี่ยว บานเหล็ก หนา 40 มม.ทำสีพ่นสำเร็จจากโรงงาน</t>
  </si>
  <si>
    <t xml:space="preserve"> ขนาด ( 0.90 x 1.70 ม.) วงกบเหล็ก ขนาด 2" x 4" ทำสีพ่นสำเร็จจากโรงงาน</t>
  </si>
  <si>
    <t xml:space="preserve"> ขนาด ( 0.90 x 2.00 ม.) วงกบเหล็ก ขนาด 2" x 4" ทำสีพ่นสำเร็จจากโรงงาน</t>
  </si>
  <si>
    <t xml:space="preserve"> ประตูบานเปิด-คู่ บานเหล็ก หนา 40 มม.ทำสีพ่นสำเร็จจากโรงงาน</t>
  </si>
  <si>
    <t xml:space="preserve"> ขนาด 2x( 0.80 x 2.00 ม.) วงกบเหล็ก ขนาด 2" x 4" ทำสีพ่นสำเร็จจากโรงงาน</t>
  </si>
  <si>
    <t xml:space="preserve"> ขนาด 2x( 0.90 x 2.00 ม.) วงกบเหล็ก ขนาด 2" x 4" ทำสีพ่นสำเร็จจากโรงงาน</t>
  </si>
  <si>
    <t xml:space="preserve"> ประตูบานเปิด-คู่ บานเหล็ก หนา 40 มม./ช่องแสงกระจกใส 2x(0.60x0.85) ม.</t>
  </si>
  <si>
    <t xml:space="preserve"> บานขนาด 2x(0.95x2.00 ม.) วงกบเหล็ก ขนาด 2" x 4" ทำสีพ่นสำเร็จจากโรงงาน</t>
  </si>
  <si>
    <t>M06</t>
  </si>
  <si>
    <t xml:space="preserve"> ขนาด ( 1.00 x 0.85 ม.) วงกบเหล็ก ขนาด 2" x 4" ทำสีพ่นสำเร็จจากโรงงาน</t>
  </si>
  <si>
    <t>M07</t>
  </si>
  <si>
    <t xml:space="preserve"> ขนาด ( 1.00 x 0.95 ม.) วงกบเหล็ก ขนาด 2" x 4" ทำสีพ่นสำเร็จจากโรงงาน</t>
  </si>
  <si>
    <t xml:space="preserve"> ประตูบานสวิง-คู่ อลูมิเนียมสี 514. ลูกฟักกระจกใส หนา 6 มม.</t>
  </si>
  <si>
    <t xml:space="preserve"> ช่องเปิด ขนาด 2 x ( 0.90 x 2.00 ม.) </t>
  </si>
  <si>
    <t xml:space="preserve"> ประตูบานสวิง-คู่ อลูมิเนียมสี 514.พร้อมช่องแสงติดตาย ขนาด 2x(1.125x2.05) ม.</t>
  </si>
  <si>
    <t xml:space="preserve"> ช่องเปิด ขนาด 2 x (0.90 x 2.00 ม.) ลูกฟักกระจกใส 6 มม.</t>
  </si>
  <si>
    <t xml:space="preserve"> ประตูบานเปิด-คู่ ไม้อัดยางชนิดกาวทนน้ำ บานหนา 35 มม. ทำสีพ่นขาว</t>
  </si>
  <si>
    <t xml:space="preserve"> ขนาด 2 x ( 0.40 x 1.20 ม.) วงกบอลูมิเนียมสี 514. หนา 2.0 มม.</t>
  </si>
  <si>
    <t xml:space="preserve"> หน้าต่างบานกระทุ้ง+ช่องแสงติดตาย 2 ช่อง วงกบ-กรอบบาน อลูมิเนียมสี 514.</t>
  </si>
  <si>
    <t xml:space="preserve"> หนา 1.6 มม. กระจกเขียวใส หนา 6 มม.ขนาด 2x(0.95x1.20 ม.)+2x(1.90x0.40 ม)</t>
  </si>
  <si>
    <t xml:space="preserve"> ช่องแสงบน และ+2x(0.95x0.65 ม.) ช่องแสงล่าง</t>
  </si>
  <si>
    <t xml:space="preserve"> บานเลื่อนสลับ+ ช่องแสงติดตาย วงกบ-กรอบบาน อลูมิเนียมสี 514. หนา 1.6 มม.</t>
  </si>
  <si>
    <t xml:space="preserve"> กระจกเขียวใส หนา 6 มม. ขนาด 2x(0.95x1.20 ม.)+2x(1.90x0.40 ม) ช่องแสง</t>
  </si>
  <si>
    <t xml:space="preserve"> บน และ+2x(0.95x0.65 ม.) ช่องแสงล่าง</t>
  </si>
  <si>
    <t xml:space="preserve"> ช่องแสงติดตาย 2 ช่อง วงกบ-กรอบบาน อลูมิเนียมสี 514. หนา 1.6 มม.</t>
  </si>
  <si>
    <t xml:space="preserve"> กระจกเขียวใส หนา 6 มม. ขนาด ( 1.90 x 2.45 ม.)</t>
  </si>
  <si>
    <t xml:space="preserve"> หน้าต่างบานกระทุ้ง 2 ช่อง+ช่องแสงติดตาย 1 ช่อง วงกบ-กรอบบาน อลูมิเนียมสี 514.</t>
  </si>
  <si>
    <t xml:space="preserve"> หนา 1.6 มม. กระจกเขียวใส หนา 6 มม.ขนาด 2x(0.90x0.70 ม.) + (0.90x0.70 ม)</t>
  </si>
  <si>
    <t xml:space="preserve"> หนา 1.6 มม. กระจกเขียวใส หนา 6 มม.ขนาด 2x(0.675x1.20 ม.)+2x(0.675x0.40 ม)</t>
  </si>
  <si>
    <t xml:space="preserve"> ช่องแสงบน และ+2x(0.675x0.65 ม.) ช่องแสงล่าง</t>
  </si>
  <si>
    <t xml:space="preserve"> กระจกเขียวใส หนา 6 มม. ขนาด ( 2.65 x 2.45 ม.)</t>
  </si>
  <si>
    <t xml:space="preserve">ห้องน้ำ (ชาย, หญิง) T-01 - T-04   และ (ผู้พิการ) T-05 </t>
  </si>
  <si>
    <t>COUNTER TOP หินแกรนิต (ในประเทศ) กว้าง 0.60 ม. ยาว 3.80 ม. รวมลูกตั้ง</t>
  </si>
  <si>
    <t xml:space="preserve">TOP หินแกรนิต (ในประเทศ) หลังโถสุขภัณฑ์ กว้าง 0.15 ม. ยาว 0.90 ม. </t>
  </si>
  <si>
    <t xml:space="preserve">TOP หินแกรนิต (ในประเทศ) หลังโถปัสสาวะชาย กว้าง 0.15 ม. ยาว 1.50 ม. </t>
  </si>
  <si>
    <t>อ่างล้างหน้า แบบฝังใต้เคาน์เตอร์  470LM - WT - 0</t>
  </si>
  <si>
    <t>อ่างล้างหน้า แบบแขวนผนัง WP-1511 - WT (สำหรับผู้พิการ)</t>
  </si>
  <si>
    <t>ก๊อกอ่างล้างหน้า-กด ปิดอัตโนมัติ  A - 2410</t>
  </si>
  <si>
    <t>ก๊อกอ่างล้างหน้า  A - 0306 - 10  (สำหรับผู้พิการ)</t>
  </si>
  <si>
    <t>สะดืออ่างล้างหน้า  A - 8007</t>
  </si>
  <si>
    <t>สะดืออ่างล้างหน้า  A - 8016 - A - N  (สำหรับผู้พิการ)</t>
  </si>
  <si>
    <t>ท่อน้ำทิ้งอ่างล้างหน้า  A - 8100 - N</t>
  </si>
  <si>
    <t>STOP VALVE  A - 5601    (สำหรับอ่างล้างหน้า &amp; โถสุขภัณฑ์)</t>
  </si>
  <si>
    <t>สายน้ำดี  A - 800</t>
  </si>
  <si>
    <t>โถสุขภัณฑ์นั่งราบ ชนิด Flush Valve  No. 2481 / SC - WT - 0</t>
  </si>
  <si>
    <t>Flush Valve สำหรับโถสุขภัณฑ์  No. A - 5901 - 06N</t>
  </si>
  <si>
    <t>โถสุขภัณฑ์นั่งราบ ชนิด Flush Tank  No. 21465C - WT - 0  (สำหรับผู้พิการ)</t>
  </si>
  <si>
    <t>โถสุขภัณฑ์นั่งยองมีฐาน ชนิด Flush Valve  No. 100FP - WT - 0</t>
  </si>
  <si>
    <t>Flush Valve สำหรับโถสุขภัณฑ์  No. A - 5902 - 06N</t>
  </si>
  <si>
    <t>โถปัสสาวะชาย  No. 6502 - WT - 0</t>
  </si>
  <si>
    <t>Flush Valve สำหรับโถปัสสาวะชาย  No. A - 5900 - 01N</t>
  </si>
  <si>
    <t>ขอแขวนผ้า  K-2801-41-N</t>
  </si>
  <si>
    <t>ตะแกรงดักกลิ่น  A-8200 N</t>
  </si>
  <si>
    <t>ก๊อกเตี้ย  A-TJ69-10</t>
  </si>
  <si>
    <t>ที่ใส่กระดาษชำระ  KIMBERLY  CLARK (JRT) 0966500 หรือเทียบเท่า</t>
  </si>
  <si>
    <t>สายฉีดชำระ  A-4700 - WT (รวม Stop Valve)</t>
  </si>
  <si>
    <t>สายฉีดชำระ  A-4700A-CH (รวม Stop Valve)  (สำหรับผู้พิการ)</t>
  </si>
  <si>
    <t>ที่ใส่สบู่เหลวพร้อมขวด  VP-WF3184-N</t>
  </si>
  <si>
    <t>กระจกเงา-กรอบแสตนเลส กว้าง 2 ซม.ขนาด ( 0.90 x 0.60 ม.)  (สำหรับผู้พิการ)</t>
  </si>
  <si>
    <t>กระจกเงา-กรอบแสตนเลส กว้าง 2 ซม.ขนาด ( 1.40 x 3.80 ม.)</t>
  </si>
  <si>
    <t>ชุดประตูกั้นห้องน้ำสำเร็จรูปพร้อมอุปกรณ์ "WILLY" หรือเทียบเท่า</t>
  </si>
  <si>
    <t>ราวแขวนผ้า  TF - 9085-WT</t>
  </si>
  <si>
    <t>ราวทรงตัวผู้พิการ สำหรับอ่างล้างมือ  Ø 32 มม.No.HR-320280-01</t>
  </si>
  <si>
    <t>ราวทรงตัวผู้พิการ  รูปตัว L  Ø 32 มม.No.HR-320540-01R</t>
  </si>
  <si>
    <t xml:space="preserve"> ฝักบัวอาบน้ำก้านแข็ง  รุ่น A-650680 </t>
  </si>
  <si>
    <t xml:space="preserve"> วาล์วเปิด-ปิด ฝักบัว / น้ำเย็น ชนิดฝังผนัง รุ่น A-TJ61-10</t>
  </si>
  <si>
    <t>ที่ใส่สบู่แบบฝังผนัง 9000-WT</t>
  </si>
  <si>
    <t>หมวดงานผิวสำเร็จบันได และทางลาด</t>
  </si>
  <si>
    <t xml:space="preserve"> (บันได ค.ส.ล. ขึ้น-ลง ห้องเก็บของ - ชั้นที่ 3)</t>
  </si>
  <si>
    <t>พื้นลูกตั้ง-ลูกนอนบันไดผิวขัดมันเรียบ</t>
  </si>
  <si>
    <t>จมูกบันได เซาะร่องเหลี่ยม กันลื่น ขนาด 5 มม. X 5 มม. ปาดมุมกว้าง 10 มม.(ขยาย N1)</t>
  </si>
  <si>
    <t>ราวกันตกบันได มือจับ+ลูกรงเหล็ก สูง 0.90 ม. ทาสีน้ำมัน (ตามแบบขยาย R1a)</t>
  </si>
  <si>
    <t>(บันได ค.ส.ล. ขึ้น-ลง โถงทางเข้า-ด้านหน้า)</t>
  </si>
  <si>
    <t>จมูกบันไดเซาะร่อง (ตามแบบขยาย N2)</t>
  </si>
  <si>
    <t>ราวบันได มือจับเหล็ก สูง 0.90 ม. ทาสีน้ำมัน (ตามแบบขยาย R3)</t>
  </si>
  <si>
    <t>(บันได ค.ส.ล.ขึ้น-ลง ระเบียงสระว่ายน้ำ)</t>
  </si>
  <si>
    <t>จมูกบันได เซาะร่องเหลี่ยม กันลื่น ขนาด 5 มม. X 5 มม. (แบบขยาย N2)</t>
  </si>
  <si>
    <t>(บันได ค.ส.ล. ทางเข้า-ออก ด้านหลัง-ข้างอัฒจันทร์ ซ้าย, ขวา)  2  ชุด</t>
  </si>
  <si>
    <t>พื้นลูกตั้ง-ลูกนอน และชานพัก บันไดผิวขัดมันเรียบ</t>
  </si>
  <si>
    <r>
      <t xml:space="preserve">บันไดลิงเหล็ก ปีนเข้าถังเก็บน้ำ ราวมือจับ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2" + ลูกนอน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1-1/2" สูง 1.80 ม.</t>
    </r>
  </si>
  <si>
    <r>
      <t xml:space="preserve">บันไดลิงแสตนเลส ปีนออกถังเก็บน้ำ ราวมือจับ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2" + ลูกนอน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1-1/2" สูง 2.05 ม.</t>
    </r>
  </si>
  <si>
    <t>--</t>
  </si>
  <si>
    <t>ทางลาดสำหรับผู้พิการ ขึ้น - ลง ระเบียงสระว่ายน้ำ</t>
  </si>
  <si>
    <t>พื้นทางลาด ค.ส.ล.ผิวขัดหยาบ เซาะร่องกันลื่น ขนาด 1 x 1 ซม. ระยะห่างตามแบบ</t>
  </si>
  <si>
    <t>ราวกันตกเหล็ก Ø 2" + ลูกกรง Ø 1-1/2" @ ตามแบบ สูง 0.90 ม./ ผิวทาสีน้ำมัน - สีเทา</t>
  </si>
  <si>
    <t>ลูกขั้นบันได ขึ้น - ลง อัฒจันทร์</t>
  </si>
  <si>
    <t>หลังคา โพลี่คาร์โบเนต COMPACT SOLID PANEL หนา 4 มม. คลุมทางเดินเชื่อมอาคาร</t>
  </si>
  <si>
    <t>"DANPALON" ของ VISPAC Co.,Ltd. หรือเทียบเท่า (ใช้แผ่นยาว 9.00 ม. รวม 63 แผ่น)</t>
  </si>
  <si>
    <t>รางน้ำแสตนเลส หนา 0.8 มม. ขนาด 0.30 x 0.20 ม. พร้อมชุดติดตั้งและอุปกรณ์</t>
  </si>
  <si>
    <t>หลังคา METAL SHEET "LYSAGHT" TRIMDEK HI - TEN เคลือบสี หนา 0.565 มม.</t>
  </si>
  <si>
    <t>ใต้แผ่นติดตั้งฉนวนกันความร้อน PE. FOAM บุ FOIL 1 ด้าน หนา 10 มม. ( หรือเทียบเท่า )</t>
  </si>
  <si>
    <t xml:space="preserve">FLASHING / ครอบข้าง หุ้มอลูมิเนียมคัมโพสิตไส้กลางชนิด PE. ความหนารวมไม่น้อยกว่า 4 มม. </t>
  </si>
  <si>
    <t xml:space="preserve">กันสาด ตกแต่งหุ้มอลูมิเนียมคัมโพสิท ไส้กลางชนิด PE. ความหนารวมไม่น้อยกว่า 4 มม. </t>
  </si>
  <si>
    <t>ม้านั่ง ค.ส.ล. (สระว่ายน้ำ) กว้าง 0.35 ม. ผิวฉาบปูนขัดมันเรียบ  ปาดมุมกว้าง 10 มม.</t>
  </si>
  <si>
    <t>ฝาปิดรางระบายน้ำรอบสระผิวกรวดล้าง # 5  ขนาดกว้าง 0.30 ม. ยาว 1.00 ม. หนา 0.05 ม.</t>
  </si>
  <si>
    <t>เสาตกแต่งหุ้มอลูมิเนียมคัมโพสิต ไส้กลางชนิด PE. ความหนารวมไม่น้อยกว่า 4 มม.</t>
  </si>
  <si>
    <t xml:space="preserve"> - เสาตกแต่งรอบอาคาร ขนาด ( 0.25 x 0.50 ม.)</t>
  </si>
  <si>
    <t xml:space="preserve"> - เสาตกแต่ง ด้านข้างเหนือกันสาด ขนาด ( 0.15 x 0.50 ม.)</t>
  </si>
  <si>
    <t xml:space="preserve"> - เสาตกแต่ง ทางเดินเชื่อมอาคาร ขนาด ( 0.40 x 0.30 ม.)</t>
  </si>
  <si>
    <t>กระถางต้นไม้ ค.ส.ล. ขนาด 0.45 x 0.40 ม. ผิวภายในขัดมันเรียบ ผสมน้ำยากันซึม</t>
  </si>
  <si>
    <r>
      <t xml:space="preserve">ราวกันตกเหล็ก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2" + ลูกกรง </t>
    </r>
    <r>
      <rPr>
        <sz val="16"/>
        <rFont val="Calibri"/>
        <family val="2"/>
      </rPr>
      <t>Ø</t>
    </r>
    <r>
      <rPr>
        <sz val="12.8"/>
        <rFont val="Cordia New"/>
        <family val="2"/>
      </rPr>
      <t xml:space="preserve"> </t>
    </r>
    <r>
      <rPr>
        <sz val="16"/>
        <rFont val="Cordia New"/>
        <family val="2"/>
      </rPr>
      <t>1-1/2" @ ตามแบบ สูง 0.90 ม./ ผิวทาสีน้ำมัน - สีเทา</t>
    </r>
  </si>
  <si>
    <t>รางระบายน้ำฝน STAINLESS หนา 1.2 มม. พับขึ้นรูปตามแบบ ขนาด ( 0.53 x 1.60 ม.)</t>
  </si>
  <si>
    <t>(ไม่รวมโครงสร้างเหล็กรูปพรรณ ให้ดูในหมวดงานโครงสร้าง)</t>
  </si>
  <si>
    <t>แผงเหล็กบังตาสำหรับปลูกไม้เลื้อยกั้นทางเดินหน้าห้องน้ำ ขนาดตามแบบกำหนด / ผิวทาสีน้ำมัน</t>
  </si>
  <si>
    <t>ม้านั่ง ค.ส.ล.(ลานพลาซ่า) ผิวฉาบปูนขัดมันเรียบ, ปาดลบมุมกว้าง 10 มม.</t>
  </si>
  <si>
    <t>คิดเฉพาะผิว</t>
  </si>
  <si>
    <t>ป้ายชื่ออาคาร-ตัวหนังสือแสตนเลสผิวแฮร์ไลน์ ขนาด 0.30 x 0.40 ม. ติดตั้งตามแบบ</t>
  </si>
  <si>
    <t>บันไดแสตนเลส ขึ้น - ลง สระว่ายน้ำ กว้าง 0.60 ม.</t>
  </si>
  <si>
    <t xml:space="preserve">   -   B-1DNP-01, 02 (@ 6Cu.M./min, H 15 m)</t>
  </si>
  <si>
    <r>
      <t xml:space="preserve">   -   300  มม. </t>
    </r>
    <r>
      <rPr>
        <sz val="11"/>
        <rFont val="Symbol"/>
        <family val="1"/>
        <charset val="2"/>
      </rPr>
      <t xml:space="preserve">Æ </t>
    </r>
  </si>
  <si>
    <t>ระบบบำบัดน้ำเสีย (Waste Water Treatment)</t>
  </si>
  <si>
    <t xml:space="preserve">   -   B-1WWT-01 (50 Cu.M)</t>
  </si>
  <si>
    <t>ระบบสระว่ายน้ำและสระน้ำ (Swimming Pool &amp; Spa System)</t>
  </si>
  <si>
    <t>Pond Filtration Pump (4-Duty, 1 Standby)</t>
  </si>
  <si>
    <t xml:space="preserve">   -   B-1PFP-01 To 04 (@ 140 GPM, @ 18m. H 20 TDH)</t>
  </si>
  <si>
    <t xml:space="preserve">   -   B-1PFP-05 (140 GPM, @ 18m. H 20 TDH) (Standby)</t>
  </si>
  <si>
    <t>High Rate Sand Filter (4-Duty, 1 Standby)</t>
  </si>
  <si>
    <t xml:space="preserve">   -   B-1HSF-01 To 04 (@ 130 GPM)</t>
  </si>
  <si>
    <t xml:space="preserve">   -   B-1HSF-05 (130 GPM) (Standby)</t>
  </si>
  <si>
    <t>Salt Chlorinator</t>
  </si>
  <si>
    <t xml:space="preserve">   -   B-1SCT-01</t>
  </si>
  <si>
    <t>3.5.4</t>
  </si>
  <si>
    <t>Acid Feed Pump</t>
  </si>
  <si>
    <t xml:space="preserve">   -   B-1AFP-01</t>
  </si>
  <si>
    <t>3.5.5</t>
  </si>
  <si>
    <t>Acid Tank</t>
  </si>
  <si>
    <t xml:space="preserve">   -   B-1AST-01</t>
  </si>
  <si>
    <t>3.5.6</t>
  </si>
  <si>
    <t>Mixer</t>
  </si>
  <si>
    <t xml:space="preserve">   -   B-1MIX-01</t>
  </si>
  <si>
    <t>3.5.7</t>
  </si>
  <si>
    <t>pH Controller</t>
  </si>
  <si>
    <t xml:space="preserve">   -   B-1BPC-01</t>
  </si>
  <si>
    <t>3.5.8</t>
  </si>
  <si>
    <t>Chemical Feed Pump Controller &amp; Sensor</t>
  </si>
  <si>
    <t>3.5.9</t>
  </si>
  <si>
    <r>
      <t xml:space="preserve">   -   50  มม. </t>
    </r>
    <r>
      <rPr>
        <sz val="9"/>
        <rFont val="Symbol"/>
        <family val="1"/>
        <charset val="2"/>
      </rPr>
      <t>ฦ</t>
    </r>
  </si>
  <si>
    <r>
      <t xml:space="preserve">   -   65  มม. </t>
    </r>
    <r>
      <rPr>
        <sz val="9"/>
        <rFont val="Symbol"/>
        <family val="1"/>
        <charset val="2"/>
      </rPr>
      <t>ฦ</t>
    </r>
  </si>
  <si>
    <r>
      <t xml:space="preserve">   -   80  มม. </t>
    </r>
    <r>
      <rPr>
        <sz val="9"/>
        <rFont val="Symbol"/>
        <family val="1"/>
        <charset val="2"/>
      </rPr>
      <t>ฦ</t>
    </r>
  </si>
  <si>
    <r>
      <t xml:space="preserve">   -  100  มม. </t>
    </r>
    <r>
      <rPr>
        <sz val="9"/>
        <rFont val="Symbol"/>
        <family val="1"/>
        <charset val="2"/>
      </rPr>
      <t>ฦ</t>
    </r>
  </si>
  <si>
    <r>
      <t xml:space="preserve">   -  150  มม. </t>
    </r>
    <r>
      <rPr>
        <sz val="9"/>
        <rFont val="Symbol"/>
        <family val="1"/>
        <charset val="2"/>
      </rPr>
      <t>ฦ</t>
    </r>
  </si>
  <si>
    <t xml:space="preserve">   -  Fitting Hanger &amp; Support</t>
  </si>
  <si>
    <t>3.5.10</t>
  </si>
  <si>
    <t>3.5.11</t>
  </si>
  <si>
    <t>Butterfly Valve Class 250 PSI WOG</t>
  </si>
  <si>
    <r>
      <t xml:space="preserve">   -  200  มม. </t>
    </r>
    <r>
      <rPr>
        <sz val="9"/>
        <rFont val="Symbol"/>
        <family val="1"/>
        <charset val="2"/>
      </rPr>
      <t>ฦ</t>
    </r>
  </si>
  <si>
    <t>3.5.12</t>
  </si>
  <si>
    <t>Check Valve, Swing Type 150 PSI WOG</t>
  </si>
  <si>
    <t>3.5.13</t>
  </si>
  <si>
    <t>Float Valve, Non-Modulating Type</t>
  </si>
  <si>
    <t>5.3.14</t>
  </si>
  <si>
    <t>3.5.15</t>
  </si>
  <si>
    <t>Adjustable Floor Inlet Fitting</t>
  </si>
  <si>
    <r>
      <t xml:space="preserve">   -   25  มม. </t>
    </r>
    <r>
      <rPr>
        <sz val="9"/>
        <rFont val="Symbol"/>
        <family val="1"/>
        <charset val="2"/>
      </rPr>
      <t>ฦ</t>
    </r>
  </si>
  <si>
    <t>3.5.16</t>
  </si>
  <si>
    <t>Vacuum Fitting</t>
  </si>
  <si>
    <r>
      <t xml:space="preserve">   -   40  มม. </t>
    </r>
    <r>
      <rPr>
        <sz val="9"/>
        <rFont val="Symbol"/>
        <family val="1"/>
        <charset val="2"/>
      </rPr>
      <t>ฦ</t>
    </r>
  </si>
  <si>
    <t>3.5.17</t>
  </si>
  <si>
    <t>Main Drain</t>
  </si>
  <si>
    <t xml:space="preserve">   -   12" x 12"</t>
  </si>
  <si>
    <t>3.5.18</t>
  </si>
  <si>
    <t>Anti-Vortex Main Drain</t>
  </si>
  <si>
    <t>3.5.19</t>
  </si>
  <si>
    <t>อุปกรณ์ประกอบสระน้ำ (Swimming Pool  Accessories)</t>
  </si>
  <si>
    <t>3.5.20</t>
  </si>
  <si>
    <t>3.5.21</t>
  </si>
  <si>
    <t>3.5.22</t>
  </si>
  <si>
    <t xml:space="preserve">   -   B-1DNP-01, 02 (@ 20 Cu.M./min, H 250 m)</t>
  </si>
  <si>
    <t>3.6.4</t>
  </si>
  <si>
    <t>3.7</t>
  </si>
  <si>
    <t>3.7.1.1</t>
  </si>
  <si>
    <t>B-1ESP1</t>
  </si>
  <si>
    <t>3.7.1.2</t>
  </si>
  <si>
    <t>B-1ECB2</t>
  </si>
  <si>
    <t>3.7.1.3</t>
  </si>
  <si>
    <t>B-1SP1</t>
  </si>
  <si>
    <t xml:space="preserve">   - CT  550/5A</t>
  </si>
  <si>
    <t>4.1</t>
  </si>
  <si>
    <t>B-1DB1</t>
  </si>
  <si>
    <t>4.1.1.1</t>
  </si>
  <si>
    <t>3P  200A</t>
  </si>
  <si>
    <t>4.1.1.2</t>
  </si>
  <si>
    <t>4.1.1.3</t>
  </si>
  <si>
    <t>B-1EDB1</t>
  </si>
  <si>
    <t>4.2.1.1</t>
  </si>
  <si>
    <t>3P  225A</t>
  </si>
  <si>
    <t>4.2.1.2</t>
  </si>
  <si>
    <t>4.2.1.3</t>
  </si>
  <si>
    <t>CB Box w/ 3P CB  150A</t>
  </si>
  <si>
    <t>4.4.2</t>
  </si>
  <si>
    <t>4.4.2.1</t>
  </si>
  <si>
    <t>4.4.2.2</t>
  </si>
  <si>
    <t>50   มม²</t>
  </si>
  <si>
    <t>150   มม²</t>
  </si>
  <si>
    <t>4.5.2</t>
  </si>
  <si>
    <t>4.5.2.1</t>
  </si>
  <si>
    <t>4.5.2.2</t>
  </si>
  <si>
    <t>50  มม. Ø</t>
  </si>
  <si>
    <t>4.8.2</t>
  </si>
  <si>
    <t>4.8.3</t>
  </si>
  <si>
    <t>4.8.4</t>
  </si>
  <si>
    <t>4.8.5</t>
  </si>
  <si>
    <t>4.8.6</t>
  </si>
  <si>
    <t>D2 AL</t>
  </si>
  <si>
    <t>4.8.7</t>
  </si>
  <si>
    <t>Wall Lamp (WL214)</t>
  </si>
  <si>
    <t>4.8.8</t>
  </si>
  <si>
    <t>4.8.9</t>
  </si>
  <si>
    <t>4.8.10</t>
  </si>
  <si>
    <t>FL1000</t>
  </si>
  <si>
    <t>4.8.11</t>
  </si>
  <si>
    <t>FL25</t>
  </si>
  <si>
    <t>4.8.12</t>
  </si>
  <si>
    <t>ไฟสระว่ายน้ำ</t>
  </si>
  <si>
    <t>4.8.14</t>
  </si>
  <si>
    <t>HB400</t>
  </si>
  <si>
    <t>4.8.15</t>
  </si>
  <si>
    <t>4.8.16</t>
  </si>
  <si>
    <t>ไฟสนามแบทมินตัน</t>
  </si>
  <si>
    <t>4.8.17</t>
  </si>
  <si>
    <t>4.9.4</t>
  </si>
  <si>
    <t>4.9.5</t>
  </si>
  <si>
    <t>4.9.6</t>
  </si>
  <si>
    <t>Heat Detector</t>
  </si>
  <si>
    <t>4.10.3</t>
  </si>
  <si>
    <t>4.10.4</t>
  </si>
  <si>
    <t>4.10.5</t>
  </si>
  <si>
    <t>4.10.6</t>
  </si>
  <si>
    <t>4.10.7</t>
  </si>
  <si>
    <t>4.10.8</t>
  </si>
  <si>
    <t>4.10.9</t>
  </si>
  <si>
    <t>4.10.10</t>
  </si>
  <si>
    <t>B-GEAF-04 (390 L/s, 100 Pa)</t>
  </si>
  <si>
    <t>B-GEAF-05 (420 L/s, 100 Pa)</t>
  </si>
  <si>
    <t>B-2EAF-07 (520 L/s, 100 Pa)</t>
  </si>
  <si>
    <t>B-2EAF-08 (560 L/s, 100 Pa)</t>
  </si>
  <si>
    <t>5.1.2</t>
  </si>
  <si>
    <t>B-GEAF-06 (50 L/s, 50 Pa)</t>
  </si>
  <si>
    <t>B-2EAF-09 (50 L/s, 50 Pa)</t>
  </si>
  <si>
    <t>5.1.3</t>
  </si>
  <si>
    <t>B-GEAF-07 (25 L/s, _ Pa)</t>
  </si>
  <si>
    <t>B-2EAF-10 (25 L/s, _ Pa)</t>
  </si>
  <si>
    <t>5.1.4</t>
  </si>
  <si>
    <t>B-GEAF-01 To 03 (500 L/s, _ Pa)</t>
  </si>
  <si>
    <t>B-GEAF-08 (700 L/s, 50 Pa)</t>
  </si>
  <si>
    <t>B-GEAF-09 (700 L/s, 50 Pa)</t>
  </si>
  <si>
    <t>B-GEAF-10 (700 L/s, 50 Pa)</t>
  </si>
  <si>
    <t>B-GEAF-11 To 13 (800 L/s, 50 Pa)</t>
  </si>
  <si>
    <t>B-2EAF-01 (1500 L/s, 50 Pa)</t>
  </si>
  <si>
    <t>B-2EAF-02 (1500 L/s, 50 Pa)</t>
  </si>
  <si>
    <t>B-2EAF-03 (1500 L/s, 50 Pa)</t>
  </si>
  <si>
    <t>B-2EAF-04 (1500 L/s, 50 Pa)</t>
  </si>
  <si>
    <t>B-2EAF-05 (1500 L/s, 50 Pa)</t>
  </si>
  <si>
    <t>B-2EAF-06 (1500 L/s, 50 Pa)</t>
  </si>
  <si>
    <t>B-2EAF-11, 12 (500 L/s, 50 Pa)</t>
  </si>
  <si>
    <t>B-MEAF-01 To 04 (500 L/s, 50 Pa)</t>
  </si>
  <si>
    <t>250 x 100</t>
  </si>
  <si>
    <t>1000 x 250</t>
  </si>
  <si>
    <t>5.3.3</t>
  </si>
  <si>
    <t>2000 x 400</t>
  </si>
  <si>
    <t>B-GAP1</t>
  </si>
  <si>
    <t>B-GAP2</t>
  </si>
  <si>
    <t>5.4.3</t>
  </si>
  <si>
    <t xml:space="preserve">              กลุ่มงานที่ 3.   งานภูมิทัศน์,  งานผังบริเวณและสิ่งก่อสร้างประกอบอื่นๆ</t>
  </si>
  <si>
    <t xml:space="preserve">   งานภูมิทัศน์,  งานผังบริเวณและสิ่งก่อสร้างประกอบอื่นๆ</t>
  </si>
  <si>
    <t>งานภูมิทัศน์นุ่ม (SOFTSCAPE)</t>
  </si>
  <si>
    <t>งานภูมิทัศน์แข็ง (HARDSCAPE)  รวมอยู่ในงานสถาปัตย์แล้ว</t>
  </si>
  <si>
    <t>งานไม้ยืนต้น</t>
  </si>
  <si>
    <t>6.1.2</t>
  </si>
  <si>
    <t>งานไม้พุ่ม / ไม้คลุมดิน</t>
  </si>
  <si>
    <t>6.1.3</t>
  </si>
  <si>
    <t>งานวัสดุปลูก</t>
  </si>
  <si>
    <r>
      <t xml:space="preserve"> - ต้นหูกระจง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4" สูง 2.00 ม. ทรงพุ่มกว้าง 2.00 ม.</t>
    </r>
  </si>
  <si>
    <t>รวมราคา ข้อ 6.1.1</t>
  </si>
  <si>
    <r>
      <t xml:space="preserve"> - ชาฮกเกี้ยน กระถาง </t>
    </r>
    <r>
      <rPr>
        <sz val="16"/>
        <rFont val="Calibri"/>
        <family val="2"/>
      </rPr>
      <t>Ø</t>
    </r>
    <r>
      <rPr>
        <sz val="16"/>
        <rFont val="Cordia New"/>
        <family val="2"/>
      </rPr>
      <t xml:space="preserve"> 8" สูง 0.60 ม.(ระยะปลูก @ 0.30 ม.)</t>
    </r>
  </si>
  <si>
    <t xml:space="preserve"> - หญ้ามาเลเซีย</t>
  </si>
  <si>
    <t xml:space="preserve"> - หญ้านวลน้อย</t>
  </si>
  <si>
    <t>รวมราคา ข้อ 6.1.2</t>
  </si>
  <si>
    <t xml:space="preserve"> - ไม้ค้ำยัน</t>
  </si>
  <si>
    <t xml:space="preserve"> - ดินปลูก</t>
  </si>
  <si>
    <t xml:space="preserve"> - ปุ๋ยหมัก หรือ ปุ๋ยอินทรีย์</t>
  </si>
  <si>
    <t>รวมราคา ข้อ 6.1.3</t>
  </si>
  <si>
    <t xml:space="preserve">  งานผังบริเวณและสิ่งก่อสร้างประกอบอื่นๆ</t>
  </si>
  <si>
    <t xml:space="preserve"> งานวิศวกรรมโครงสร้าง งานบริเวณ </t>
  </si>
  <si>
    <t xml:space="preserve"> งานกำแพงกันดิน คสล.</t>
  </si>
  <si>
    <t xml:space="preserve"> งานถนนลาดยาง</t>
  </si>
  <si>
    <t xml:space="preserve"> งานถนนคอนกรีต</t>
  </si>
  <si>
    <t>งานกำแพงกันดิน คสล.</t>
  </si>
  <si>
    <t xml:space="preserve"> งานเสาเข็มตอก [] - 0.15x0.15 ม. </t>
  </si>
  <si>
    <t xml:space="preserve"> รับน้ำหนักบรรทุกปลอดภัยได้ไม่น้อยกว่า 15 ตัน/ต้น</t>
  </si>
  <si>
    <t>7.1.2</t>
  </si>
  <si>
    <t xml:space="preserve"> งานตัดหัวเสาเข็มตอก I - 0.15x0.15 ม. </t>
  </si>
  <si>
    <t>7.1.3</t>
  </si>
  <si>
    <t xml:space="preserve"> งานทดสอบความสมบูรณ์ของเสาเข็มตอก ด้วยวิธี SEISMIC INTEGRITY TEST</t>
  </si>
  <si>
    <t>7.1.4</t>
  </si>
  <si>
    <t xml:space="preserve"> งานดินขุด</t>
  </si>
  <si>
    <t>7.1.5</t>
  </si>
  <si>
    <t xml:space="preserve"> งานดินถมกลับ</t>
  </si>
  <si>
    <t>7.1.6</t>
  </si>
  <si>
    <t xml:space="preserve"> งานทรายถมปรับระดับ</t>
  </si>
  <si>
    <t>7.1.7</t>
  </si>
  <si>
    <t xml:space="preserve"> งานคอนกรีตหยาบ</t>
  </si>
  <si>
    <t>7.1.8</t>
  </si>
  <si>
    <t xml:space="preserve"> งานคอนกรีตโครงสร้าง ผสมน้ำยากันซึม (fc' 280 ksc.)</t>
  </si>
  <si>
    <t>7.1.9</t>
  </si>
  <si>
    <t xml:space="preserve"> งานไม้แบบ</t>
  </si>
  <si>
    <t>7.1.10</t>
  </si>
  <si>
    <t xml:space="preserve"> ตะปู</t>
  </si>
  <si>
    <t>7.1.11</t>
  </si>
  <si>
    <t xml:space="preserve"> งานเหล็กเสริม</t>
  </si>
  <si>
    <t>7.1.12</t>
  </si>
  <si>
    <t xml:space="preserve"> ลวดผูกเหล็ก</t>
  </si>
  <si>
    <t>7.1.13</t>
  </si>
  <si>
    <t xml:space="preserve"> PVC. WATER STOP 8"</t>
  </si>
  <si>
    <t>งานถนนลาดยาง</t>
  </si>
  <si>
    <t>7.2.1</t>
  </si>
  <si>
    <t>SELECTED  MATERIAL CBR 15% MIN.</t>
  </si>
  <si>
    <t>7.2.2</t>
  </si>
  <si>
    <t>ชั้นลูกรังเสริมระดับ บดอัดแน่น หนา 0.30 เมตร CBR 25% MIN.</t>
  </si>
  <si>
    <t>7.2.3</t>
  </si>
  <si>
    <t>ชั้นหินคลุกบดอัดแน่น หนา 0.30 เมตร CBR 90% MIN.</t>
  </si>
  <si>
    <t>7.2.4</t>
  </si>
  <si>
    <t xml:space="preserve">  ASPHALTIC CONCRETE หนา 0.10 ม. (BINDER &amp; WEARING COURSE)</t>
  </si>
  <si>
    <t>รวมราคา ข้อ 7.2</t>
  </si>
  <si>
    <t>งานถนนคอนกรีต</t>
  </si>
  <si>
    <t>7.3.1</t>
  </si>
  <si>
    <t xml:space="preserve"> ชั้นลูกรังเสริมระดับ บดอัดแน่น</t>
  </si>
  <si>
    <t>7.3.2</t>
  </si>
  <si>
    <t>ชั้นหินคลุกบดอัดแน่น หนา 0.20 m.</t>
  </si>
  <si>
    <t>7.3.3</t>
  </si>
  <si>
    <t>ทรายปรับระดับบดอัดแน่น</t>
  </si>
  <si>
    <t>7.3.4</t>
  </si>
  <si>
    <t xml:space="preserve"> งานคอนกรีตโครงสร้าง  (fc' 280 ksc.)</t>
  </si>
  <si>
    <t>7.3.5</t>
  </si>
  <si>
    <t>7.3.6</t>
  </si>
  <si>
    <t>7.3.7</t>
  </si>
  <si>
    <t xml:space="preserve"> งานเหล็กเสริมคอนกรีต</t>
  </si>
  <si>
    <t xml:space="preserve">  - RB 9 มม. (SR-24)</t>
  </si>
  <si>
    <t xml:space="preserve"> - DB 16 mm. TIE BAR L = 0.50 m.@ 0.60 m.</t>
  </si>
  <si>
    <t xml:space="preserve"> - RB 15 mm. PAINTED&amp;GREASED SMMOTH DOWEL BAR</t>
  </si>
  <si>
    <t xml:space="preserve">    L = 0.50 m. @ 0.30 m.</t>
  </si>
  <si>
    <t xml:space="preserve"> - Wire Mesh Dia 4 mm. @ 0.10 m.  </t>
  </si>
  <si>
    <t>7.3.8</t>
  </si>
  <si>
    <t>7.3.9</t>
  </si>
  <si>
    <t>แผ่นพลาสติก หนา 0.07 m. กว้าง 1.20 ม.</t>
  </si>
  <si>
    <t>7.3.10</t>
  </si>
  <si>
    <t>ยางมะตอย กว้าง 1 cm.</t>
  </si>
  <si>
    <t>รวมราคา ข้อ 7.3</t>
  </si>
  <si>
    <t>8.1.1.1</t>
  </si>
  <si>
    <t>8.1.2.1</t>
  </si>
  <si>
    <t>รวมราคาข้อ 8.1</t>
  </si>
  <si>
    <t>8.2.1.3</t>
  </si>
  <si>
    <t>8.2.1.4</t>
  </si>
  <si>
    <t>รวมราคาข้อ 8.2</t>
  </si>
  <si>
    <t xml:space="preserve">                                                                                                                                  </t>
  </si>
  <si>
    <t xml:space="preserve">               แบบ ปร.6   แผ่นที่ 1</t>
  </si>
  <si>
    <t>แบบสรุปราคากลางงานก่อสร้างอาคาร</t>
  </si>
  <si>
    <r>
      <rPr>
        <b/>
        <sz val="16"/>
        <rFont val="TH SarabunPSK"/>
        <family val="2"/>
      </rPr>
      <t>ชื่อโครงการ</t>
    </r>
    <r>
      <rPr>
        <sz val="16"/>
        <rFont val="TH SarabunPSK"/>
        <family val="2"/>
      </rPr>
      <t xml:space="preserve"> : อาคารกิจการนักศึกษาและนันทนาการ    ตำบลในเมือง     อำเภอเมือง     จังหวัดนครราชสีมา</t>
    </r>
  </si>
  <si>
    <r>
      <rPr>
        <b/>
        <sz val="16"/>
        <color indexed="8"/>
        <rFont val="TH SarabunPSK"/>
        <family val="2"/>
      </rPr>
      <t>สถานที่ก่อสร้าง</t>
    </r>
    <r>
      <rPr>
        <sz val="16"/>
        <color indexed="8"/>
        <rFont val="TH SarabunPSK"/>
        <family val="2"/>
      </rPr>
      <t xml:space="preserve">  :  ศูนย์กลาง มหาวิทยาลัยเทคโนโลยีราชมงคลอีสาน</t>
    </r>
  </si>
  <si>
    <t>แบบ ปร. 4 และ ปร. 5  ที่แนบ          มีจำนวน                  ชุด</t>
  </si>
  <si>
    <t>หน่วย : บาท</t>
  </si>
  <si>
    <t>กลุ่มงานที่  1</t>
  </si>
  <si>
    <t>กลุ่มงานที่  2</t>
  </si>
  <si>
    <t>กลุ่มงานที่  3</t>
  </si>
  <si>
    <t>งานเฟอร์นิเจอร์-ลอยตัว</t>
  </si>
  <si>
    <t xml:space="preserve">                      ราคากลาง</t>
  </si>
  <si>
    <t>ราคากลาง    (หนึ่งร้อยเก้าสิบหกล้านหกแสนบาทถ้วน)</t>
  </si>
  <si>
    <t>พื้นที่ใช้สอยอาคารจำนวน  15,157   ตร.ม.</t>
  </si>
  <si>
    <t>เฉลี่ย</t>
  </si>
  <si>
    <t>บาท / ตร.ม.</t>
  </si>
  <si>
    <t xml:space="preserve">               แบบ ปร.5   (ก)</t>
  </si>
  <si>
    <r>
      <rPr>
        <b/>
        <sz val="16"/>
        <color indexed="8"/>
        <rFont val="TH SarabunPSK"/>
        <family val="2"/>
      </rPr>
      <t>กลุ่มงาน</t>
    </r>
    <r>
      <rPr>
        <sz val="16"/>
        <color indexed="8"/>
        <rFont val="TH SarabunPSK"/>
        <family val="2"/>
      </rPr>
      <t xml:space="preserve">          :  สรุปค่าก่อสร้าง</t>
    </r>
  </si>
  <si>
    <r>
      <rPr>
        <b/>
        <sz val="16"/>
        <color theme="1"/>
        <rFont val="TH SarabunPSK"/>
        <family val="2"/>
      </rPr>
      <t>ชื่อโครงการ</t>
    </r>
    <r>
      <rPr>
        <sz val="16"/>
        <color theme="1"/>
        <rFont val="TH SarabunPSK"/>
        <family val="2"/>
      </rPr>
      <t xml:space="preserve">      :  อาคารกิจการนักศึกษาและนันทนาการ    ตำบลในเมือง     อำเภอเมือง     จังหวัดนครราชสีมา</t>
    </r>
  </si>
  <si>
    <r>
      <rPr>
        <b/>
        <sz val="16"/>
        <color indexed="8"/>
        <rFont val="TH SarabunPSK"/>
        <family val="2"/>
      </rPr>
      <t>เจ้าของโครงการ</t>
    </r>
    <r>
      <rPr>
        <sz val="16"/>
        <color indexed="8"/>
        <rFont val="TH SarabunPSK"/>
        <family val="2"/>
      </rPr>
      <t xml:space="preserve"> :  มหาวิทยาลัยเทคโนโลยีราชมงคลอีสาน</t>
    </r>
  </si>
  <si>
    <t xml:space="preserve">แบบเลขที่  : </t>
  </si>
  <si>
    <r>
      <rPr>
        <b/>
        <sz val="16"/>
        <color indexed="8"/>
        <rFont val="TH SarabunPSK"/>
        <family val="2"/>
      </rPr>
      <t>แบบเลขที่</t>
    </r>
    <r>
      <rPr>
        <sz val="16"/>
        <color indexed="8"/>
        <rFont val="TH SarabunPSK"/>
        <family val="2"/>
      </rPr>
      <t xml:space="preserve">  : </t>
    </r>
  </si>
  <si>
    <t>แบบ  ปร.4 ที่แนบ  มีจำนวน       หน้า</t>
  </si>
  <si>
    <t>รวมค่างานต้นทุน</t>
  </si>
  <si>
    <t>Factor F</t>
  </si>
  <si>
    <t>ส่วนที่  1</t>
  </si>
  <si>
    <t xml:space="preserve">งานโครงสร้าง, สถาปัตย์ และงานระบบ  </t>
  </si>
  <si>
    <t xml:space="preserve">งานครุภัณฑ์จัดจ้างหรือสั่งทำ </t>
  </si>
  <si>
    <t xml:space="preserve">งานตกแต่งภายใน </t>
  </si>
  <si>
    <t xml:space="preserve">งานภูมิทัศน์  </t>
  </si>
  <si>
    <t>งานผังบริเวณและสิ่งประกอบอื่น ๆ</t>
  </si>
  <si>
    <t>รวมราคางานก่อสร้าง</t>
  </si>
  <si>
    <t>เงินล่วงหน้าจ่าย   10 %</t>
  </si>
  <si>
    <t>เงินค้ำประกันผลงาน  0%</t>
  </si>
  <si>
    <t>ดอกเบี้ยเงินกู้   7% ต่อปี</t>
  </si>
  <si>
    <t>ภาษีมูลค่าเพิ่ม   7%</t>
  </si>
  <si>
    <t xml:space="preserve">               แบบ ปร.5   (ข)</t>
  </si>
  <si>
    <t>คำนวณราคากลางเมื่อวันที่   2   พฤศจิกายน  พ.ศ. 2558</t>
  </si>
  <si>
    <t>ภาษีมูลค่าเพิ่ม</t>
  </si>
  <si>
    <t xml:space="preserve">งานครุภัณฑ์จัดซื้อหรือสั่งซื้อ </t>
  </si>
  <si>
    <t>ร้อยละ 7</t>
  </si>
  <si>
    <t>เงื่อนไขการใช้ตาราง factor F = -</t>
  </si>
  <si>
    <t>เงินล่วงหน้าจ่าย   - %</t>
  </si>
  <si>
    <t>ประมาณราคา เมื่อวันที่ 15  เดือน พฤศจิกายน พ.ศ. 2558</t>
  </si>
  <si>
    <t>คำนวณราคากลางเมื่อวันที่   15    พฤศจิกายน  พ.ศ. 2558</t>
  </si>
  <si>
    <t>1.1.</t>
  </si>
  <si>
    <t>งานระบบสุขาภิบาล, ปรับอากาศ และระบายอากาศ</t>
  </si>
  <si>
    <t>CB, IC ≥ 40 KA</t>
  </si>
  <si>
    <t>8.4.1</t>
  </si>
  <si>
    <t>รวมราคา ข้อ 8.4</t>
  </si>
  <si>
    <t>ครุภัณฑ์ - งานระบบไฟฟ้า และสื่อสาร</t>
  </si>
  <si>
    <t xml:space="preserve"> - งานระบบไฟฟ้า และสื่อสาร</t>
  </si>
  <si>
    <t xml:space="preserve"> เครื่องกำเนิดไฟฟ้าสำรอง (Standby Generator Set)</t>
  </si>
  <si>
    <t>8.4.1.1</t>
  </si>
  <si>
    <t>8.4.1.2</t>
  </si>
  <si>
    <t>8.4.1.3</t>
  </si>
  <si>
    <t>8.4.1.4</t>
  </si>
  <si>
    <t>8.4.1.4.1</t>
  </si>
  <si>
    <t>8.4.1.5</t>
  </si>
  <si>
    <t>8.4.1.6</t>
  </si>
  <si>
    <t>8.5.1</t>
  </si>
  <si>
    <t>ครุภัณฑ์ - งานระบบลิฟท์</t>
  </si>
  <si>
    <t>ลิฟท์โดยสาร และขนอุปกรณ์</t>
  </si>
  <si>
    <t>รวมราคา ข้อ 8.5</t>
  </si>
  <si>
    <t>งานระบบลิฟท์</t>
  </si>
  <si>
    <t xml:space="preserve"> - งานระบบลิฟท์</t>
  </si>
  <si>
    <t>เงื่อนไขการใช้ตาราง factor F = 1.1874</t>
  </si>
  <si>
    <t xml:space="preserve"> - งานระบบสุขาภิบาล</t>
  </si>
  <si>
    <t>ห้องล้างจาน</t>
  </si>
  <si>
    <t>บ่อดักไขมัน</t>
  </si>
  <si>
    <t>โต๊ะไม่มีชั้นล่าง 700x700x865+150</t>
  </si>
  <si>
    <t>ก๊อกน้ำ pre -rinse spay unit</t>
  </si>
  <si>
    <t>เครื่องล้างจาน</t>
  </si>
  <si>
    <t>ชั้นซี่เก็บจาน 4 ชั้น 1500x500x1500</t>
  </si>
  <si>
    <t>ชั้นซี่เก็บจาน 4 ชั้น 1800x500x1500</t>
  </si>
  <si>
    <t>ชั้นซี่เก็บจาน 4 ชั้น 2200x500x1500</t>
  </si>
  <si>
    <t>โต๊ะมีชั้นล่าง 2 ชั้น</t>
  </si>
  <si>
    <t>รถเก็บจานสกปรก</t>
  </si>
  <si>
    <t>อุปกรณ์ประกอบการติดตั้งอื่นๆ</t>
  </si>
  <si>
    <t>8.2.4</t>
  </si>
  <si>
    <t>8.2.4.1</t>
  </si>
  <si>
    <t>8.2.4.2</t>
  </si>
  <si>
    <t>8.2.4.3</t>
  </si>
  <si>
    <t>8.2.4.4</t>
  </si>
  <si>
    <t>8.2.4.5</t>
  </si>
  <si>
    <t>8.2.4.6</t>
  </si>
  <si>
    <t>8.2.4.7</t>
  </si>
  <si>
    <t>8.2.4.8</t>
  </si>
  <si>
    <t>8.2.4.9</t>
  </si>
  <si>
    <t>8.2.4.10</t>
  </si>
  <si>
    <t>8.2.4.11</t>
  </si>
  <si>
    <t>8.2.4.12</t>
  </si>
  <si>
    <t>งานระบบไฟฟ้าและสื่อสาร</t>
  </si>
  <si>
    <t>งานระบบปรับอากาศและระบายอากาศ</t>
  </si>
  <si>
    <t>อ่างซิงค์ล้าง 2 หลุม 2200x700x865+150</t>
  </si>
  <si>
    <t>โต๊ะเกี่ยวออกเครื่องล้างจาน</t>
  </si>
  <si>
    <t>8.1.13</t>
  </si>
  <si>
    <t>เครื่องทำน้ำเย็นพร้อมเครื่องกรองน้ำ ขนาด 4 ก๊อก</t>
  </si>
  <si>
    <t>8.1.14</t>
  </si>
  <si>
    <t>ตู้ล็อกเกอร์แบบ 18 ช่อง</t>
  </si>
  <si>
    <t>8.1.15</t>
  </si>
  <si>
    <t xml:space="preserve">โทรทัศน์ แอล อี ดี (LED TV) ระดับความละเอียดจอภาพ 1920 x 1080 พิกเซล </t>
  </si>
  <si>
    <t>ขนาด 55 นิ้ว พร้อมอุปกรณ์ติดตั้ง</t>
  </si>
  <si>
    <t>8.4.2</t>
  </si>
  <si>
    <t>กล้องวงจรปิด พร้อมเครื่องบันทึก รวมอุปกรณ์ติดตั้ง</t>
  </si>
  <si>
    <t xml:space="preserve"> - เครื่องบันทึก ความจุไม่น้อยกว่า 2TB จำนวน 1 เครื่อง</t>
  </si>
  <si>
    <t xml:space="preserve"> - กล้องวงจรปิด ความละเอียด 5MP จำนวน 16 ตัว</t>
  </si>
  <si>
    <t>8.1.16</t>
  </si>
  <si>
    <t>ชุดอุปกรณ์กีฬาเทเบิลเทนนิส (ป้ายบอกคะแนน ,โต๊ะเทเบิลเทนนิส ,แผงกั้นลูก)</t>
  </si>
  <si>
    <t>ครุภัณฑ์งานระบบไฟฟ้า และสื่อสาร</t>
  </si>
  <si>
    <t>ครุภัณฑ์งานระบบลิฟท์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</si>
</sst>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  <numFmt numFmtId="169" formatCode="#,##0\ \ "/>
    <numFmt numFmtId="170" formatCode="0.0."/>
    <numFmt numFmtId="171" formatCode="0."/>
    <numFmt numFmtId="172" formatCode="0.0000"/>
    <numFmt numFmtId="173" formatCode="#,##0.00_ ;[Red]\-#,##0.00\ "/>
    <numFmt numFmtId="174" formatCode="#,##0_ ;[Red]\-#,##0\ "/>
    <numFmt numFmtId="175" formatCode="0.00."/>
    <numFmt numFmtId="176" formatCode="0.0"/>
    <numFmt numFmtId="177" formatCode="#,##0.0"/>
    <numFmt numFmtId="178" formatCode="_-* #,##0.0_-;\-* #,##0.0_-;_-* &quot;-&quot;??_-;_-@_-"/>
    <numFmt numFmtId="179" formatCode="0_ ;[Red]\-0\ "/>
    <numFmt numFmtId="180" formatCode="0.0000000"/>
  </numFmts>
  <fonts count="57">
    <font>
      <sz val="14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1"/>
      <name val="Cordia New"/>
      <family val="2"/>
    </font>
    <font>
      <sz val="14"/>
      <color indexed="10"/>
      <name val="Cordia New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sz val="10"/>
      <name val="Arial"/>
      <family val="2"/>
    </font>
    <font>
      <sz val="11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u/>
      <sz val="16"/>
      <name val="Cordia New"/>
      <family val="2"/>
    </font>
    <font>
      <i/>
      <sz val="16"/>
      <name val="Cordia New"/>
      <family val="2"/>
    </font>
    <font>
      <b/>
      <sz val="18"/>
      <name val="Cordia New"/>
      <family val="2"/>
    </font>
    <font>
      <sz val="10"/>
      <name val="Tahoma"/>
      <family val="2"/>
    </font>
    <font>
      <sz val="16"/>
      <name val="Calibri"/>
      <family val="2"/>
    </font>
    <font>
      <sz val="12.8"/>
      <name val="Cordia New"/>
      <family val="2"/>
    </font>
    <font>
      <sz val="12"/>
      <name val="Cordia New"/>
      <family val="2"/>
    </font>
    <font>
      <sz val="16"/>
      <color rgb="FFFF0000"/>
      <name val="Cordia New"/>
      <family val="2"/>
    </font>
    <font>
      <u/>
      <sz val="14"/>
      <name val="Cordia New"/>
      <family val="2"/>
    </font>
    <font>
      <b/>
      <sz val="16"/>
      <color rgb="FFFF0000"/>
      <name val="Cordia New"/>
      <family val="2"/>
    </font>
    <font>
      <sz val="16"/>
      <color indexed="10"/>
      <name val="Cordia New"/>
      <family val="2"/>
    </font>
    <font>
      <b/>
      <u/>
      <sz val="16"/>
      <name val="Cordia New"/>
      <family val="2"/>
    </font>
    <font>
      <sz val="16"/>
      <name val="TH SarabunPSK"/>
      <family val="2"/>
    </font>
    <font>
      <b/>
      <sz val="11"/>
      <name val="Tahoma"/>
      <family val="2"/>
    </font>
    <font>
      <sz val="15"/>
      <name val="Cordia New"/>
      <family val="2"/>
    </font>
    <font>
      <i/>
      <sz val="12"/>
      <name val="Cordia New"/>
      <family val="2"/>
    </font>
    <font>
      <sz val="11"/>
      <name val="Symbol"/>
      <family val="1"/>
      <charset val="2"/>
    </font>
    <font>
      <sz val="10"/>
      <name val="Symbol"/>
      <family val="1"/>
      <charset val="2"/>
    </font>
    <font>
      <sz val="16"/>
      <name val="Arial"/>
      <family val="2"/>
    </font>
    <font>
      <sz val="10"/>
      <name val="Cordia New"/>
      <family val="2"/>
    </font>
    <font>
      <b/>
      <sz val="14"/>
      <name val="TisaPro"/>
      <family val="3"/>
    </font>
    <font>
      <b/>
      <sz val="16"/>
      <name val="Browallia New"/>
      <family val="2"/>
    </font>
    <font>
      <sz val="14"/>
      <name val="Browallia New"/>
      <family val="2"/>
    </font>
    <font>
      <sz val="9"/>
      <name val="Symbol"/>
      <family val="1"/>
      <charset val="2"/>
    </font>
    <font>
      <sz val="14"/>
      <name val="BrowalliaUPC"/>
      <family val="2"/>
      <charset val="222"/>
    </font>
    <font>
      <sz val="11"/>
      <name val="Arial"/>
      <family val="2"/>
    </font>
    <font>
      <sz val="12"/>
      <name val="Arial"/>
      <family val="2"/>
    </font>
    <font>
      <sz val="13.6"/>
      <name val="Cordia New"/>
      <family val="2"/>
    </font>
    <font>
      <sz val="12.5"/>
      <name val="DilleniaUPC"/>
      <family val="1"/>
    </font>
    <font>
      <sz val="16"/>
      <name val="BrowalliaUPC"/>
      <family val="2"/>
      <charset val="222"/>
    </font>
    <font>
      <sz val="18"/>
      <name val="BrowalliaUPC"/>
      <family val="2"/>
      <charset val="222"/>
    </font>
    <font>
      <sz val="14"/>
      <name val="Times New Roman"/>
      <family val="1"/>
      <charset val="222"/>
    </font>
    <font>
      <b/>
      <sz val="16"/>
      <name val="TH SarabunPSK"/>
      <family val="2"/>
    </font>
    <font>
      <sz val="11"/>
      <name val="Cordia New"/>
      <family val="2"/>
    </font>
    <font>
      <b/>
      <i/>
      <sz val="16"/>
      <name val="Cordia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rgb="FFFF0000"/>
      </bottom>
      <diagonal/>
    </border>
    <border>
      <left/>
      <right/>
      <top style="hair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FF0000"/>
      </bottom>
      <diagonal/>
    </border>
    <border>
      <left/>
      <right style="thin">
        <color indexed="64"/>
      </right>
      <top style="hair">
        <color indexed="64"/>
      </top>
      <bottom style="thin">
        <color rgb="FFFF0000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39" fillId="0" borderId="0"/>
    <xf numFmtId="166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22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6" fontId="1" fillId="0" borderId="7" xfId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6" fontId="1" fillId="0" borderId="10" xfId="1" applyFont="1" applyBorder="1" applyAlignment="1">
      <alignment vertical="center"/>
    </xf>
    <xf numFmtId="3" fontId="3" fillId="0" borderId="10" xfId="0" quotePrefix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8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166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6" fontId="8" fillId="0" borderId="0" xfId="1" applyFont="1" applyFill="1" applyBorder="1" applyAlignment="1">
      <alignment horizontal="center" vertical="center"/>
    </xf>
    <xf numFmtId="166" fontId="8" fillId="0" borderId="11" xfId="1" applyFont="1" applyFill="1" applyBorder="1" applyAlignment="1">
      <alignment vertical="center"/>
    </xf>
    <xf numFmtId="0" fontId="0" fillId="0" borderId="11" xfId="0" applyBorder="1"/>
    <xf numFmtId="0" fontId="8" fillId="0" borderId="11" xfId="0" applyFont="1" applyFill="1" applyBorder="1" applyAlignment="1">
      <alignment vertical="center"/>
    </xf>
    <xf numFmtId="167" fontId="8" fillId="0" borderId="11" xfId="0" applyNumberFormat="1" applyFont="1" applyFill="1" applyBorder="1" applyAlignment="1">
      <alignment vertical="center"/>
    </xf>
    <xf numFmtId="0" fontId="0" fillId="0" borderId="11" xfId="0" applyFill="1" applyBorder="1"/>
    <xf numFmtId="166" fontId="8" fillId="0" borderId="8" xfId="1" applyFont="1" applyFill="1" applyBorder="1" applyAlignment="1">
      <alignment vertical="center"/>
    </xf>
    <xf numFmtId="0" fontId="0" fillId="0" borderId="8" xfId="0" applyBorder="1"/>
    <xf numFmtId="0" fontId="8" fillId="0" borderId="8" xfId="0" applyFont="1" applyFill="1" applyBorder="1" applyAlignment="1">
      <alignment vertical="center"/>
    </xf>
    <xf numFmtId="167" fontId="8" fillId="0" borderId="8" xfId="0" applyNumberFormat="1" applyFont="1" applyFill="1" applyBorder="1" applyAlignment="1">
      <alignment vertical="center"/>
    </xf>
    <xf numFmtId="0" fontId="0" fillId="0" borderId="8" xfId="0" applyFill="1" applyBorder="1"/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166" fontId="8" fillId="0" borderId="8" xfId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7" fontId="9" fillId="2" borderId="9" xfId="1" applyNumberFormat="1" applyFont="1" applyFill="1" applyBorder="1" applyAlignment="1">
      <alignment horizontal="center" vertical="center"/>
    </xf>
    <xf numFmtId="168" fontId="9" fillId="2" borderId="9" xfId="1" applyNumberFormat="1" applyFont="1" applyFill="1" applyBorder="1" applyAlignment="1">
      <alignment horizontal="center" vertical="center"/>
    </xf>
    <xf numFmtId="168" fontId="9" fillId="2" borderId="9" xfId="1" applyNumberFormat="1" applyFont="1" applyFill="1" applyBorder="1" applyAlignment="1">
      <alignment horizontal="left" vertical="center"/>
    </xf>
    <xf numFmtId="170" fontId="9" fillId="2" borderId="10" xfId="0" applyNumberFormat="1" applyFont="1" applyFill="1" applyBorder="1" applyAlignment="1">
      <alignment horizontal="center" vertical="center"/>
    </xf>
    <xf numFmtId="171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167" fontId="9" fillId="2" borderId="13" xfId="1" applyNumberFormat="1" applyFont="1" applyFill="1" applyBorder="1" applyAlignment="1">
      <alignment horizontal="center" vertical="center"/>
    </xf>
    <xf numFmtId="168" fontId="9" fillId="2" borderId="13" xfId="1" applyNumberFormat="1" applyFont="1" applyFill="1" applyBorder="1" applyAlignment="1">
      <alignment horizontal="center" vertical="center"/>
    </xf>
    <xf numFmtId="166" fontId="9" fillId="2" borderId="13" xfId="1" applyNumberFormat="1" applyFont="1" applyFill="1" applyBorder="1" applyAlignment="1">
      <alignment horizontal="center" vertical="center"/>
    </xf>
    <xf numFmtId="168" fontId="9" fillId="2" borderId="13" xfId="1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166" fontId="9" fillId="2" borderId="9" xfId="1" applyNumberFormat="1" applyFont="1" applyFill="1" applyBorder="1" applyAlignment="1">
      <alignment horizontal="center" vertical="center"/>
    </xf>
    <xf numFmtId="171" fontId="9" fillId="2" borderId="7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167" fontId="9" fillId="2" borderId="16" xfId="1" applyNumberFormat="1" applyFont="1" applyFill="1" applyBorder="1" applyAlignment="1">
      <alignment vertical="center"/>
    </xf>
    <xf numFmtId="168" fontId="9" fillId="2" borderId="16" xfId="1" applyNumberFormat="1" applyFont="1" applyFill="1" applyBorder="1" applyAlignment="1">
      <alignment vertical="center"/>
    </xf>
    <xf numFmtId="166" fontId="9" fillId="2" borderId="16" xfId="1" applyNumberFormat="1" applyFont="1" applyFill="1" applyBorder="1" applyAlignment="1">
      <alignment vertical="center"/>
    </xf>
    <xf numFmtId="168" fontId="12" fillId="2" borderId="19" xfId="1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8" xfId="0" quotePrefix="1" applyFont="1" applyBorder="1" applyAlignment="1">
      <alignment horizontal="right" vertical="center"/>
    </xf>
    <xf numFmtId="166" fontId="2" fillId="0" borderId="7" xfId="1" applyFont="1" applyBorder="1" applyAlignment="1">
      <alignment vertical="center"/>
    </xf>
    <xf numFmtId="9" fontId="2" fillId="0" borderId="11" xfId="0" applyNumberFormat="1" applyFont="1" applyBorder="1" applyAlignment="1">
      <alignment horizontal="center" vertical="center"/>
    </xf>
    <xf numFmtId="166" fontId="2" fillId="0" borderId="10" xfId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0" fontId="1" fillId="0" borderId="12" xfId="0" applyNumberFormat="1" applyFont="1" applyBorder="1" applyAlignment="1">
      <alignment vertical="center"/>
    </xf>
    <xf numFmtId="10" fontId="1" fillId="0" borderId="23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10" fontId="1" fillId="0" borderId="25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8" xfId="0" applyFont="1" applyBorder="1"/>
    <xf numFmtId="0" fontId="9" fillId="0" borderId="8" xfId="0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166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6" fontId="1" fillId="0" borderId="8" xfId="1" applyFont="1" applyFill="1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6" fontId="9" fillId="0" borderId="0" xfId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67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/>
    </xf>
    <xf numFmtId="167" fontId="8" fillId="0" borderId="28" xfId="1" applyNumberFormat="1" applyFont="1" applyFill="1" applyBorder="1" applyAlignment="1">
      <alignment horizontal="center" vertical="center"/>
    </xf>
    <xf numFmtId="167" fontId="8" fillId="0" borderId="30" xfId="1" applyNumberFormat="1" applyFont="1" applyFill="1" applyBorder="1" applyAlignment="1">
      <alignment horizontal="center" vertical="center"/>
    </xf>
    <xf numFmtId="169" fontId="8" fillId="0" borderId="36" xfId="1" applyNumberFormat="1" applyFont="1" applyFill="1" applyBorder="1" applyAlignment="1">
      <alignment horizontal="center" vertical="center"/>
    </xf>
    <xf numFmtId="169" fontId="9" fillId="2" borderId="11" xfId="1" applyNumberFormat="1" applyFont="1" applyFill="1" applyBorder="1" applyAlignment="1">
      <alignment horizontal="center" vertical="center"/>
    </xf>
    <xf numFmtId="167" fontId="9" fillId="2" borderId="8" xfId="1" applyNumberFormat="1" applyFont="1" applyFill="1" applyBorder="1" applyAlignment="1">
      <alignment horizontal="center" vertical="center"/>
    </xf>
    <xf numFmtId="167" fontId="9" fillId="2" borderId="11" xfId="1" applyNumberFormat="1" applyFont="1" applyFill="1" applyBorder="1" applyAlignment="1">
      <alignment horizontal="center" vertical="center"/>
    </xf>
    <xf numFmtId="166" fontId="9" fillId="2" borderId="8" xfId="1" applyNumberFormat="1" applyFont="1" applyFill="1" applyBorder="1" applyAlignment="1">
      <alignment horizontal="center" vertical="center"/>
    </xf>
    <xf numFmtId="166" fontId="9" fillId="2" borderId="17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horizontal="center" vertical="center"/>
    </xf>
    <xf numFmtId="3" fontId="9" fillId="2" borderId="42" xfId="1" applyNumberFormat="1" applyFont="1" applyFill="1" applyBorder="1" applyAlignment="1">
      <alignment horizontal="center" vertical="center"/>
    </xf>
    <xf numFmtId="167" fontId="9" fillId="2" borderId="43" xfId="1" applyNumberFormat="1" applyFont="1" applyFill="1" applyBorder="1" applyAlignment="1">
      <alignment horizontal="center" vertical="center"/>
    </xf>
    <xf numFmtId="167" fontId="9" fillId="2" borderId="42" xfId="1" applyNumberFormat="1" applyFont="1" applyFill="1" applyBorder="1" applyAlignment="1">
      <alignment horizontal="center" vertical="center"/>
    </xf>
    <xf numFmtId="166" fontId="9" fillId="2" borderId="42" xfId="1" applyNumberFormat="1" applyFont="1" applyFill="1" applyBorder="1" applyAlignment="1">
      <alignment horizontal="center" vertical="center"/>
    </xf>
    <xf numFmtId="166" fontId="9" fillId="2" borderId="43" xfId="1" applyNumberFormat="1" applyFont="1" applyFill="1" applyBorder="1" applyAlignment="1">
      <alignment horizontal="center" vertical="center"/>
    </xf>
    <xf numFmtId="166" fontId="9" fillId="2" borderId="44" xfId="1" applyNumberFormat="1" applyFont="1" applyFill="1" applyBorder="1" applyAlignment="1">
      <alignment vertical="center"/>
    </xf>
    <xf numFmtId="168" fontId="9" fillId="2" borderId="8" xfId="1" applyNumberFormat="1" applyFont="1" applyFill="1" applyBorder="1" applyAlignment="1">
      <alignment horizontal="center" vertical="center"/>
    </xf>
    <xf numFmtId="168" fontId="9" fillId="2" borderId="43" xfId="1" applyNumberFormat="1" applyFont="1" applyFill="1" applyBorder="1" applyAlignment="1">
      <alignment horizontal="center" vertical="center"/>
    </xf>
    <xf numFmtId="168" fontId="8" fillId="0" borderId="0" xfId="2" applyNumberFormat="1" applyFont="1" applyFill="1" applyBorder="1" applyAlignment="1">
      <alignment horizontal="right" vertical="top"/>
    </xf>
    <xf numFmtId="166" fontId="8" fillId="0" borderId="8" xfId="1" applyFont="1" applyFill="1" applyBorder="1" applyAlignment="1">
      <alignment horizontal="left" vertical="center"/>
    </xf>
    <xf numFmtId="0" fontId="0" fillId="0" borderId="11" xfId="0" quotePrefix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170" fontId="9" fillId="2" borderId="10" xfId="0" applyNumberFormat="1" applyFont="1" applyFill="1" applyBorder="1" applyAlignment="1">
      <alignment horizontal="right" vertical="center"/>
    </xf>
    <xf numFmtId="171" fontId="9" fillId="2" borderId="8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71" fontId="10" fillId="2" borderId="8" xfId="0" applyNumberFormat="1" applyFont="1" applyFill="1" applyBorder="1" applyAlignment="1">
      <alignment horizontal="center" vertical="center"/>
    </xf>
    <xf numFmtId="171" fontId="10" fillId="2" borderId="8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171" fontId="10" fillId="3" borderId="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66" fontId="0" fillId="0" borderId="0" xfId="1" applyFont="1"/>
    <xf numFmtId="166" fontId="8" fillId="0" borderId="28" xfId="1" applyFont="1" applyFill="1" applyBorder="1" applyAlignment="1">
      <alignment horizontal="center" vertical="center"/>
    </xf>
    <xf numFmtId="166" fontId="8" fillId="0" borderId="36" xfId="1" applyFont="1" applyFill="1" applyBorder="1" applyAlignment="1">
      <alignment horizontal="center" vertical="center"/>
    </xf>
    <xf numFmtId="166" fontId="8" fillId="0" borderId="41" xfId="1" applyFont="1" applyFill="1" applyBorder="1" applyAlignment="1">
      <alignment horizontal="center" vertical="center"/>
    </xf>
    <xf numFmtId="166" fontId="8" fillId="0" borderId="30" xfId="1" applyFont="1" applyFill="1" applyBorder="1" applyAlignment="1">
      <alignment horizontal="center" vertical="center"/>
    </xf>
    <xf numFmtId="166" fontId="9" fillId="2" borderId="13" xfId="1" applyFont="1" applyFill="1" applyBorder="1" applyAlignment="1">
      <alignment horizontal="center" vertical="center" wrapText="1"/>
    </xf>
    <xf numFmtId="166" fontId="9" fillId="2" borderId="11" xfId="1" applyFont="1" applyFill="1" applyBorder="1" applyAlignment="1">
      <alignment horizontal="center" vertical="center"/>
    </xf>
    <xf numFmtId="166" fontId="9" fillId="2" borderId="42" xfId="1" applyFont="1" applyFill="1" applyBorder="1" applyAlignment="1">
      <alignment horizontal="center" vertical="center"/>
    </xf>
    <xf numFmtId="166" fontId="9" fillId="2" borderId="13" xfId="1" applyFont="1" applyFill="1" applyBorder="1" applyAlignment="1">
      <alignment horizontal="center" vertical="center"/>
    </xf>
    <xf numFmtId="166" fontId="9" fillId="2" borderId="9" xfId="1" applyFont="1" applyFill="1" applyBorder="1" applyAlignment="1">
      <alignment horizontal="center" vertical="center"/>
    </xf>
    <xf numFmtId="166" fontId="9" fillId="2" borderId="8" xfId="1" applyFont="1" applyFill="1" applyBorder="1" applyAlignment="1">
      <alignment horizontal="center" vertical="center"/>
    </xf>
    <xf numFmtId="166" fontId="9" fillId="2" borderId="43" xfId="1" applyFont="1" applyFill="1" applyBorder="1" applyAlignment="1">
      <alignment horizontal="center" vertical="center"/>
    </xf>
    <xf numFmtId="166" fontId="9" fillId="2" borderId="9" xfId="1" applyFont="1" applyFill="1" applyBorder="1" applyAlignment="1">
      <alignment horizontal="left" vertical="center"/>
    </xf>
    <xf numFmtId="166" fontId="9" fillId="2" borderId="13" xfId="1" applyFont="1" applyFill="1" applyBorder="1" applyAlignment="1">
      <alignment horizontal="left" vertical="center"/>
    </xf>
    <xf numFmtId="166" fontId="9" fillId="2" borderId="16" xfId="1" applyFont="1" applyFill="1" applyBorder="1" applyAlignment="1">
      <alignment vertical="center"/>
    </xf>
    <xf numFmtId="166" fontId="9" fillId="2" borderId="17" xfId="1" applyFont="1" applyFill="1" applyBorder="1" applyAlignment="1">
      <alignment vertical="center"/>
    </xf>
    <xf numFmtId="166" fontId="9" fillId="2" borderId="44" xfId="1" applyFont="1" applyFill="1" applyBorder="1" applyAlignment="1">
      <alignment vertical="center"/>
    </xf>
    <xf numFmtId="166" fontId="12" fillId="2" borderId="19" xfId="1" applyFont="1" applyFill="1" applyBorder="1" applyAlignment="1">
      <alignment horizontal="left" vertical="center"/>
    </xf>
    <xf numFmtId="166" fontId="9" fillId="0" borderId="16" xfId="1" applyFont="1" applyFill="1" applyBorder="1" applyAlignment="1">
      <alignment vertical="center"/>
    </xf>
    <xf numFmtId="166" fontId="9" fillId="0" borderId="17" xfId="1" applyFont="1" applyFill="1" applyBorder="1" applyAlignment="1">
      <alignment vertical="center"/>
    </xf>
    <xf numFmtId="166" fontId="9" fillId="0" borderId="44" xfId="1" applyFont="1" applyFill="1" applyBorder="1" applyAlignment="1">
      <alignment vertical="center"/>
    </xf>
    <xf numFmtId="166" fontId="12" fillId="0" borderId="19" xfId="1" applyFont="1" applyFill="1" applyBorder="1" applyAlignment="1">
      <alignment horizontal="left" vertical="center"/>
    </xf>
    <xf numFmtId="0" fontId="13" fillId="0" borderId="0" xfId="1" applyNumberFormat="1" applyFont="1" applyAlignment="1">
      <alignment horizontal="center"/>
    </xf>
    <xf numFmtId="0" fontId="0" fillId="0" borderId="0" xfId="1" applyNumberFormat="1" applyFont="1"/>
    <xf numFmtId="0" fontId="8" fillId="0" borderId="0" xfId="1" applyNumberFormat="1" applyFont="1" applyFill="1" applyBorder="1" applyAlignment="1">
      <alignment horizontal="right" vertical="top"/>
    </xf>
    <xf numFmtId="0" fontId="8" fillId="0" borderId="11" xfId="1" applyNumberFormat="1" applyFont="1" applyFill="1" applyBorder="1" applyAlignment="1">
      <alignment vertical="center"/>
    </xf>
    <xf numFmtId="0" fontId="0" fillId="0" borderId="11" xfId="1" applyNumberFormat="1" applyFont="1" applyBorder="1"/>
    <xf numFmtId="0" fontId="0" fillId="0" borderId="11" xfId="1" applyNumberFormat="1" applyFont="1" applyFill="1" applyBorder="1"/>
    <xf numFmtId="0" fontId="8" fillId="0" borderId="8" xfId="1" applyNumberFormat="1" applyFont="1" applyFill="1" applyBorder="1" applyAlignment="1">
      <alignment vertical="center"/>
    </xf>
    <xf numFmtId="0" fontId="0" fillId="0" borderId="8" xfId="1" applyNumberFormat="1" applyFont="1" applyFill="1" applyBorder="1"/>
    <xf numFmtId="0" fontId="8" fillId="0" borderId="8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166" fontId="9" fillId="0" borderId="8" xfId="1" applyFont="1" applyFill="1" applyBorder="1" applyAlignment="1">
      <alignment horizontal="center" vertical="center"/>
    </xf>
    <xf numFmtId="166" fontId="9" fillId="0" borderId="7" xfId="5" applyNumberFormat="1" applyFont="1" applyBorder="1" applyAlignment="1">
      <alignment horizontal="center" vertical="center"/>
    </xf>
    <xf numFmtId="166" fontId="9" fillId="0" borderId="7" xfId="5" applyNumberFormat="1" applyFont="1" applyBorder="1" applyAlignment="1">
      <alignment horizontal="center"/>
    </xf>
    <xf numFmtId="166" fontId="9" fillId="0" borderId="20" xfId="5" applyNumberFormat="1" applyFont="1" applyBorder="1"/>
    <xf numFmtId="166" fontId="9" fillId="0" borderId="10" xfId="5" applyNumberFormat="1" applyFont="1" applyBorder="1"/>
    <xf numFmtId="0" fontId="9" fillId="0" borderId="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166" fontId="9" fillId="0" borderId="46" xfId="5" applyNumberFormat="1" applyFont="1" applyBorder="1"/>
    <xf numFmtId="166" fontId="17" fillId="2" borderId="13" xfId="1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66" fontId="9" fillId="0" borderId="9" xfId="1" applyFont="1" applyFill="1" applyBorder="1" applyAlignment="1">
      <alignment horizontal="center" vertical="center"/>
    </xf>
    <xf numFmtId="166" fontId="0" fillId="0" borderId="0" xfId="0" applyNumberFormat="1"/>
    <xf numFmtId="166" fontId="9" fillId="2" borderId="7" xfId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0" xfId="0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center" vertical="center"/>
    </xf>
    <xf numFmtId="171" fontId="9" fillId="0" borderId="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66" fontId="9" fillId="0" borderId="9" xfId="5" applyNumberFormat="1" applyFont="1" applyBorder="1" applyAlignment="1">
      <alignment horizontal="center"/>
    </xf>
    <xf numFmtId="166" fontId="9" fillId="0" borderId="8" xfId="5" applyNumberFormat="1" applyFont="1" applyBorder="1"/>
    <xf numFmtId="166" fontId="9" fillId="0" borderId="13" xfId="5" applyNumberFormat="1" applyFont="1" applyBorder="1"/>
    <xf numFmtId="0" fontId="9" fillId="0" borderId="20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center"/>
    </xf>
    <xf numFmtId="166" fontId="9" fillId="2" borderId="7" xfId="1" applyFont="1" applyFill="1" applyBorder="1" applyAlignment="1">
      <alignment horizontal="center" vertical="center"/>
    </xf>
    <xf numFmtId="166" fontId="9" fillId="2" borderId="23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6" fontId="9" fillId="4" borderId="9" xfId="1" applyFont="1" applyFill="1" applyBorder="1" applyAlignment="1">
      <alignment horizontal="center" vertical="center"/>
    </xf>
    <xf numFmtId="166" fontId="9" fillId="4" borderId="8" xfId="1" applyFont="1" applyFill="1" applyBorder="1" applyAlignment="1">
      <alignment horizontal="center" vertical="center"/>
    </xf>
    <xf numFmtId="166" fontId="9" fillId="4" borderId="43" xfId="1" applyFont="1" applyFill="1" applyBorder="1" applyAlignment="1">
      <alignment horizontal="center" vertical="center"/>
    </xf>
    <xf numFmtId="166" fontId="9" fillId="4" borderId="9" xfId="1" applyFont="1" applyFill="1" applyBorder="1" applyAlignment="1">
      <alignment horizontal="left" vertical="center"/>
    </xf>
    <xf numFmtId="166" fontId="9" fillId="0" borderId="13" xfId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171" fontId="9" fillId="2" borderId="8" xfId="0" applyNumberFormat="1" applyFont="1" applyFill="1" applyBorder="1" applyAlignment="1">
      <alignment horizontal="left" vertical="center"/>
    </xf>
    <xf numFmtId="166" fontId="9" fillId="0" borderId="9" xfId="5" applyNumberFormat="1" applyFont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6" fontId="9" fillId="5" borderId="13" xfId="1" applyFont="1" applyFill="1" applyBorder="1" applyAlignment="1">
      <alignment horizontal="center" vertical="center"/>
    </xf>
    <xf numFmtId="171" fontId="9" fillId="2" borderId="8" xfId="0" quotePrefix="1" applyNumberFormat="1" applyFont="1" applyFill="1" applyBorder="1" applyAlignment="1">
      <alignment horizontal="center" vertical="center"/>
    </xf>
    <xf numFmtId="171" fontId="9" fillId="0" borderId="26" xfId="0" applyNumberFormat="1" applyFont="1" applyFill="1" applyBorder="1" applyAlignment="1">
      <alignment horizontal="center" vertical="center"/>
    </xf>
    <xf numFmtId="171" fontId="9" fillId="2" borderId="0" xfId="0" applyNumberFormat="1" applyFont="1" applyFill="1" applyBorder="1" applyAlignment="1">
      <alignment horizontal="left" vertical="center"/>
    </xf>
    <xf numFmtId="0" fontId="9" fillId="2" borderId="47" xfId="0" applyFont="1" applyFill="1" applyBorder="1" applyAlignment="1">
      <alignment vertical="center"/>
    </xf>
    <xf numFmtId="166" fontId="9" fillId="2" borderId="47" xfId="1" applyFont="1" applyFill="1" applyBorder="1" applyAlignment="1">
      <alignment horizontal="center" vertical="center"/>
    </xf>
    <xf numFmtId="166" fontId="9" fillId="2" borderId="0" xfId="1" applyFont="1" applyFill="1" applyBorder="1" applyAlignment="1">
      <alignment horizontal="center" vertical="center"/>
    </xf>
    <xf numFmtId="166" fontId="9" fillId="2" borderId="48" xfId="1" applyFont="1" applyFill="1" applyBorder="1" applyAlignment="1">
      <alignment horizontal="center" vertical="center"/>
    </xf>
    <xf numFmtId="166" fontId="9" fillId="2" borderId="47" xfId="1" applyFont="1" applyFill="1" applyBorder="1" applyAlignment="1">
      <alignment horizontal="left" vertical="center"/>
    </xf>
    <xf numFmtId="166" fontId="9" fillId="0" borderId="7" xfId="5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vertical="center"/>
    </xf>
    <xf numFmtId="166" fontId="9" fillId="0" borderId="10" xfId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6" fontId="9" fillId="0" borderId="7" xfId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66" fontId="9" fillId="0" borderId="10" xfId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9" fillId="0" borderId="11" xfId="0" quotePrefix="1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6" fontId="9" fillId="0" borderId="26" xfId="0" applyNumberFormat="1" applyFont="1" applyBorder="1" applyAlignment="1">
      <alignment vertical="center"/>
    </xf>
    <xf numFmtId="43" fontId="2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166" fontId="0" fillId="0" borderId="10" xfId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166" fontId="0" fillId="0" borderId="7" xfId="1" applyFont="1" applyBorder="1" applyAlignment="1">
      <alignment vertical="center"/>
    </xf>
    <xf numFmtId="166" fontId="0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quotePrefix="1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166" fontId="0" fillId="0" borderId="10" xfId="1" applyFont="1" applyBorder="1" applyAlignment="1">
      <alignment vertical="center"/>
    </xf>
    <xf numFmtId="166" fontId="0" fillId="0" borderId="9" xfId="1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6" fontId="0" fillId="0" borderId="11" xfId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right" vertical="center"/>
    </xf>
    <xf numFmtId="166" fontId="0" fillId="0" borderId="26" xfId="0" applyNumberFormat="1" applyFont="1" applyBorder="1" applyAlignment="1">
      <alignment vertical="center"/>
    </xf>
    <xf numFmtId="166" fontId="0" fillId="0" borderId="0" xfId="1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20" xfId="0" quotePrefix="1" applyFont="1" applyBorder="1" applyAlignment="1">
      <alignment horizontal="right" vertical="center"/>
    </xf>
    <xf numFmtId="172" fontId="10" fillId="0" borderId="11" xfId="0" applyNumberFormat="1" applyFont="1" applyBorder="1" applyAlignment="1">
      <alignment vertical="center"/>
    </xf>
    <xf numFmtId="0" fontId="9" fillId="0" borderId="32" xfId="0" quotePrefix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66" fontId="9" fillId="0" borderId="7" xfId="1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6" fontId="9" fillId="0" borderId="26" xfId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10" fillId="0" borderId="10" xfId="0" quotePrefix="1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0" fontId="21" fillId="0" borderId="10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166" fontId="9" fillId="0" borderId="18" xfId="1" applyFont="1" applyBorder="1" applyAlignment="1">
      <alignment horizontal="center" vertical="center"/>
    </xf>
    <xf numFmtId="166" fontId="9" fillId="0" borderId="19" xfId="1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10" fillId="0" borderId="18" xfId="1" applyFont="1" applyBorder="1" applyAlignment="1">
      <alignment horizontal="center" vertical="center"/>
    </xf>
    <xf numFmtId="0" fontId="9" fillId="0" borderId="0" xfId="0" applyFont="1"/>
    <xf numFmtId="0" fontId="10" fillId="0" borderId="8" xfId="0" applyFont="1" applyBorder="1" applyAlignment="1"/>
    <xf numFmtId="166" fontId="9" fillId="0" borderId="10" xfId="1" applyNumberFormat="1" applyFont="1" applyBorder="1" applyAlignment="1">
      <alignment vertical="center"/>
    </xf>
    <xf numFmtId="9" fontId="9" fillId="0" borderId="0" xfId="6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9" fillId="0" borderId="60" xfId="0" quotePrefix="1" applyFont="1" applyBorder="1" applyAlignment="1">
      <alignment horizontal="right" vertical="center"/>
    </xf>
    <xf numFmtId="0" fontId="9" fillId="0" borderId="61" xfId="0" quotePrefix="1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166" fontId="9" fillId="0" borderId="11" xfId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7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6" fontId="9" fillId="0" borderId="28" xfId="1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166" fontId="10" fillId="0" borderId="55" xfId="0" applyNumberFormat="1" applyFont="1" applyBorder="1" applyAlignment="1">
      <alignment vertical="center"/>
    </xf>
    <xf numFmtId="166" fontId="9" fillId="0" borderId="34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6" fontId="9" fillId="0" borderId="52" xfId="1" applyFont="1" applyBorder="1" applyAlignment="1">
      <alignment horizontal="center" vertical="center"/>
    </xf>
    <xf numFmtId="166" fontId="9" fillId="0" borderId="4" xfId="1" applyFont="1" applyBorder="1" applyAlignment="1">
      <alignment horizontal="center" vertical="center"/>
    </xf>
    <xf numFmtId="166" fontId="9" fillId="0" borderId="65" xfId="1" applyFont="1" applyBorder="1" applyAlignment="1">
      <alignment horizontal="center" vertical="center"/>
    </xf>
    <xf numFmtId="166" fontId="0" fillId="0" borderId="9" xfId="1" applyFont="1" applyFill="1" applyBorder="1" applyAlignment="1">
      <alignment horizontal="center" vertical="center"/>
    </xf>
    <xf numFmtId="166" fontId="9" fillId="0" borderId="7" xfId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23" fillId="0" borderId="10" xfId="1" applyNumberFormat="1" applyFont="1" applyBorder="1" applyAlignment="1">
      <alignment horizontal="center"/>
    </xf>
    <xf numFmtId="0" fontId="0" fillId="0" borderId="0" xfId="0" applyFont="1"/>
    <xf numFmtId="3" fontId="0" fillId="0" borderId="8" xfId="0" applyNumberFormat="1" applyFont="1" applyBorder="1" applyAlignment="1"/>
    <xf numFmtId="0" fontId="2" fillId="0" borderId="8" xfId="0" applyFont="1" applyFill="1" applyBorder="1" applyAlignment="1">
      <alignment horizontal="right" vertical="center"/>
    </xf>
    <xf numFmtId="0" fontId="2" fillId="0" borderId="8" xfId="0" applyFont="1" applyFill="1" applyBorder="1"/>
    <xf numFmtId="0" fontId="0" fillId="0" borderId="13" xfId="0" applyFont="1" applyBorder="1" applyAlignment="1">
      <alignment vertical="center"/>
    </xf>
    <xf numFmtId="166" fontId="13" fillId="0" borderId="0" xfId="0" applyNumberFormat="1" applyFont="1" applyAlignment="1">
      <alignment horizontal="center"/>
    </xf>
    <xf numFmtId="166" fontId="0" fillId="0" borderId="0" xfId="0" applyNumberFormat="1" applyFont="1"/>
    <xf numFmtId="166" fontId="8" fillId="0" borderId="0" xfId="2" applyNumberFormat="1" applyFont="1" applyFill="1" applyBorder="1" applyAlignment="1">
      <alignment horizontal="right"/>
    </xf>
    <xf numFmtId="0" fontId="0" fillId="0" borderId="11" xfId="0" applyFont="1" applyBorder="1"/>
    <xf numFmtId="166" fontId="8" fillId="0" borderId="11" xfId="0" applyNumberFormat="1" applyFont="1" applyFill="1" applyBorder="1" applyAlignment="1">
      <alignment vertical="center"/>
    </xf>
    <xf numFmtId="166" fontId="0" fillId="0" borderId="11" xfId="0" applyNumberFormat="1" applyFont="1" applyBorder="1"/>
    <xf numFmtId="166" fontId="0" fillId="0" borderId="11" xfId="0" applyNumberFormat="1" applyFont="1" applyFill="1" applyBorder="1"/>
    <xf numFmtId="0" fontId="0" fillId="0" borderId="11" xfId="0" applyFont="1" applyFill="1" applyBorder="1"/>
    <xf numFmtId="0" fontId="0" fillId="0" borderId="8" xfId="0" applyFont="1" applyBorder="1"/>
    <xf numFmtId="166" fontId="8" fillId="0" borderId="8" xfId="0" applyNumberFormat="1" applyFont="1" applyFill="1" applyBorder="1" applyAlignment="1">
      <alignment vertical="center"/>
    </xf>
    <xf numFmtId="166" fontId="2" fillId="0" borderId="8" xfId="0" applyNumberFormat="1" applyFont="1" applyFill="1" applyBorder="1"/>
    <xf numFmtId="166" fontId="0" fillId="0" borderId="8" xfId="0" applyNumberFormat="1" applyFont="1" applyBorder="1" applyAlignment="1"/>
    <xf numFmtId="166" fontId="0" fillId="0" borderId="8" xfId="0" applyNumberFormat="1" applyFont="1" applyFill="1" applyBorder="1"/>
    <xf numFmtId="0" fontId="0" fillId="0" borderId="8" xfId="0" applyFont="1" applyFill="1" applyBorder="1"/>
    <xf numFmtId="166" fontId="8" fillId="0" borderId="8" xfId="1" applyNumberFormat="1" applyFont="1" applyFill="1" applyBorder="1" applyAlignment="1">
      <alignment horizontal="right" vertical="center"/>
    </xf>
    <xf numFmtId="1" fontId="8" fillId="0" borderId="8" xfId="1" applyNumberFormat="1" applyFont="1" applyFill="1" applyBorder="1" applyAlignment="1">
      <alignment horizontal="center" vertical="center"/>
    </xf>
    <xf numFmtId="166" fontId="8" fillId="0" borderId="8" xfId="1" applyNumberFormat="1" applyFont="1" applyFill="1" applyBorder="1" applyAlignment="1">
      <alignment horizontal="center" vertical="center"/>
    </xf>
    <xf numFmtId="166" fontId="8" fillId="0" borderId="8" xfId="1" applyNumberFormat="1" applyFont="1" applyFill="1" applyBorder="1" applyAlignment="1">
      <alignment vertical="center"/>
    </xf>
    <xf numFmtId="166" fontId="8" fillId="0" borderId="8" xfId="1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166" fontId="8" fillId="0" borderId="28" xfId="1" applyNumberFormat="1" applyFont="1" applyFill="1" applyBorder="1" applyAlignment="1">
      <alignment horizontal="center" vertical="center"/>
    </xf>
    <xf numFmtId="166" fontId="8" fillId="0" borderId="36" xfId="1" applyNumberFormat="1" applyFont="1" applyFill="1" applyBorder="1" applyAlignment="1">
      <alignment horizontal="center" vertical="center"/>
    </xf>
    <xf numFmtId="166" fontId="8" fillId="0" borderId="41" xfId="1" applyNumberFormat="1" applyFont="1" applyFill="1" applyBorder="1" applyAlignment="1">
      <alignment horizontal="center" vertical="center"/>
    </xf>
    <xf numFmtId="166" fontId="8" fillId="0" borderId="30" xfId="1" applyNumberFormat="1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 wrapText="1"/>
    </xf>
    <xf numFmtId="166" fontId="9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166" fontId="9" fillId="7" borderId="11" xfId="1" applyNumberFormat="1" applyFont="1" applyFill="1" applyBorder="1" applyAlignment="1">
      <alignment horizontal="center" vertical="center"/>
    </xf>
    <xf numFmtId="166" fontId="9" fillId="7" borderId="42" xfId="1" applyNumberFormat="1" applyFont="1" applyFill="1" applyBorder="1" applyAlignment="1">
      <alignment horizontal="center" vertical="center"/>
    </xf>
    <xf numFmtId="166" fontId="9" fillId="7" borderId="13" xfId="1" applyNumberFormat="1" applyFont="1" applyFill="1" applyBorder="1" applyAlignment="1">
      <alignment horizontal="center" vertical="center"/>
    </xf>
    <xf numFmtId="0" fontId="9" fillId="7" borderId="13" xfId="4" applyFont="1" applyFill="1" applyBorder="1" applyAlignment="1">
      <alignment horizontal="center" vertical="center"/>
    </xf>
    <xf numFmtId="0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166" fontId="9" fillId="7" borderId="9" xfId="1" applyNumberFormat="1" applyFont="1" applyFill="1" applyBorder="1" applyAlignment="1">
      <alignment horizontal="center" vertical="center"/>
    </xf>
    <xf numFmtId="168" fontId="9" fillId="7" borderId="9" xfId="1" applyNumberFormat="1" applyFont="1" applyFill="1" applyBorder="1" applyAlignment="1">
      <alignment horizontal="center" vertical="center"/>
    </xf>
    <xf numFmtId="166" fontId="9" fillId="7" borderId="8" xfId="1" applyNumberFormat="1" applyFont="1" applyFill="1" applyBorder="1" applyAlignment="1">
      <alignment horizontal="center" vertical="center"/>
    </xf>
    <xf numFmtId="166" fontId="9" fillId="7" borderId="43" xfId="1" applyNumberFormat="1" applyFont="1" applyFill="1" applyBorder="1" applyAlignment="1">
      <alignment horizontal="center" vertical="center"/>
    </xf>
    <xf numFmtId="168" fontId="9" fillId="7" borderId="9" xfId="1" applyNumberFormat="1" applyFont="1" applyFill="1" applyBorder="1" applyAlignment="1">
      <alignment horizontal="left" vertical="center"/>
    </xf>
    <xf numFmtId="0" fontId="10" fillId="7" borderId="7" xfId="0" applyNumberFormat="1" applyFont="1" applyFill="1" applyBorder="1" applyAlignment="1">
      <alignment horizontal="right" vertical="center"/>
    </xf>
    <xf numFmtId="0" fontId="9" fillId="7" borderId="8" xfId="0" applyFont="1" applyFill="1" applyBorder="1" applyAlignment="1">
      <alignment vertical="center"/>
    </xf>
    <xf numFmtId="0" fontId="11" fillId="7" borderId="9" xfId="0" applyFont="1" applyFill="1" applyBorder="1" applyAlignment="1">
      <alignment vertical="center"/>
    </xf>
    <xf numFmtId="1" fontId="9" fillId="7" borderId="13" xfId="1" applyNumberFormat="1" applyFont="1" applyFill="1" applyBorder="1" applyAlignment="1">
      <alignment horizontal="center" vertical="center"/>
    </xf>
    <xf numFmtId="168" fontId="9" fillId="7" borderId="13" xfId="1" applyNumberFormat="1" applyFont="1" applyFill="1" applyBorder="1" applyAlignment="1">
      <alignment horizontal="center" vertical="center"/>
    </xf>
    <xf numFmtId="166" fontId="9" fillId="7" borderId="42" xfId="1" applyNumberFormat="1" applyFont="1" applyFill="1" applyBorder="1" applyAlignment="1">
      <alignment horizontal="right" vertical="center"/>
    </xf>
    <xf numFmtId="166" fontId="9" fillId="7" borderId="11" xfId="1" applyNumberFormat="1" applyFont="1" applyFill="1" applyBorder="1" applyAlignment="1">
      <alignment horizontal="right" vertical="center"/>
    </xf>
    <xf numFmtId="166" fontId="9" fillId="7" borderId="13" xfId="1" applyNumberFormat="1" applyFont="1" applyFill="1" applyBorder="1" applyAlignment="1">
      <alignment horizontal="right" vertical="center"/>
    </xf>
    <xf numFmtId="168" fontId="9" fillId="7" borderId="13" xfId="1" applyNumberFormat="1" applyFont="1" applyFill="1" applyBorder="1" applyAlignment="1">
      <alignment horizontal="left" vertical="center"/>
    </xf>
    <xf numFmtId="170" fontId="9" fillId="7" borderId="7" xfId="0" applyNumberFormat="1" applyFont="1" applyFill="1" applyBorder="1" applyAlignment="1">
      <alignment horizontal="right" vertical="center"/>
    </xf>
    <xf numFmtId="0" fontId="11" fillId="7" borderId="13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166" fontId="9" fillId="7" borderId="43" xfId="1" applyNumberFormat="1" applyFont="1" applyFill="1" applyBorder="1" applyAlignment="1">
      <alignment horizontal="right" vertical="center"/>
    </xf>
    <xf numFmtId="166" fontId="9" fillId="7" borderId="8" xfId="1" applyNumberFormat="1" applyFont="1" applyFill="1" applyBorder="1" applyAlignment="1">
      <alignment horizontal="right" vertical="center"/>
    </xf>
    <xf numFmtId="0" fontId="9" fillId="7" borderId="0" xfId="0" applyFont="1" applyFill="1" applyBorder="1" applyAlignment="1">
      <alignment vertical="center"/>
    </xf>
    <xf numFmtId="170" fontId="9" fillId="7" borderId="10" xfId="0" applyNumberFormat="1" applyFont="1" applyFill="1" applyBorder="1" applyAlignment="1">
      <alignment horizontal="right" vertical="center"/>
    </xf>
    <xf numFmtId="175" fontId="9" fillId="7" borderId="10" xfId="0" applyNumberFormat="1" applyFont="1" applyFill="1" applyBorder="1" applyAlignment="1">
      <alignment horizontal="right" vertical="center"/>
    </xf>
    <xf numFmtId="170" fontId="9" fillId="7" borderId="10" xfId="0" applyNumberFormat="1" applyFont="1" applyFill="1" applyBorder="1" applyAlignment="1">
      <alignment horizontal="center" vertical="center"/>
    </xf>
    <xf numFmtId="171" fontId="9" fillId="7" borderId="8" xfId="0" applyNumberFormat="1" applyFont="1" applyFill="1" applyBorder="1" applyAlignment="1">
      <alignment horizontal="center" vertical="center"/>
    </xf>
    <xf numFmtId="171" fontId="9" fillId="7" borderId="7" xfId="0" applyNumberFormat="1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vertical="center"/>
    </xf>
    <xf numFmtId="166" fontId="9" fillId="8" borderId="16" xfId="1" applyNumberFormat="1" applyFont="1" applyFill="1" applyBorder="1" applyAlignment="1">
      <alignment vertical="center"/>
    </xf>
    <xf numFmtId="168" fontId="9" fillId="8" borderId="16" xfId="1" applyNumberFormat="1" applyFont="1" applyFill="1" applyBorder="1" applyAlignment="1">
      <alignment vertical="center"/>
    </xf>
    <xf numFmtId="166" fontId="9" fillId="8" borderId="17" xfId="1" applyNumberFormat="1" applyFont="1" applyFill="1" applyBorder="1" applyAlignment="1">
      <alignment vertical="center"/>
    </xf>
    <xf numFmtId="166" fontId="10" fillId="8" borderId="44" xfId="1" applyNumberFormat="1" applyFont="1" applyFill="1" applyBorder="1" applyAlignment="1">
      <alignment vertical="center"/>
    </xf>
    <xf numFmtId="166" fontId="10" fillId="8" borderId="17" xfId="1" applyNumberFormat="1" applyFont="1" applyFill="1" applyBorder="1" applyAlignment="1">
      <alignment vertical="center"/>
    </xf>
    <xf numFmtId="166" fontId="10" fillId="8" borderId="16" xfId="1" applyNumberFormat="1" applyFont="1" applyFill="1" applyBorder="1" applyAlignment="1">
      <alignment vertical="center"/>
    </xf>
    <xf numFmtId="168" fontId="12" fillId="0" borderId="19" xfId="1" applyNumberFormat="1" applyFont="1" applyFill="1" applyBorder="1" applyAlignment="1">
      <alignment horizontal="left" vertical="center"/>
    </xf>
    <xf numFmtId="0" fontId="10" fillId="7" borderId="65" xfId="0" applyFont="1" applyFill="1" applyBorder="1" applyAlignment="1">
      <alignment horizontal="center" vertical="center" wrapText="1"/>
    </xf>
    <xf numFmtId="166" fontId="9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6" fontId="9" fillId="7" borderId="5" xfId="1" applyNumberFormat="1" applyFont="1" applyFill="1" applyBorder="1" applyAlignment="1">
      <alignment horizontal="center" vertical="center"/>
    </xf>
    <xf numFmtId="166" fontId="9" fillId="7" borderId="70" xfId="1" applyNumberFormat="1" applyFont="1" applyFill="1" applyBorder="1" applyAlignment="1">
      <alignment horizontal="center" vertical="center"/>
    </xf>
    <xf numFmtId="166" fontId="9" fillId="7" borderId="6" xfId="1" applyNumberFormat="1" applyFont="1" applyFill="1" applyBorder="1" applyAlignment="1">
      <alignment horizontal="center" vertical="center"/>
    </xf>
    <xf numFmtId="0" fontId="9" fillId="7" borderId="6" xfId="4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right" vertical="center"/>
    </xf>
    <xf numFmtId="166" fontId="9" fillId="7" borderId="9" xfId="1" applyFont="1" applyFill="1" applyBorder="1" applyAlignment="1">
      <alignment horizontal="center" vertical="center"/>
    </xf>
    <xf numFmtId="166" fontId="9" fillId="7" borderId="9" xfId="1" applyNumberFormat="1" applyFont="1" applyFill="1" applyBorder="1" applyAlignment="1">
      <alignment horizontal="right" vertical="center"/>
    </xf>
    <xf numFmtId="166" fontId="17" fillId="7" borderId="9" xfId="1" applyFont="1" applyFill="1" applyBorder="1" applyAlignment="1">
      <alignment horizontal="center" vertical="center"/>
    </xf>
    <xf numFmtId="0" fontId="9" fillId="7" borderId="10" xfId="0" applyNumberFormat="1" applyFont="1" applyFill="1" applyBorder="1" applyAlignment="1">
      <alignment horizontal="right" vertical="center"/>
    </xf>
    <xf numFmtId="166" fontId="9" fillId="7" borderId="11" xfId="7" applyNumberFormat="1" applyFont="1" applyFill="1" applyBorder="1" applyAlignment="1">
      <alignment horizontal="right" vertical="center"/>
    </xf>
    <xf numFmtId="166" fontId="17" fillId="7" borderId="13" xfId="1" applyFont="1" applyFill="1" applyBorder="1" applyAlignment="1">
      <alignment horizontal="center" vertical="center"/>
    </xf>
    <xf numFmtId="171" fontId="9" fillId="7" borderId="7" xfId="0" applyNumberFormat="1" applyFont="1" applyFill="1" applyBorder="1" applyAlignment="1">
      <alignment horizontal="right" vertical="center"/>
    </xf>
    <xf numFmtId="166" fontId="9" fillId="2" borderId="32" xfId="1" applyNumberFormat="1" applyFont="1" applyFill="1" applyBorder="1" applyAlignment="1">
      <alignment horizontal="center" vertical="center"/>
    </xf>
    <xf numFmtId="171" fontId="9" fillId="7" borderId="26" xfId="0" applyNumberFormat="1" applyFont="1" applyFill="1" applyBorder="1" applyAlignment="1">
      <alignment horizontal="right" vertical="center"/>
    </xf>
    <xf numFmtId="171" fontId="9" fillId="2" borderId="52" xfId="8" applyNumberFormat="1" applyFont="1" applyFill="1" applyBorder="1" applyAlignment="1">
      <alignment horizontal="left" vertical="center"/>
    </xf>
    <xf numFmtId="171" fontId="9" fillId="2" borderId="0" xfId="8" applyNumberFormat="1" applyFont="1" applyFill="1" applyBorder="1" applyAlignment="1">
      <alignment horizontal="left" vertical="center"/>
    </xf>
    <xf numFmtId="171" fontId="9" fillId="2" borderId="47" xfId="8" applyNumberFormat="1" applyFont="1" applyFill="1" applyBorder="1" applyAlignment="1">
      <alignment horizontal="left" vertical="center"/>
    </xf>
    <xf numFmtId="166" fontId="9" fillId="7" borderId="47" xfId="1" applyNumberFormat="1" applyFont="1" applyFill="1" applyBorder="1" applyAlignment="1">
      <alignment horizontal="center" vertical="center"/>
    </xf>
    <xf numFmtId="166" fontId="9" fillId="7" borderId="47" xfId="1" applyFont="1" applyFill="1" applyBorder="1" applyAlignment="1">
      <alignment horizontal="center" vertical="center"/>
    </xf>
    <xf numFmtId="166" fontId="9" fillId="7" borderId="0" xfId="1" applyNumberFormat="1" applyFont="1" applyFill="1" applyBorder="1" applyAlignment="1">
      <alignment horizontal="right" vertical="center"/>
    </xf>
    <xf numFmtId="166" fontId="9" fillId="7" borderId="48" xfId="1" applyNumberFormat="1" applyFont="1" applyFill="1" applyBorder="1" applyAlignment="1">
      <alignment horizontal="right" vertical="center"/>
    </xf>
    <xf numFmtId="166" fontId="9" fillId="7" borderId="47" xfId="1" applyNumberFormat="1" applyFont="1" applyFill="1" applyBorder="1" applyAlignment="1">
      <alignment horizontal="right" vertical="center"/>
    </xf>
    <xf numFmtId="168" fontId="9" fillId="7" borderId="47" xfId="1" applyNumberFormat="1" applyFont="1" applyFill="1" applyBorder="1" applyAlignment="1">
      <alignment horizontal="left" vertical="center"/>
    </xf>
    <xf numFmtId="166" fontId="9" fillId="8" borderId="17" xfId="1" applyNumberFormat="1" applyFont="1" applyFill="1" applyBorder="1" applyAlignment="1">
      <alignment horizontal="right" vertical="center"/>
    </xf>
    <xf numFmtId="0" fontId="10" fillId="7" borderId="4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10" fillId="7" borderId="6" xfId="0" applyFont="1" applyFill="1" applyBorder="1" applyAlignment="1">
      <alignment vertical="center"/>
    </xf>
    <xf numFmtId="166" fontId="9" fillId="7" borderId="5" xfId="1" applyNumberFormat="1" applyFont="1" applyFill="1" applyBorder="1" applyAlignment="1">
      <alignment horizontal="right" vertical="center"/>
    </xf>
    <xf numFmtId="166" fontId="9" fillId="7" borderId="70" xfId="1" applyNumberFormat="1" applyFont="1" applyFill="1" applyBorder="1" applyAlignment="1">
      <alignment horizontal="right" vertical="center"/>
    </xf>
    <xf numFmtId="166" fontId="9" fillId="7" borderId="6" xfId="1" applyNumberFormat="1" applyFont="1" applyFill="1" applyBorder="1" applyAlignment="1">
      <alignment horizontal="right" vertical="center"/>
    </xf>
    <xf numFmtId="166" fontId="9" fillId="2" borderId="13" xfId="1" applyNumberFormat="1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166" fontId="9" fillId="2" borderId="32" xfId="1" applyFont="1" applyFill="1" applyBorder="1" applyAlignment="1">
      <alignment horizontal="center" vertical="center"/>
    </xf>
    <xf numFmtId="171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right" vertical="center"/>
    </xf>
    <xf numFmtId="171" fontId="10" fillId="7" borderId="8" xfId="0" applyNumberFormat="1" applyFont="1" applyFill="1" applyBorder="1" applyAlignment="1">
      <alignment horizontal="center" vertical="center"/>
    </xf>
    <xf numFmtId="176" fontId="10" fillId="7" borderId="10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166" fontId="9" fillId="0" borderId="20" xfId="1" applyFont="1" applyFill="1" applyBorder="1" applyAlignment="1">
      <alignment horizontal="left"/>
    </xf>
    <xf numFmtId="166" fontId="9" fillId="0" borderId="8" xfId="1" applyFont="1" applyFill="1" applyBorder="1" applyAlignment="1">
      <alignment horizontal="left"/>
    </xf>
    <xf numFmtId="166" fontId="9" fillId="0" borderId="9" xfId="1" applyFont="1" applyFill="1" applyBorder="1" applyAlignment="1">
      <alignment horizontal="left"/>
    </xf>
    <xf numFmtId="166" fontId="9" fillId="7" borderId="13" xfId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vertical="center"/>
    </xf>
    <xf numFmtId="171" fontId="9" fillId="7" borderId="8" xfId="0" applyNumberFormat="1" applyFont="1" applyFill="1" applyBorder="1" applyAlignment="1">
      <alignment vertical="center"/>
    </xf>
    <xf numFmtId="171" fontId="9" fillId="0" borderId="8" xfId="0" applyNumberFormat="1" applyFont="1" applyFill="1" applyBorder="1" applyAlignment="1">
      <alignment vertical="center"/>
    </xf>
    <xf numFmtId="171" fontId="9" fillId="0" borderId="8" xfId="0" applyNumberFormat="1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2" fontId="10" fillId="7" borderId="10" xfId="0" applyNumberFormat="1" applyFont="1" applyFill="1" applyBorder="1" applyAlignment="1">
      <alignment horizontal="center" vertical="center"/>
    </xf>
    <xf numFmtId="168" fontId="12" fillId="8" borderId="19" xfId="1" applyNumberFormat="1" applyFont="1" applyFill="1" applyBorder="1" applyAlignment="1">
      <alignment horizontal="left" vertical="center"/>
    </xf>
    <xf numFmtId="0" fontId="0" fillId="0" borderId="66" xfId="0" applyFont="1" applyBorder="1" applyAlignment="1">
      <alignment horizontal="center"/>
    </xf>
    <xf numFmtId="166" fontId="0" fillId="0" borderId="67" xfId="0" applyNumberFormat="1" applyFont="1" applyBorder="1"/>
    <xf numFmtId="0" fontId="0" fillId="0" borderId="21" xfId="0" applyFont="1" applyBorder="1"/>
    <xf numFmtId="0" fontId="0" fillId="0" borderId="31" xfId="0" applyFont="1" applyBorder="1"/>
    <xf numFmtId="0" fontId="0" fillId="0" borderId="56" xfId="0" applyFont="1" applyBorder="1"/>
    <xf numFmtId="166" fontId="0" fillId="0" borderId="55" xfId="1" applyFont="1" applyBorder="1"/>
    <xf numFmtId="167" fontId="13" fillId="0" borderId="0" xfId="0" applyNumberFormat="1" applyFont="1" applyAlignment="1">
      <alignment horizontal="center"/>
    </xf>
    <xf numFmtId="168" fontId="8" fillId="0" borderId="0" xfId="2" applyNumberFormat="1" applyFont="1" applyFill="1" applyBorder="1" applyAlignment="1">
      <alignment horizontal="right" vertical="center"/>
    </xf>
    <xf numFmtId="1" fontId="9" fillId="2" borderId="9" xfId="1" applyNumberFormat="1" applyFont="1" applyFill="1" applyBorder="1" applyAlignment="1">
      <alignment horizontal="center" vertical="center"/>
    </xf>
    <xf numFmtId="166" fontId="25" fillId="2" borderId="43" xfId="1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right" vertical="center"/>
    </xf>
    <xf numFmtId="0" fontId="9" fillId="3" borderId="19" xfId="0" applyFont="1" applyFill="1" applyBorder="1" applyAlignment="1">
      <alignment vertical="center"/>
    </xf>
    <xf numFmtId="167" fontId="9" fillId="3" borderId="16" xfId="1" applyNumberFormat="1" applyFont="1" applyFill="1" applyBorder="1" applyAlignment="1">
      <alignment vertical="center"/>
    </xf>
    <xf numFmtId="168" fontId="9" fillId="3" borderId="16" xfId="1" applyNumberFormat="1" applyFont="1" applyFill="1" applyBorder="1" applyAlignment="1">
      <alignment vertical="center"/>
    </xf>
    <xf numFmtId="166" fontId="9" fillId="3" borderId="17" xfId="1" applyNumberFormat="1" applyFont="1" applyFill="1" applyBorder="1" applyAlignment="1">
      <alignment vertical="center"/>
    </xf>
    <xf numFmtId="166" fontId="25" fillId="3" borderId="44" xfId="1" applyNumberFormat="1" applyFont="1" applyFill="1" applyBorder="1" applyAlignment="1">
      <alignment vertical="center"/>
    </xf>
    <xf numFmtId="166" fontId="9" fillId="3" borderId="16" xfId="1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167" fontId="9" fillId="2" borderId="13" xfId="1" applyNumberFormat="1" applyFont="1" applyFill="1" applyBorder="1" applyAlignment="1">
      <alignment vertical="center" wrapText="1"/>
    </xf>
    <xf numFmtId="167" fontId="9" fillId="2" borderId="13" xfId="1" applyNumberFormat="1" applyFont="1" applyFill="1" applyBorder="1" applyAlignment="1">
      <alignment vertical="center"/>
    </xf>
    <xf numFmtId="166" fontId="17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horizontal="center" vertical="center"/>
    </xf>
    <xf numFmtId="168" fontId="0" fillId="2" borderId="9" xfId="1" applyNumberFormat="1" applyFont="1" applyFill="1" applyBorder="1" applyAlignment="1">
      <alignment horizontal="left" vertical="center"/>
    </xf>
    <xf numFmtId="0" fontId="0" fillId="2" borderId="0" xfId="0" applyFont="1" applyFill="1"/>
    <xf numFmtId="167" fontId="9" fillId="2" borderId="9" xfId="1" applyNumberFormat="1" applyFont="1" applyFill="1" applyBorder="1" applyAlignment="1">
      <alignment vertical="center"/>
    </xf>
    <xf numFmtId="171" fontId="9" fillId="2" borderId="7" xfId="0" applyNumberFormat="1" applyFont="1" applyFill="1" applyBorder="1" applyAlignment="1">
      <alignment horizontal="right" vertical="center"/>
    </xf>
    <xf numFmtId="166" fontId="9" fillId="3" borderId="44" xfId="1" applyNumberFormat="1" applyFont="1" applyFill="1" applyBorder="1" applyAlignment="1">
      <alignment vertical="center"/>
    </xf>
    <xf numFmtId="167" fontId="9" fillId="2" borderId="13" xfId="1" applyNumberFormat="1" applyFont="1" applyFill="1" applyBorder="1" applyAlignment="1">
      <alignment horizontal="center" vertical="center" wrapText="1"/>
    </xf>
    <xf numFmtId="166" fontId="17" fillId="2" borderId="13" xfId="1" applyFont="1" applyFill="1" applyBorder="1" applyAlignment="1">
      <alignment horizontal="center" vertical="center"/>
    </xf>
    <xf numFmtId="166" fontId="0" fillId="2" borderId="7" xfId="1" applyFont="1" applyFill="1" applyBorder="1" applyAlignment="1">
      <alignment horizontal="center" vertical="center"/>
    </xf>
    <xf numFmtId="171" fontId="10" fillId="0" borderId="8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167" fontId="9" fillId="0" borderId="13" xfId="1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0" fontId="9" fillId="2" borderId="75" xfId="0" applyNumberFormat="1" applyFont="1" applyFill="1" applyBorder="1" applyAlignment="1">
      <alignment horizontal="right" vertical="center"/>
    </xf>
    <xf numFmtId="171" fontId="10" fillId="0" borderId="74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67" fontId="9" fillId="0" borderId="64" xfId="1" applyNumberFormat="1" applyFont="1" applyFill="1" applyBorder="1" applyAlignment="1">
      <alignment vertical="center"/>
    </xf>
    <xf numFmtId="166" fontId="9" fillId="0" borderId="64" xfId="1" applyFont="1" applyFill="1" applyBorder="1" applyAlignment="1">
      <alignment horizontal="center" vertical="center"/>
    </xf>
    <xf numFmtId="166" fontId="9" fillId="2" borderId="74" xfId="1" applyFont="1" applyFill="1" applyBorder="1" applyAlignment="1">
      <alignment horizontal="center" vertical="center"/>
    </xf>
    <xf numFmtId="166" fontId="9" fillId="2" borderId="72" xfId="1" applyFont="1" applyFill="1" applyBorder="1" applyAlignment="1">
      <alignment horizontal="center" vertical="center"/>
    </xf>
    <xf numFmtId="166" fontId="9" fillId="2" borderId="64" xfId="1" applyFont="1" applyFill="1" applyBorder="1" applyAlignment="1">
      <alignment horizontal="center" vertical="center"/>
    </xf>
    <xf numFmtId="168" fontId="9" fillId="2" borderId="64" xfId="1" applyNumberFormat="1" applyFont="1" applyFill="1" applyBorder="1" applyAlignment="1">
      <alignment horizontal="left" vertical="center"/>
    </xf>
    <xf numFmtId="171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horizontal="left" vertical="center"/>
    </xf>
    <xf numFmtId="166" fontId="0" fillId="2" borderId="13" xfId="1" applyFont="1" applyFill="1" applyBorder="1" applyAlignment="1">
      <alignment horizontal="center" vertical="center"/>
    </xf>
    <xf numFmtId="167" fontId="9" fillId="0" borderId="13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166" fontId="0" fillId="2" borderId="9" xfId="1" applyFont="1" applyFill="1" applyBorder="1" applyAlignment="1">
      <alignment horizontal="center" vertical="center"/>
    </xf>
    <xf numFmtId="166" fontId="0" fillId="2" borderId="27" xfId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3" fontId="9" fillId="0" borderId="46" xfId="9" applyFont="1" applyFill="1" applyBorder="1"/>
    <xf numFmtId="166" fontId="9" fillId="0" borderId="42" xfId="1" applyFont="1" applyFill="1" applyBorder="1" applyAlignment="1">
      <alignment horizontal="center" vertical="center"/>
    </xf>
    <xf numFmtId="43" fontId="9" fillId="0" borderId="11" xfId="9" applyFont="1" applyFill="1" applyBorder="1"/>
    <xf numFmtId="0" fontId="9" fillId="3" borderId="19" xfId="0" applyFont="1" applyFill="1" applyBorder="1" applyAlignment="1">
      <alignment horizontal="center" vertical="center"/>
    </xf>
    <xf numFmtId="166" fontId="9" fillId="3" borderId="16" xfId="1" applyFont="1" applyFill="1" applyBorder="1" applyAlignment="1">
      <alignment vertical="center"/>
    </xf>
    <xf numFmtId="166" fontId="9" fillId="3" borderId="17" xfId="1" applyFont="1" applyFill="1" applyBorder="1" applyAlignment="1">
      <alignment vertical="center"/>
    </xf>
    <xf numFmtId="166" fontId="9" fillId="3" borderId="44" xfId="1" applyFont="1" applyFill="1" applyBorder="1" applyAlignment="1">
      <alignment vertical="center"/>
    </xf>
    <xf numFmtId="166" fontId="9" fillId="3" borderId="81" xfId="1" applyFont="1" applyFill="1" applyBorder="1" applyAlignment="1">
      <alignment vertical="center"/>
    </xf>
    <xf numFmtId="166" fontId="26" fillId="0" borderId="19" xfId="1" applyFont="1" applyFill="1" applyBorder="1" applyAlignment="1">
      <alignment horizontal="center" vertical="center"/>
    </xf>
    <xf numFmtId="177" fontId="10" fillId="0" borderId="10" xfId="8" applyNumberFormat="1" applyFont="1" applyFill="1" applyBorder="1" applyAlignment="1">
      <alignment horizontal="centerContinuous"/>
    </xf>
    <xf numFmtId="0" fontId="10" fillId="0" borderId="8" xfId="8" applyFont="1" applyFill="1" applyBorder="1" applyAlignment="1">
      <alignment horizontal="left"/>
    </xf>
    <xf numFmtId="0" fontId="22" fillId="0" borderId="8" xfId="8" applyFont="1" applyFill="1" applyBorder="1" applyAlignment="1">
      <alignment horizontal="left"/>
    </xf>
    <xf numFmtId="167" fontId="9" fillId="7" borderId="7" xfId="9" applyNumberFormat="1" applyFont="1" applyFill="1" applyBorder="1"/>
    <xf numFmtId="0" fontId="10" fillId="0" borderId="7" xfId="8" applyFont="1" applyFill="1" applyBorder="1" applyAlignment="1">
      <alignment horizontal="center"/>
    </xf>
    <xf numFmtId="43" fontId="10" fillId="0" borderId="46" xfId="9" applyFont="1" applyFill="1" applyBorder="1"/>
    <xf numFmtId="177" fontId="9" fillId="0" borderId="10" xfId="8" applyNumberFormat="1" applyFont="1" applyFill="1" applyBorder="1" applyAlignment="1">
      <alignment horizontal="right"/>
    </xf>
    <xf numFmtId="0" fontId="9" fillId="0" borderId="8" xfId="8" applyFont="1" applyFill="1" applyBorder="1" applyAlignment="1">
      <alignment horizontal="center" vertical="center"/>
    </xf>
    <xf numFmtId="0" fontId="9" fillId="0" borderId="8" xfId="8" applyFont="1" applyFill="1" applyBorder="1"/>
    <xf numFmtId="167" fontId="9" fillId="7" borderId="7" xfId="1" applyNumberFormat="1" applyFont="1" applyFill="1" applyBorder="1" applyAlignment="1">
      <alignment vertical="center"/>
    </xf>
    <xf numFmtId="0" fontId="9" fillId="0" borderId="7" xfId="8" applyFont="1" applyFill="1" applyBorder="1" applyAlignment="1">
      <alignment horizontal="center"/>
    </xf>
    <xf numFmtId="43" fontId="9" fillId="2" borderId="46" xfId="9" applyFont="1" applyFill="1" applyBorder="1"/>
    <xf numFmtId="43" fontId="9" fillId="2" borderId="82" xfId="9" applyFont="1" applyFill="1" applyBorder="1"/>
    <xf numFmtId="177" fontId="9" fillId="0" borderId="75" xfId="8" applyNumberFormat="1" applyFont="1" applyFill="1" applyBorder="1" applyAlignment="1">
      <alignment horizontal="right"/>
    </xf>
    <xf numFmtId="0" fontId="9" fillId="0" borderId="74" xfId="8" applyFont="1" applyFill="1" applyBorder="1" applyAlignment="1">
      <alignment horizontal="center" vertical="center"/>
    </xf>
    <xf numFmtId="0" fontId="9" fillId="0" borderId="74" xfId="8" applyFont="1" applyFill="1" applyBorder="1"/>
    <xf numFmtId="167" fontId="9" fillId="7" borderId="75" xfId="1" applyNumberFormat="1" applyFont="1" applyFill="1" applyBorder="1" applyAlignment="1">
      <alignment vertical="center"/>
    </xf>
    <xf numFmtId="0" fontId="9" fillId="0" borderId="75" xfId="8" applyFont="1" applyFill="1" applyBorder="1" applyAlignment="1">
      <alignment horizontal="center"/>
    </xf>
    <xf numFmtId="43" fontId="9" fillId="2" borderId="83" xfId="9" applyFont="1" applyFill="1" applyBorder="1"/>
    <xf numFmtId="166" fontId="17" fillId="2" borderId="64" xfId="1" applyFont="1" applyFill="1" applyBorder="1" applyAlignment="1">
      <alignment horizontal="center" vertical="center"/>
    </xf>
    <xf numFmtId="0" fontId="9" fillId="0" borderId="11" xfId="8" applyFont="1" applyFill="1" applyBorder="1" applyAlignment="1">
      <alignment horizontal="center" vertical="center"/>
    </xf>
    <xf numFmtId="0" fontId="9" fillId="0" borderId="11" xfId="8" applyFont="1" applyFill="1" applyBorder="1"/>
    <xf numFmtId="167" fontId="9" fillId="7" borderId="10" xfId="1" applyNumberFormat="1" applyFont="1" applyFill="1" applyBorder="1" applyAlignment="1">
      <alignment vertical="center"/>
    </xf>
    <xf numFmtId="0" fontId="9" fillId="0" borderId="10" xfId="8" applyFont="1" applyFill="1" applyBorder="1" applyAlignment="1">
      <alignment horizontal="center"/>
    </xf>
    <xf numFmtId="43" fontId="9" fillId="2" borderId="68" xfId="9" applyFont="1" applyFill="1" applyBorder="1"/>
    <xf numFmtId="166" fontId="9" fillId="2" borderId="46" xfId="1" applyFont="1" applyFill="1" applyBorder="1" applyAlignment="1">
      <alignment horizontal="center" vertical="center"/>
    </xf>
    <xf numFmtId="166" fontId="9" fillId="0" borderId="46" xfId="0" applyNumberFormat="1" applyFont="1" applyBorder="1"/>
    <xf numFmtId="0" fontId="9" fillId="0" borderId="8" xfId="8" applyFont="1" applyFill="1" applyBorder="1" applyAlignment="1">
      <alignment horizontal="center"/>
    </xf>
    <xf numFmtId="43" fontId="9" fillId="0" borderId="82" xfId="9" applyFont="1" applyFill="1" applyBorder="1"/>
    <xf numFmtId="177" fontId="9" fillId="0" borderId="7" xfId="8" applyNumberFormat="1" applyFont="1" applyFill="1" applyBorder="1" applyAlignment="1">
      <alignment horizontal="right"/>
    </xf>
    <xf numFmtId="43" fontId="9" fillId="0" borderId="83" xfId="9" applyFont="1" applyFill="1" applyBorder="1"/>
    <xf numFmtId="43" fontId="9" fillId="0" borderId="68" xfId="9" applyFont="1" applyFill="1" applyBorder="1"/>
    <xf numFmtId="0" fontId="9" fillId="0" borderId="20" xfId="8" applyFont="1" applyFill="1" applyBorder="1" applyAlignment="1">
      <alignment horizontal="center" vertical="center"/>
    </xf>
    <xf numFmtId="166" fontId="17" fillId="2" borderId="27" xfId="1" applyFont="1" applyFill="1" applyBorder="1" applyAlignment="1">
      <alignment horizontal="center" vertical="center"/>
    </xf>
    <xf numFmtId="4" fontId="9" fillId="0" borderId="7" xfId="8" applyNumberFormat="1" applyFont="1" applyFill="1" applyBorder="1" applyAlignment="1">
      <alignment horizontal="right"/>
    </xf>
    <xf numFmtId="0" fontId="9" fillId="0" borderId="12" xfId="8" applyFont="1" applyFill="1" applyBorder="1" applyAlignment="1">
      <alignment horizontal="center"/>
    </xf>
    <xf numFmtId="0" fontId="9" fillId="0" borderId="12" xfId="8" applyFont="1" applyFill="1" applyBorder="1"/>
    <xf numFmtId="167" fontId="9" fillId="7" borderId="22" xfId="1" applyNumberFormat="1" applyFont="1" applyFill="1" applyBorder="1" applyAlignment="1">
      <alignment vertical="center"/>
    </xf>
    <xf numFmtId="4" fontId="9" fillId="0" borderId="23" xfId="8" applyNumberFormat="1" applyFont="1" applyFill="1" applyBorder="1" applyAlignment="1">
      <alignment horizontal="right"/>
    </xf>
    <xf numFmtId="0" fontId="9" fillId="0" borderId="80" xfId="8" applyFont="1" applyFill="1" applyBorder="1" applyAlignment="1">
      <alignment horizontal="center"/>
    </xf>
    <xf numFmtId="0" fontId="9" fillId="0" borderId="84" xfId="8" applyFont="1" applyFill="1" applyBorder="1"/>
    <xf numFmtId="0" fontId="9" fillId="0" borderId="25" xfId="8" applyFont="1" applyFill="1" applyBorder="1"/>
    <xf numFmtId="167" fontId="9" fillId="7" borderId="23" xfId="9" applyNumberFormat="1" applyFont="1" applyFill="1" applyBorder="1" applyAlignment="1">
      <alignment horizontal="center"/>
    </xf>
    <xf numFmtId="0" fontId="9" fillId="0" borderId="23" xfId="8" applyFont="1" applyFill="1" applyBorder="1" applyAlignment="1">
      <alignment horizontal="center"/>
    </xf>
    <xf numFmtId="43" fontId="9" fillId="0" borderId="85" xfId="9" applyFont="1" applyFill="1" applyBorder="1"/>
    <xf numFmtId="166" fontId="9" fillId="2" borderId="86" xfId="1" applyFont="1" applyFill="1" applyBorder="1" applyAlignment="1">
      <alignment horizontal="center" vertical="center"/>
    </xf>
    <xf numFmtId="43" fontId="9" fillId="0" borderId="87" xfId="9" applyFont="1" applyFill="1" applyBorder="1"/>
    <xf numFmtId="166" fontId="9" fillId="2" borderId="25" xfId="1" applyFont="1" applyFill="1" applyBorder="1" applyAlignment="1">
      <alignment horizontal="center" vertical="center"/>
    </xf>
    <xf numFmtId="166" fontId="17" fillId="2" borderId="25" xfId="1" applyFont="1" applyFill="1" applyBorder="1" applyAlignment="1">
      <alignment horizontal="center" vertical="center"/>
    </xf>
    <xf numFmtId="4" fontId="10" fillId="3" borderId="19" xfId="8" applyNumberFormat="1" applyFont="1" applyFill="1" applyBorder="1" applyAlignment="1">
      <alignment horizontal="centerContinuous"/>
    </xf>
    <xf numFmtId="167" fontId="10" fillId="3" borderId="19" xfId="9" applyNumberFormat="1" applyFont="1" applyFill="1" applyBorder="1"/>
    <xf numFmtId="0" fontId="10" fillId="3" borderId="19" xfId="8" applyFont="1" applyFill="1" applyBorder="1" applyAlignment="1">
      <alignment horizontal="center"/>
    </xf>
    <xf numFmtId="43" fontId="10" fillId="3" borderId="88" xfId="9" applyFont="1" applyFill="1" applyBorder="1"/>
    <xf numFmtId="43" fontId="10" fillId="3" borderId="89" xfId="9" applyFont="1" applyFill="1" applyBorder="1"/>
    <xf numFmtId="176" fontId="10" fillId="0" borderId="7" xfId="8" applyNumberFormat="1" applyFont="1" applyFill="1" applyBorder="1" applyAlignment="1">
      <alignment horizontal="center"/>
    </xf>
    <xf numFmtId="0" fontId="10" fillId="0" borderId="22" xfId="8" applyFont="1" applyFill="1" applyBorder="1" applyAlignment="1">
      <alignment horizontal="left"/>
    </xf>
    <xf numFmtId="0" fontId="22" fillId="0" borderId="12" xfId="8" applyFont="1" applyFill="1" applyBorder="1" applyAlignment="1">
      <alignment horizontal="left"/>
    </xf>
    <xf numFmtId="0" fontId="10" fillId="0" borderId="12" xfId="8" applyFont="1" applyFill="1" applyBorder="1" applyAlignment="1">
      <alignment horizontal="left"/>
    </xf>
    <xf numFmtId="0" fontId="9" fillId="0" borderId="22" xfId="8" applyFont="1" applyFill="1" applyBorder="1" applyAlignment="1">
      <alignment horizontal="center"/>
    </xf>
    <xf numFmtId="43" fontId="9" fillId="0" borderId="69" xfId="9" applyFont="1" applyFill="1" applyBorder="1"/>
    <xf numFmtId="166" fontId="9" fillId="2" borderId="70" xfId="1" applyFont="1" applyFill="1" applyBorder="1" applyAlignment="1">
      <alignment horizontal="center" vertical="center"/>
    </xf>
    <xf numFmtId="43" fontId="9" fillId="0" borderId="90" xfId="9" applyFont="1" applyFill="1" applyBorder="1"/>
    <xf numFmtId="166" fontId="9" fillId="2" borderId="6" xfId="1" applyFont="1" applyFill="1" applyBorder="1" applyAlignment="1">
      <alignment horizontal="center" vertical="center"/>
    </xf>
    <xf numFmtId="176" fontId="10" fillId="0" borderId="7" xfId="8" applyNumberFormat="1" applyFont="1" applyFill="1" applyBorder="1" applyAlignment="1">
      <alignment horizontal="right"/>
    </xf>
    <xf numFmtId="0" fontId="10" fillId="0" borderId="20" xfId="8" applyFont="1" applyFill="1" applyBorder="1" applyAlignment="1">
      <alignment horizontal="left"/>
    </xf>
    <xf numFmtId="0" fontId="9" fillId="0" borderId="7" xfId="8" applyFont="1" applyFill="1" applyBorder="1" applyAlignment="1">
      <alignment horizontal="right"/>
    </xf>
    <xf numFmtId="0" fontId="9" fillId="0" borderId="20" xfId="8" applyFont="1" applyFill="1" applyBorder="1" applyAlignment="1">
      <alignment horizontal="right"/>
    </xf>
    <xf numFmtId="43" fontId="9" fillId="0" borderId="8" xfId="10" applyNumberFormat="1" applyFont="1" applyBorder="1" applyAlignment="1"/>
    <xf numFmtId="43" fontId="9" fillId="0" borderId="9" xfId="10" applyNumberFormat="1" applyFont="1" applyBorder="1" applyAlignment="1"/>
    <xf numFmtId="0" fontId="9" fillId="0" borderId="10" xfId="8" applyFont="1" applyFill="1" applyBorder="1" applyAlignment="1">
      <alignment horizontal="right"/>
    </xf>
    <xf numFmtId="176" fontId="9" fillId="0" borderId="7" xfId="8" applyNumberFormat="1" applyFont="1" applyFill="1" applyBorder="1" applyAlignment="1">
      <alignment horizontal="right"/>
    </xf>
    <xf numFmtId="43" fontId="9" fillId="0" borderId="91" xfId="9" applyFont="1" applyFill="1" applyBorder="1"/>
    <xf numFmtId="176" fontId="9" fillId="0" borderId="10" xfId="8" applyNumberFormat="1" applyFont="1" applyFill="1" applyBorder="1" applyAlignment="1">
      <alignment horizontal="right"/>
    </xf>
    <xf numFmtId="43" fontId="9" fillId="0" borderId="92" xfId="9" applyFont="1" applyFill="1" applyBorder="1"/>
    <xf numFmtId="2" fontId="9" fillId="0" borderId="7" xfId="8" applyNumberFormat="1" applyFont="1" applyFill="1" applyBorder="1" applyAlignment="1">
      <alignment horizontal="right"/>
    </xf>
    <xf numFmtId="2" fontId="9" fillId="0" borderId="22" xfId="8" applyNumberFormat="1" applyFont="1" applyFill="1" applyBorder="1" applyAlignment="1">
      <alignment horizontal="right"/>
    </xf>
    <xf numFmtId="2" fontId="9" fillId="0" borderId="75" xfId="8" applyNumberFormat="1" applyFont="1" applyFill="1" applyBorder="1" applyAlignment="1">
      <alignment horizontal="right"/>
    </xf>
    <xf numFmtId="0" fontId="9" fillId="0" borderId="73" xfId="8" applyFont="1" applyFill="1" applyBorder="1" applyAlignment="1">
      <alignment horizontal="right"/>
    </xf>
    <xf numFmtId="43" fontId="9" fillId="0" borderId="74" xfId="10" applyNumberFormat="1" applyFont="1" applyBorder="1" applyAlignment="1"/>
    <xf numFmtId="43" fontId="9" fillId="0" borderId="64" xfId="10" applyNumberFormat="1" applyFont="1" applyBorder="1" applyAlignment="1"/>
    <xf numFmtId="2" fontId="9" fillId="0" borderId="26" xfId="8" applyNumberFormat="1" applyFont="1" applyFill="1" applyBorder="1" applyAlignment="1">
      <alignment horizontal="right"/>
    </xf>
    <xf numFmtId="0" fontId="9" fillId="0" borderId="32" xfId="8" applyFont="1" applyFill="1" applyBorder="1" applyAlignment="1">
      <alignment horizontal="right"/>
    </xf>
    <xf numFmtId="43" fontId="9" fillId="0" borderId="11" xfId="10" applyNumberFormat="1" applyFont="1" applyBorder="1" applyAlignment="1"/>
    <xf numFmtId="43" fontId="9" fillId="0" borderId="13" xfId="10" applyNumberFormat="1" applyFont="1" applyBorder="1" applyAlignment="1"/>
    <xf numFmtId="2" fontId="9" fillId="0" borderId="10" xfId="8" applyNumberFormat="1" applyFont="1" applyFill="1" applyBorder="1" applyAlignment="1">
      <alignment horizontal="right"/>
    </xf>
    <xf numFmtId="167" fontId="9" fillId="7" borderId="26" xfId="1" applyNumberFormat="1" applyFont="1" applyFill="1" applyBorder="1" applyAlignment="1">
      <alignment vertical="center"/>
    </xf>
    <xf numFmtId="166" fontId="17" fillId="2" borderId="47" xfId="1" applyFont="1" applyFill="1" applyBorder="1" applyAlignment="1">
      <alignment horizontal="center" vertical="center"/>
    </xf>
    <xf numFmtId="2" fontId="9" fillId="0" borderId="67" xfId="8" applyNumberFormat="1" applyFont="1" applyFill="1" applyBorder="1" applyAlignment="1">
      <alignment horizontal="right"/>
    </xf>
    <xf numFmtId="0" fontId="9" fillId="0" borderId="2" xfId="8" applyFont="1" applyFill="1" applyBorder="1" applyAlignment="1">
      <alignment horizontal="right"/>
    </xf>
    <xf numFmtId="43" fontId="9" fillId="0" borderId="1" xfId="10" applyNumberFormat="1" applyFont="1" applyBorder="1"/>
    <xf numFmtId="167" fontId="9" fillId="7" borderId="67" xfId="9" applyNumberFormat="1" applyFont="1" applyFill="1" applyBorder="1"/>
    <xf numFmtId="0" fontId="9" fillId="0" borderId="67" xfId="8" applyFont="1" applyFill="1" applyBorder="1" applyAlignment="1">
      <alignment horizontal="center"/>
    </xf>
    <xf numFmtId="43" fontId="9" fillId="0" borderId="71" xfId="9" applyFont="1" applyFill="1" applyBorder="1"/>
    <xf numFmtId="166" fontId="9" fillId="2" borderId="93" xfId="1" applyFont="1" applyFill="1" applyBorder="1" applyAlignment="1">
      <alignment horizontal="center" vertical="center"/>
    </xf>
    <xf numFmtId="43" fontId="9" fillId="0" borderId="94" xfId="9" applyFont="1" applyFill="1" applyBorder="1"/>
    <xf numFmtId="166" fontId="9" fillId="2" borderId="3" xfId="1" applyFont="1" applyFill="1" applyBorder="1" applyAlignment="1">
      <alignment horizontal="center" vertical="center"/>
    </xf>
    <xf numFmtId="166" fontId="17" fillId="2" borderId="3" xfId="1" applyFont="1" applyFill="1" applyBorder="1" applyAlignment="1">
      <alignment horizontal="center" vertical="center"/>
    </xf>
    <xf numFmtId="2" fontId="10" fillId="3" borderId="67" xfId="8" applyNumberFormat="1" applyFont="1" applyFill="1" applyBorder="1" applyAlignment="1">
      <alignment horizontal="center"/>
    </xf>
    <xf numFmtId="167" fontId="10" fillId="3" borderId="67" xfId="9" applyNumberFormat="1" applyFont="1" applyFill="1" applyBorder="1"/>
    <xf numFmtId="0" fontId="10" fillId="3" borderId="67" xfId="8" applyFont="1" applyFill="1" applyBorder="1" applyAlignment="1">
      <alignment horizontal="center"/>
    </xf>
    <xf numFmtId="43" fontId="10" fillId="3" borderId="71" xfId="9" applyFont="1" applyFill="1" applyBorder="1"/>
    <xf numFmtId="166" fontId="9" fillId="3" borderId="3" xfId="1" applyFont="1" applyFill="1" applyBorder="1" applyAlignment="1">
      <alignment horizontal="center" vertical="center"/>
    </xf>
    <xf numFmtId="43" fontId="9" fillId="3" borderId="94" xfId="9" applyFont="1" applyFill="1" applyBorder="1"/>
    <xf numFmtId="166" fontId="17" fillId="0" borderId="3" xfId="1" applyFont="1" applyFill="1" applyBorder="1" applyAlignment="1">
      <alignment horizontal="center" vertical="center"/>
    </xf>
    <xf numFmtId="43" fontId="10" fillId="0" borderId="20" xfId="10" applyNumberFormat="1" applyFont="1" applyFill="1" applyBorder="1" applyAlignment="1">
      <alignment horizontal="left"/>
    </xf>
    <xf numFmtId="43" fontId="10" fillId="0" borderId="8" xfId="10" applyNumberFormat="1" applyFont="1" applyFill="1" applyBorder="1" applyAlignment="1">
      <alignment horizontal="left"/>
    </xf>
    <xf numFmtId="167" fontId="9" fillId="7" borderId="7" xfId="9" applyNumberFormat="1" applyFont="1" applyFill="1" applyBorder="1" applyAlignment="1">
      <alignment horizontal="center"/>
    </xf>
    <xf numFmtId="43" fontId="9" fillId="0" borderId="95" xfId="9" applyFont="1" applyFill="1" applyBorder="1"/>
    <xf numFmtId="43" fontId="9" fillId="0" borderId="20" xfId="10" applyNumberFormat="1" applyFont="1" applyFill="1" applyBorder="1" applyAlignment="1">
      <alignment horizontal="center"/>
    </xf>
    <xf numFmtId="43" fontId="9" fillId="0" borderId="8" xfId="10" applyNumberFormat="1" applyFont="1" applyFill="1" applyBorder="1" applyAlignment="1">
      <alignment horizontal="left"/>
    </xf>
    <xf numFmtId="176" fontId="9" fillId="0" borderId="7" xfId="8" applyNumberFormat="1" applyFont="1" applyFill="1" applyBorder="1" applyAlignment="1">
      <alignment horizontal="center"/>
    </xf>
    <xf numFmtId="176" fontId="9" fillId="0" borderId="10" xfId="8" applyNumberFormat="1" applyFont="1" applyFill="1" applyBorder="1" applyAlignment="1">
      <alignment horizontal="center"/>
    </xf>
    <xf numFmtId="43" fontId="9" fillId="0" borderId="11" xfId="10" applyNumberFormat="1" applyFont="1" applyFill="1" applyBorder="1" applyAlignment="1">
      <alignment horizontal="left"/>
    </xf>
    <xf numFmtId="43" fontId="9" fillId="0" borderId="0" xfId="10" applyNumberFormat="1" applyFont="1" applyFill="1" applyBorder="1" applyAlignment="1">
      <alignment horizontal="left"/>
    </xf>
    <xf numFmtId="43" fontId="9" fillId="0" borderId="96" xfId="9" applyFont="1" applyFill="1" applyBorder="1"/>
    <xf numFmtId="43" fontId="9" fillId="0" borderId="32" xfId="10" applyNumberFormat="1" applyFont="1" applyFill="1" applyBorder="1" applyAlignment="1">
      <alignment horizontal="left"/>
    </xf>
    <xf numFmtId="0" fontId="9" fillId="0" borderId="26" xfId="8" applyFont="1" applyFill="1" applyBorder="1" applyAlignment="1">
      <alignment horizontal="center"/>
    </xf>
    <xf numFmtId="176" fontId="9" fillId="0" borderId="75" xfId="8" applyNumberFormat="1" applyFont="1" applyFill="1" applyBorder="1" applyAlignment="1">
      <alignment horizontal="right"/>
    </xf>
    <xf numFmtId="43" fontId="9" fillId="0" borderId="74" xfId="10" applyNumberFormat="1" applyFont="1" applyFill="1" applyBorder="1" applyAlignment="1">
      <alignment horizontal="left"/>
    </xf>
    <xf numFmtId="43" fontId="9" fillId="0" borderId="97" xfId="9" applyFont="1" applyFill="1" applyBorder="1"/>
    <xf numFmtId="43" fontId="9" fillId="0" borderId="98" xfId="9" applyFont="1" applyFill="1" applyBorder="1"/>
    <xf numFmtId="176" fontId="9" fillId="0" borderId="75" xfId="8" applyNumberFormat="1" applyFont="1" applyFill="1" applyBorder="1" applyAlignment="1">
      <alignment horizontal="center"/>
    </xf>
    <xf numFmtId="43" fontId="9" fillId="0" borderId="99" xfId="9" applyFont="1" applyFill="1" applyBorder="1"/>
    <xf numFmtId="0" fontId="9" fillId="0" borderId="32" xfId="8" applyFont="1" applyFill="1" applyBorder="1" applyAlignment="1">
      <alignment horizontal="center" vertical="center"/>
    </xf>
    <xf numFmtId="176" fontId="9" fillId="0" borderId="23" xfId="8" applyNumberFormat="1" applyFont="1" applyFill="1" applyBorder="1" applyAlignment="1">
      <alignment horizontal="center"/>
    </xf>
    <xf numFmtId="0" fontId="9" fillId="0" borderId="80" xfId="8" applyFont="1" applyFill="1" applyBorder="1" applyAlignment="1">
      <alignment horizontal="right"/>
    </xf>
    <xf numFmtId="43" fontId="9" fillId="0" borderId="84" xfId="10" applyNumberFormat="1" applyFont="1" applyFill="1" applyBorder="1" applyAlignment="1">
      <alignment horizontal="left"/>
    </xf>
    <xf numFmtId="167" fontId="9" fillId="7" borderId="23" xfId="1" applyNumberFormat="1" applyFont="1" applyFill="1" applyBorder="1" applyAlignment="1">
      <alignment vertical="center"/>
    </xf>
    <xf numFmtId="176" fontId="10" fillId="3" borderId="19" xfId="8" applyNumberFormat="1" applyFont="1" applyFill="1" applyBorder="1" applyAlignment="1">
      <alignment horizontal="center"/>
    </xf>
    <xf numFmtId="167" fontId="10" fillId="3" borderId="19" xfId="1" applyNumberFormat="1" applyFont="1" applyFill="1" applyBorder="1" applyAlignment="1">
      <alignment vertical="center"/>
    </xf>
    <xf numFmtId="166" fontId="9" fillId="3" borderId="44" xfId="1" applyFont="1" applyFill="1" applyBorder="1" applyAlignment="1">
      <alignment horizontal="center" vertical="center"/>
    </xf>
    <xf numFmtId="43" fontId="9" fillId="3" borderId="89" xfId="9" applyFont="1" applyFill="1" applyBorder="1"/>
    <xf numFmtId="166" fontId="9" fillId="3" borderId="16" xfId="1" applyFont="1" applyFill="1" applyBorder="1" applyAlignment="1">
      <alignment horizontal="center" vertical="center"/>
    </xf>
    <xf numFmtId="166" fontId="17" fillId="2" borderId="16" xfId="1" applyFont="1" applyFill="1" applyBorder="1" applyAlignment="1">
      <alignment horizontal="center" vertical="center"/>
    </xf>
    <xf numFmtId="176" fontId="10" fillId="0" borderId="10" xfId="8" applyNumberFormat="1" applyFont="1" applyFill="1" applyBorder="1" applyAlignment="1">
      <alignment horizontal="center"/>
    </xf>
    <xf numFmtId="0" fontId="10" fillId="0" borderId="10" xfId="8" applyFont="1" applyFill="1" applyBorder="1" applyAlignment="1">
      <alignment horizontal="left"/>
    </xf>
    <xf numFmtId="0" fontId="22" fillId="0" borderId="11" xfId="8" applyFont="1" applyFill="1" applyBorder="1" applyAlignment="1">
      <alignment horizontal="left"/>
    </xf>
    <xf numFmtId="0" fontId="10" fillId="0" borderId="26" xfId="8" applyFont="1" applyFill="1" applyBorder="1" applyAlignment="1">
      <alignment horizontal="center"/>
    </xf>
    <xf numFmtId="43" fontId="10" fillId="0" borderId="92" xfId="9" applyFont="1" applyFill="1" applyBorder="1"/>
    <xf numFmtId="0" fontId="9" fillId="0" borderId="20" xfId="8" applyFont="1" applyFill="1" applyBorder="1"/>
    <xf numFmtId="167" fontId="9" fillId="0" borderId="7" xfId="1" applyNumberFormat="1" applyFont="1" applyFill="1" applyBorder="1" applyAlignment="1">
      <alignment vertical="center"/>
    </xf>
    <xf numFmtId="166" fontId="9" fillId="0" borderId="43" xfId="1" applyFont="1" applyFill="1" applyBorder="1" applyAlignment="1">
      <alignment horizontal="center" vertical="center"/>
    </xf>
    <xf numFmtId="166" fontId="17" fillId="0" borderId="9" xfId="1" applyFont="1" applyFill="1" applyBorder="1" applyAlignment="1">
      <alignment horizontal="center" vertical="center"/>
    </xf>
    <xf numFmtId="166" fontId="9" fillId="0" borderId="11" xfId="1" applyFont="1" applyFill="1" applyBorder="1" applyAlignment="1">
      <alignment horizontal="center" vertical="center"/>
    </xf>
    <xf numFmtId="0" fontId="9" fillId="0" borderId="32" xfId="8" applyFont="1" applyFill="1" applyBorder="1"/>
    <xf numFmtId="0" fontId="9" fillId="2" borderId="22" xfId="8" applyFont="1" applyFill="1" applyBorder="1" applyAlignment="1">
      <alignment horizontal="right"/>
    </xf>
    <xf numFmtId="0" fontId="9" fillId="2" borderId="100" xfId="8" applyFont="1" applyFill="1" applyBorder="1"/>
    <xf numFmtId="0" fontId="9" fillId="2" borderId="12" xfId="8" applyFont="1" applyFill="1" applyBorder="1"/>
    <xf numFmtId="167" fontId="9" fillId="2" borderId="22" xfId="1" applyNumberFormat="1" applyFont="1" applyFill="1" applyBorder="1" applyAlignment="1">
      <alignment vertical="center"/>
    </xf>
    <xf numFmtId="0" fontId="9" fillId="2" borderId="22" xfId="8" applyFont="1" applyFill="1" applyBorder="1" applyAlignment="1">
      <alignment horizontal="center"/>
    </xf>
    <xf numFmtId="43" fontId="9" fillId="2" borderId="91" xfId="9" applyFont="1" applyFill="1" applyBorder="1"/>
    <xf numFmtId="0" fontId="9" fillId="0" borderId="22" xfId="8" applyFont="1" applyFill="1" applyBorder="1" applyAlignment="1">
      <alignment horizontal="right"/>
    </xf>
    <xf numFmtId="0" fontId="9" fillId="0" borderId="100" xfId="8" applyFont="1" applyFill="1" applyBorder="1"/>
    <xf numFmtId="0" fontId="9" fillId="0" borderId="100" xfId="8" applyFont="1" applyFill="1" applyBorder="1" applyAlignment="1">
      <alignment horizontal="left"/>
    </xf>
    <xf numFmtId="167" fontId="9" fillId="2" borderId="10" xfId="1" applyNumberFormat="1" applyFont="1" applyFill="1" applyBorder="1" applyAlignment="1">
      <alignment vertical="center"/>
    </xf>
    <xf numFmtId="0" fontId="9" fillId="0" borderId="75" xfId="8" applyFont="1" applyFill="1" applyBorder="1" applyAlignment="1">
      <alignment horizontal="right"/>
    </xf>
    <xf numFmtId="167" fontId="9" fillId="2" borderId="75" xfId="1" applyNumberFormat="1" applyFont="1" applyFill="1" applyBorder="1" applyAlignment="1">
      <alignment vertical="center"/>
    </xf>
    <xf numFmtId="0" fontId="9" fillId="2" borderId="32" xfId="8" applyFont="1" applyFill="1" applyBorder="1"/>
    <xf numFmtId="0" fontId="9" fillId="2" borderId="20" xfId="8" quotePrefix="1" applyFont="1" applyFill="1" applyBorder="1"/>
    <xf numFmtId="167" fontId="9" fillId="0" borderId="10" xfId="1" applyNumberFormat="1" applyFont="1" applyFill="1" applyBorder="1" applyAlignment="1">
      <alignment vertical="center"/>
    </xf>
    <xf numFmtId="166" fontId="9" fillId="0" borderId="53" xfId="1" applyFont="1" applyFill="1" applyBorder="1" applyAlignment="1">
      <alignment horizontal="center" vertical="center"/>
    </xf>
    <xf numFmtId="2" fontId="9" fillId="0" borderId="30" xfId="8" applyNumberFormat="1" applyFont="1" applyFill="1" applyBorder="1" applyAlignment="1">
      <alignment horizontal="right"/>
    </xf>
    <xf numFmtId="0" fontId="9" fillId="0" borderId="35" xfId="8" applyFont="1" applyFill="1" applyBorder="1"/>
    <xf numFmtId="0" fontId="9" fillId="0" borderId="36" xfId="8" applyFont="1" applyFill="1" applyBorder="1"/>
    <xf numFmtId="0" fontId="9" fillId="0" borderId="37" xfId="8" applyFont="1" applyFill="1" applyBorder="1"/>
    <xf numFmtId="167" fontId="9" fillId="7" borderId="67" xfId="1" applyNumberFormat="1" applyFont="1" applyFill="1" applyBorder="1" applyAlignment="1">
      <alignment vertical="center"/>
    </xf>
    <xf numFmtId="166" fontId="17" fillId="2" borderId="37" xfId="1" applyFont="1" applyFill="1" applyBorder="1" applyAlignment="1">
      <alignment horizontal="center" vertical="center"/>
    </xf>
    <xf numFmtId="166" fontId="25" fillId="3" borderId="44" xfId="1" applyFont="1" applyFill="1" applyBorder="1" applyAlignment="1">
      <alignment horizontal="center" vertical="center"/>
    </xf>
    <xf numFmtId="43" fontId="9" fillId="3" borderId="88" xfId="9" applyFont="1" applyFill="1" applyBorder="1"/>
    <xf numFmtId="166" fontId="17" fillId="0" borderId="16" xfId="1" applyFont="1" applyFill="1" applyBorder="1" applyAlignment="1">
      <alignment horizontal="center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Font="1"/>
    <xf numFmtId="167" fontId="8" fillId="0" borderId="28" xfId="1" applyNumberFormat="1" applyFont="1" applyFill="1" applyBorder="1" applyAlignment="1">
      <alignment horizontal="center"/>
    </xf>
    <xf numFmtId="167" fontId="8" fillId="0" borderId="30" xfId="1" applyNumberFormat="1" applyFont="1" applyFill="1" applyBorder="1" applyAlignment="1">
      <alignment horizontal="center" vertical="top"/>
    </xf>
    <xf numFmtId="0" fontId="9" fillId="7" borderId="63" xfId="0" applyFont="1" applyFill="1" applyBorder="1" applyAlignment="1">
      <alignment horizontal="center" vertical="center" wrapText="1"/>
    </xf>
    <xf numFmtId="167" fontId="9" fillId="7" borderId="33" xfId="0" applyNumberFormat="1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169" fontId="9" fillId="7" borderId="29" xfId="1" applyNumberFormat="1" applyFont="1" applyFill="1" applyBorder="1" applyAlignment="1">
      <alignment horizontal="center" vertical="center"/>
    </xf>
    <xf numFmtId="3" fontId="9" fillId="7" borderId="101" xfId="1" applyNumberFormat="1" applyFont="1" applyFill="1" applyBorder="1" applyAlignment="1">
      <alignment horizontal="center" vertical="center"/>
    </xf>
    <xf numFmtId="167" fontId="9" fillId="7" borderId="33" xfId="1" applyNumberFormat="1" applyFont="1" applyFill="1" applyBorder="1" applyAlignment="1">
      <alignment horizontal="center" vertical="center"/>
    </xf>
    <xf numFmtId="0" fontId="9" fillId="7" borderId="33" xfId="4" applyFont="1" applyFill="1" applyBorder="1" applyAlignment="1">
      <alignment horizontal="center" vertical="center"/>
    </xf>
    <xf numFmtId="3" fontId="9" fillId="7" borderId="20" xfId="0" applyNumberFormat="1" applyFont="1" applyFill="1" applyBorder="1" applyAlignment="1">
      <alignment vertical="center"/>
    </xf>
    <xf numFmtId="3" fontId="11" fillId="7" borderId="8" xfId="0" applyNumberFormat="1" applyFont="1" applyFill="1" applyBorder="1" applyAlignment="1">
      <alignment vertical="center"/>
    </xf>
    <xf numFmtId="3" fontId="11" fillId="7" borderId="9" xfId="0" applyNumberFormat="1" applyFont="1" applyFill="1" applyBorder="1" applyAlignment="1">
      <alignment vertical="center"/>
    </xf>
    <xf numFmtId="3" fontId="9" fillId="7" borderId="9" xfId="1" applyNumberFormat="1" applyFont="1" applyFill="1" applyBorder="1" applyAlignment="1">
      <alignment horizontal="center" vertical="center"/>
    </xf>
    <xf numFmtId="166" fontId="9" fillId="7" borderId="8" xfId="1" applyFont="1" applyFill="1" applyBorder="1" applyAlignment="1">
      <alignment horizontal="center" vertical="center"/>
    </xf>
    <xf numFmtId="166" fontId="9" fillId="0" borderId="43" xfId="1" applyFont="1" applyFill="1" applyBorder="1" applyAlignment="1" applyProtection="1">
      <alignment horizontal="right"/>
      <protection locked="0"/>
    </xf>
    <xf numFmtId="166" fontId="9" fillId="7" borderId="46" xfId="1" applyFont="1" applyFill="1" applyBorder="1" applyAlignment="1">
      <alignment horizontal="right" vertical="center"/>
    </xf>
    <xf numFmtId="166" fontId="9" fillId="0" borderId="7" xfId="1" applyFont="1" applyFill="1" applyBorder="1" applyAlignment="1" applyProtection="1">
      <alignment horizontal="right"/>
      <protection hidden="1"/>
    </xf>
    <xf numFmtId="3" fontId="9" fillId="7" borderId="9" xfId="1" applyNumberFormat="1" applyFont="1" applyFill="1" applyBorder="1" applyAlignment="1">
      <alignment horizontal="left" vertical="center"/>
    </xf>
    <xf numFmtId="3" fontId="9" fillId="7" borderId="20" xfId="0" applyNumberFormat="1" applyFont="1" applyFill="1" applyBorder="1" applyAlignment="1">
      <alignment horizontal="left" vertical="center"/>
    </xf>
    <xf numFmtId="3" fontId="9" fillId="7" borderId="8" xfId="0" applyNumberFormat="1" applyFont="1" applyFill="1" applyBorder="1" applyAlignment="1">
      <alignment vertical="center"/>
    </xf>
    <xf numFmtId="3" fontId="9" fillId="7" borderId="7" xfId="1" applyNumberFormat="1" applyFont="1" applyFill="1" applyBorder="1" applyAlignment="1">
      <alignment horizontal="left" vertical="center"/>
    </xf>
    <xf numFmtId="3" fontId="9" fillId="7" borderId="8" xfId="0" applyNumberFormat="1" applyFont="1" applyFill="1" applyBorder="1" applyAlignment="1">
      <alignment horizontal="left" vertical="center"/>
    </xf>
    <xf numFmtId="3" fontId="9" fillId="7" borderId="9" xfId="0" applyNumberFormat="1" applyFont="1" applyFill="1" applyBorder="1" applyAlignment="1">
      <alignment vertical="center"/>
    </xf>
    <xf numFmtId="166" fontId="9" fillId="7" borderId="43" xfId="1" applyFont="1" applyFill="1" applyBorder="1" applyAlignment="1">
      <alignment horizontal="right" vertical="center"/>
    </xf>
    <xf numFmtId="166" fontId="9" fillId="7" borderId="8" xfId="1" applyFont="1" applyFill="1" applyBorder="1" applyAlignment="1">
      <alignment horizontal="right" vertical="center"/>
    </xf>
    <xf numFmtId="170" fontId="9" fillId="7" borderId="7" xfId="0" applyNumberFormat="1" applyFont="1" applyFill="1" applyBorder="1" applyAlignment="1">
      <alignment horizontal="center" vertical="center"/>
    </xf>
    <xf numFmtId="3" fontId="9" fillId="7" borderId="8" xfId="0" applyNumberFormat="1" applyFont="1" applyFill="1" applyBorder="1" applyAlignment="1">
      <alignment horizontal="center" vertical="center"/>
    </xf>
    <xf numFmtId="3" fontId="9" fillId="7" borderId="9" xfId="1" applyNumberFormat="1" applyFont="1" applyFill="1" applyBorder="1" applyAlignment="1">
      <alignment horizontal="right" vertical="center"/>
    </xf>
    <xf numFmtId="166" fontId="9" fillId="7" borderId="9" xfId="1" applyFont="1" applyFill="1" applyBorder="1" applyAlignment="1">
      <alignment horizontal="right" vertical="center"/>
    </xf>
    <xf numFmtId="3" fontId="9" fillId="8" borderId="16" xfId="1" applyNumberFormat="1" applyFont="1" applyFill="1" applyBorder="1" applyAlignment="1">
      <alignment horizontal="right" vertical="center"/>
    </xf>
    <xf numFmtId="3" fontId="9" fillId="8" borderId="16" xfId="1" applyNumberFormat="1" applyFont="1" applyFill="1" applyBorder="1" applyAlignment="1">
      <alignment vertical="center"/>
    </xf>
    <xf numFmtId="166" fontId="9" fillId="8" borderId="17" xfId="1" applyFont="1" applyFill="1" applyBorder="1" applyAlignment="1">
      <alignment vertical="center"/>
    </xf>
    <xf numFmtId="166" fontId="9" fillId="8" borderId="44" xfId="1" applyFont="1" applyFill="1" applyBorder="1" applyAlignment="1">
      <alignment horizontal="right" vertical="center"/>
    </xf>
    <xf numFmtId="166" fontId="9" fillId="8" borderId="88" xfId="1" applyFont="1" applyFill="1" applyBorder="1" applyAlignment="1">
      <alignment horizontal="right" vertical="center"/>
    </xf>
    <xf numFmtId="166" fontId="9" fillId="8" borderId="16" xfId="1" applyFont="1" applyFill="1" applyBorder="1" applyAlignment="1">
      <alignment horizontal="right" vertical="center"/>
    </xf>
    <xf numFmtId="3" fontId="12" fillId="7" borderId="19" xfId="1" applyNumberFormat="1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 wrapText="1"/>
    </xf>
    <xf numFmtId="3" fontId="10" fillId="0" borderId="8" xfId="0" applyNumberFormat="1" applyFont="1" applyBorder="1"/>
    <xf numFmtId="3" fontId="9" fillId="7" borderId="5" xfId="0" applyNumberFormat="1" applyFont="1" applyFill="1" applyBorder="1" applyAlignment="1">
      <alignment vertical="center"/>
    </xf>
    <xf numFmtId="3" fontId="9" fillId="7" borderId="6" xfId="0" applyNumberFormat="1" applyFont="1" applyFill="1" applyBorder="1" applyAlignment="1">
      <alignment vertical="center"/>
    </xf>
    <xf numFmtId="3" fontId="9" fillId="7" borderId="9" xfId="0" applyNumberFormat="1" applyFont="1" applyFill="1" applyBorder="1" applyAlignment="1">
      <alignment horizontal="center" vertical="center" wrapText="1"/>
    </xf>
    <xf numFmtId="3" fontId="9" fillId="7" borderId="7" xfId="4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166" fontId="9" fillId="0" borderId="43" xfId="1" applyFont="1" applyFill="1" applyBorder="1" applyAlignment="1">
      <alignment horizontal="right" vertical="center"/>
    </xf>
    <xf numFmtId="166" fontId="9" fillId="0" borderId="46" xfId="1" applyFont="1" applyFill="1" applyBorder="1" applyAlignment="1">
      <alignment horizontal="right" vertical="center"/>
    </xf>
    <xf numFmtId="166" fontId="9" fillId="0" borderId="9" xfId="1" applyFont="1" applyFill="1" applyBorder="1" applyAlignment="1">
      <alignment horizontal="right" vertical="center"/>
    </xf>
    <xf numFmtId="3" fontId="9" fillId="0" borderId="7" xfId="4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right" vertical="center" wrapText="1"/>
    </xf>
    <xf numFmtId="3" fontId="9" fillId="7" borderId="11" xfId="0" applyNumberFormat="1" applyFont="1" applyFill="1" applyBorder="1" applyAlignment="1">
      <alignment vertical="center"/>
    </xf>
    <xf numFmtId="3" fontId="9" fillId="7" borderId="13" xfId="0" applyNumberFormat="1" applyFont="1" applyFill="1" applyBorder="1" applyAlignment="1">
      <alignment vertical="center"/>
    </xf>
    <xf numFmtId="178" fontId="9" fillId="0" borderId="7" xfId="1" applyNumberFormat="1" applyFont="1" applyFill="1" applyBorder="1" applyAlignment="1" applyProtection="1">
      <alignment horizontal="right"/>
      <protection locked="0"/>
    </xf>
    <xf numFmtId="166" fontId="9" fillId="7" borderId="46" xfId="1" applyFont="1" applyFill="1" applyBorder="1" applyAlignment="1">
      <alignment horizontal="center" vertical="center"/>
    </xf>
    <xf numFmtId="3" fontId="9" fillId="7" borderId="7" xfId="1" applyNumberFormat="1" applyFont="1" applyFill="1" applyBorder="1" applyAlignment="1">
      <alignment horizontal="center" vertical="center"/>
    </xf>
    <xf numFmtId="178" fontId="9" fillId="0" borderId="7" xfId="1" quotePrefix="1" applyNumberFormat="1" applyFont="1" applyFill="1" applyBorder="1" applyAlignment="1" applyProtection="1">
      <alignment horizontal="right"/>
      <protection locked="0"/>
    </xf>
    <xf numFmtId="3" fontId="9" fillId="0" borderId="7" xfId="1" applyNumberFormat="1" applyFont="1" applyFill="1" applyBorder="1" applyAlignment="1" applyProtection="1">
      <alignment horizontal="center"/>
      <protection locked="0"/>
    </xf>
    <xf numFmtId="166" fontId="9" fillId="0" borderId="46" xfId="1" applyFont="1" applyFill="1" applyBorder="1" applyProtection="1">
      <protection locked="0"/>
    </xf>
    <xf numFmtId="166" fontId="9" fillId="0" borderId="46" xfId="1" applyFont="1" applyFill="1" applyBorder="1" applyAlignment="1" applyProtection="1">
      <alignment horizontal="right"/>
      <protection locked="0"/>
    </xf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7" xfId="0" applyNumberFormat="1" applyFont="1" applyBorder="1" applyAlignment="1">
      <alignment horizontal="center"/>
    </xf>
    <xf numFmtId="3" fontId="9" fillId="0" borderId="7" xfId="0" applyNumberFormat="1" applyFont="1" applyBorder="1"/>
    <xf numFmtId="178" fontId="9" fillId="0" borderId="75" xfId="1" quotePrefix="1" applyNumberFormat="1" applyFont="1" applyFill="1" applyBorder="1" applyAlignment="1" applyProtection="1">
      <alignment horizontal="right"/>
      <protection locked="0"/>
    </xf>
    <xf numFmtId="3" fontId="9" fillId="7" borderId="74" xfId="0" applyNumberFormat="1" applyFont="1" applyFill="1" applyBorder="1" applyAlignment="1">
      <alignment vertical="center"/>
    </xf>
    <xf numFmtId="3" fontId="9" fillId="0" borderId="74" xfId="0" applyNumberFormat="1" applyFont="1" applyBorder="1"/>
    <xf numFmtId="3" fontId="9" fillId="0" borderId="64" xfId="0" applyNumberFormat="1" applyFont="1" applyBorder="1"/>
    <xf numFmtId="3" fontId="9" fillId="7" borderId="64" xfId="1" applyNumberFormat="1" applyFont="1" applyFill="1" applyBorder="1" applyAlignment="1">
      <alignment horizontal="center" vertical="center"/>
    </xf>
    <xf numFmtId="3" fontId="9" fillId="0" borderId="75" xfId="1" applyNumberFormat="1" applyFont="1" applyFill="1" applyBorder="1" applyAlignment="1" applyProtection="1">
      <alignment horizontal="center"/>
      <protection locked="0"/>
    </xf>
    <xf numFmtId="166" fontId="9" fillId="7" borderId="74" xfId="1" applyFont="1" applyFill="1" applyBorder="1" applyAlignment="1">
      <alignment horizontal="right" vertical="center"/>
    </xf>
    <xf numFmtId="166" fontId="9" fillId="0" borderId="72" xfId="1" applyFont="1" applyFill="1" applyBorder="1" applyAlignment="1" applyProtection="1">
      <alignment horizontal="right"/>
      <protection locked="0"/>
    </xf>
    <xf numFmtId="166" fontId="9" fillId="0" borderId="83" xfId="1" applyFont="1" applyFill="1" applyBorder="1" applyAlignment="1" applyProtection="1">
      <alignment horizontal="right"/>
      <protection locked="0"/>
    </xf>
    <xf numFmtId="166" fontId="9" fillId="0" borderId="75" xfId="1" applyFont="1" applyFill="1" applyBorder="1" applyAlignment="1" applyProtection="1">
      <alignment horizontal="right"/>
      <protection hidden="1"/>
    </xf>
    <xf numFmtId="3" fontId="9" fillId="0" borderId="75" xfId="0" applyNumberFormat="1" applyFont="1" applyBorder="1"/>
    <xf numFmtId="178" fontId="9" fillId="0" borderId="10" xfId="1" applyNumberFormat="1" applyFont="1" applyFill="1" applyBorder="1" applyAlignment="1" applyProtection="1">
      <alignment horizontal="right"/>
      <protection locked="0"/>
    </xf>
    <xf numFmtId="3" fontId="9" fillId="0" borderId="11" xfId="0" applyNumberFormat="1" applyFont="1" applyBorder="1"/>
    <xf numFmtId="3" fontId="9" fillId="0" borderId="13" xfId="0" applyNumberFormat="1" applyFont="1" applyBorder="1"/>
    <xf numFmtId="3" fontId="9" fillId="0" borderId="10" xfId="0" applyNumberFormat="1" applyFont="1" applyBorder="1" applyAlignment="1">
      <alignment horizontal="center"/>
    </xf>
    <xf numFmtId="3" fontId="9" fillId="0" borderId="10" xfId="1" applyNumberFormat="1" applyFont="1" applyFill="1" applyBorder="1" applyAlignment="1" applyProtection="1">
      <alignment horizontal="center"/>
      <protection locked="0"/>
    </xf>
    <xf numFmtId="166" fontId="9" fillId="7" borderId="11" xfId="1" applyFont="1" applyFill="1" applyBorder="1" applyAlignment="1">
      <alignment horizontal="right" vertical="center"/>
    </xf>
    <xf numFmtId="166" fontId="9" fillId="0" borderId="42" xfId="1" applyFont="1" applyFill="1" applyBorder="1" applyAlignment="1" applyProtection="1">
      <alignment horizontal="right"/>
      <protection locked="0"/>
    </xf>
    <xf numFmtId="166" fontId="9" fillId="0" borderId="10" xfId="1" applyFont="1" applyFill="1" applyBorder="1" applyAlignment="1" applyProtection="1">
      <alignment horizontal="right"/>
      <protection hidden="1"/>
    </xf>
    <xf numFmtId="3" fontId="9" fillId="0" borderId="10" xfId="0" applyNumberFormat="1" applyFont="1" applyBorder="1"/>
    <xf numFmtId="3" fontId="9" fillId="0" borderId="8" xfId="0" applyNumberFormat="1" applyFont="1" applyFill="1" applyBorder="1"/>
    <xf numFmtId="3" fontId="9" fillId="0" borderId="9" xfId="0" applyNumberFormat="1" applyFont="1" applyFill="1" applyBorder="1"/>
    <xf numFmtId="166" fontId="9" fillId="0" borderId="7" xfId="1" applyFont="1" applyFill="1" applyBorder="1" applyAlignment="1">
      <alignment horizontal="center"/>
    </xf>
    <xf numFmtId="166" fontId="9" fillId="0" borderId="8" xfId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center"/>
    </xf>
    <xf numFmtId="3" fontId="9" fillId="0" borderId="75" xfId="0" applyNumberFormat="1" applyFont="1" applyBorder="1" applyAlignment="1">
      <alignment horizontal="center"/>
    </xf>
    <xf numFmtId="3" fontId="9" fillId="8" borderId="16" xfId="1" applyNumberFormat="1" applyFont="1" applyFill="1" applyBorder="1" applyAlignment="1">
      <alignment horizontal="center" vertical="center"/>
    </xf>
    <xf numFmtId="166" fontId="9" fillId="8" borderId="88" xfId="1" applyFont="1" applyFill="1" applyBorder="1" applyAlignment="1">
      <alignment vertical="center"/>
    </xf>
    <xf numFmtId="3" fontId="9" fillId="7" borderId="19" xfId="1" applyNumberFormat="1" applyFont="1" applyFill="1" applyBorder="1" applyAlignment="1">
      <alignment horizontal="left" vertical="center"/>
    </xf>
    <xf numFmtId="178" fontId="9" fillId="0" borderId="10" xfId="1" quotePrefix="1" applyNumberFormat="1" applyFont="1" applyFill="1" applyBorder="1" applyAlignment="1" applyProtection="1">
      <alignment horizontal="right"/>
      <protection locked="0"/>
    </xf>
    <xf numFmtId="166" fontId="9" fillId="0" borderId="68" xfId="1" applyFont="1" applyFill="1" applyBorder="1" applyProtection="1">
      <protection locked="0"/>
    </xf>
    <xf numFmtId="166" fontId="9" fillId="0" borderId="68" xfId="1" applyFont="1" applyFill="1" applyBorder="1" applyAlignment="1" applyProtection="1">
      <alignment horizontal="right"/>
      <protection locked="0"/>
    </xf>
    <xf numFmtId="3" fontId="9" fillId="0" borderId="20" xfId="11" applyNumberFormat="1" applyFont="1" applyFill="1" applyBorder="1" applyAlignment="1">
      <alignment vertical="center"/>
    </xf>
    <xf numFmtId="178" fontId="10" fillId="0" borderId="7" xfId="1" quotePrefix="1" applyNumberFormat="1" applyFont="1" applyFill="1" applyBorder="1" applyAlignment="1" applyProtection="1">
      <alignment horizontal="center"/>
      <protection locked="0"/>
    </xf>
    <xf numFmtId="171" fontId="9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/>
    <xf numFmtId="171" fontId="9" fillId="0" borderId="7" xfId="0" quotePrefix="1" applyNumberFormat="1" applyFont="1" applyFill="1" applyBorder="1" applyAlignment="1">
      <alignment horizontal="right" vertical="center"/>
    </xf>
    <xf numFmtId="171" fontId="9" fillId="7" borderId="75" xfId="0" applyNumberFormat="1" applyFont="1" applyFill="1" applyBorder="1" applyAlignment="1">
      <alignment horizontal="right" vertical="center"/>
    </xf>
    <xf numFmtId="171" fontId="9" fillId="7" borderId="10" xfId="0" applyNumberFormat="1" applyFont="1" applyFill="1" applyBorder="1" applyAlignment="1">
      <alignment horizontal="right" vertical="center"/>
    </xf>
    <xf numFmtId="171" fontId="10" fillId="7" borderId="7" xfId="0" quotePrefix="1" applyNumberFormat="1" applyFont="1" applyFill="1" applyBorder="1" applyAlignment="1">
      <alignment horizontal="center" vertical="center"/>
    </xf>
    <xf numFmtId="3" fontId="10" fillId="7" borderId="8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9" fillId="0" borderId="47" xfId="1" applyNumberFormat="1" applyFont="1" applyFill="1" applyBorder="1" applyAlignment="1">
      <alignment horizontal="center" vertical="center"/>
    </xf>
    <xf numFmtId="3" fontId="9" fillId="0" borderId="47" xfId="1" applyNumberFormat="1" applyFont="1" applyFill="1" applyBorder="1" applyAlignment="1">
      <alignment vertical="center"/>
    </xf>
    <xf numFmtId="166" fontId="9" fillId="0" borderId="48" xfId="1" applyFont="1" applyFill="1" applyBorder="1" applyAlignment="1">
      <alignment horizontal="right" vertical="center"/>
    </xf>
    <xf numFmtId="166" fontId="9" fillId="0" borderId="92" xfId="1" applyFont="1" applyFill="1" applyBorder="1" applyAlignment="1">
      <alignment horizontal="right" vertical="center"/>
    </xf>
    <xf numFmtId="166" fontId="9" fillId="0" borderId="47" xfId="1" applyFont="1" applyFill="1" applyBorder="1" applyAlignment="1">
      <alignment horizontal="right" vertical="center"/>
    </xf>
    <xf numFmtId="3" fontId="9" fillId="0" borderId="26" xfId="1" applyNumberFormat="1" applyFont="1" applyFill="1" applyBorder="1" applyAlignment="1">
      <alignment horizontal="left" vertical="center"/>
    </xf>
    <xf numFmtId="171" fontId="9" fillId="7" borderId="7" xfId="0" quotePrefix="1" applyNumberFormat="1" applyFont="1" applyFill="1" applyBorder="1" applyAlignment="1">
      <alignment horizontal="right" vertical="center"/>
    </xf>
    <xf numFmtId="3" fontId="9" fillId="0" borderId="20" xfId="1" applyNumberFormat="1" applyFont="1" applyFill="1" applyBorder="1" applyAlignment="1" applyProtection="1">
      <alignment vertical="top"/>
      <protection locked="0"/>
    </xf>
    <xf numFmtId="3" fontId="9" fillId="0" borderId="20" xfId="0" applyNumberFormat="1" applyFont="1" applyBorder="1" applyAlignment="1" applyProtection="1">
      <protection locked="0"/>
    </xf>
    <xf numFmtId="3" fontId="9" fillId="0" borderId="8" xfId="0" applyNumberFormat="1" applyFont="1" applyBorder="1" applyAlignment="1" applyProtection="1">
      <protection locked="0"/>
    </xf>
    <xf numFmtId="3" fontId="9" fillId="0" borderId="9" xfId="0" applyNumberFormat="1" applyFont="1" applyBorder="1" applyAlignment="1" applyProtection="1">
      <protection locked="0"/>
    </xf>
    <xf numFmtId="3" fontId="9" fillId="7" borderId="13" xfId="1" applyNumberFormat="1" applyFont="1" applyFill="1" applyBorder="1" applyAlignment="1">
      <alignment horizontal="center" vertical="center"/>
    </xf>
    <xf numFmtId="166" fontId="9" fillId="7" borderId="42" xfId="1" applyFont="1" applyFill="1" applyBorder="1" applyAlignment="1">
      <alignment horizontal="right" vertical="center"/>
    </xf>
    <xf numFmtId="3" fontId="9" fillId="0" borderId="43" xfId="1" applyNumberFormat="1" applyFont="1" applyFill="1" applyBorder="1" applyProtection="1">
      <protection locked="0"/>
    </xf>
    <xf numFmtId="3" fontId="9" fillId="0" borderId="7" xfId="0" applyNumberFormat="1" applyFont="1" applyBorder="1" applyAlignment="1" applyProtection="1">
      <protection locked="0"/>
    </xf>
    <xf numFmtId="171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 applyProtection="1">
      <protection locked="0"/>
    </xf>
    <xf numFmtId="3" fontId="9" fillId="0" borderId="42" xfId="1" applyNumberFormat="1" applyFont="1" applyFill="1" applyBorder="1" applyProtection="1">
      <protection locked="0"/>
    </xf>
    <xf numFmtId="3" fontId="0" fillId="0" borderId="43" xfId="1" applyNumberFormat="1" applyFont="1" applyFill="1" applyBorder="1" applyProtection="1">
      <protection locked="0"/>
    </xf>
    <xf numFmtId="171" fontId="9" fillId="7" borderId="75" xfId="0" applyNumberFormat="1" applyFont="1" applyFill="1" applyBorder="1" applyAlignment="1">
      <alignment horizontal="center" vertical="center"/>
    </xf>
    <xf numFmtId="3" fontId="9" fillId="0" borderId="75" xfId="0" applyNumberFormat="1" applyFont="1" applyBorder="1" applyAlignment="1" applyProtection="1">
      <protection locked="0"/>
    </xf>
    <xf numFmtId="3" fontId="9" fillId="7" borderId="64" xfId="0" applyNumberFormat="1" applyFont="1" applyFill="1" applyBorder="1" applyAlignment="1">
      <alignment vertical="center"/>
    </xf>
    <xf numFmtId="3" fontId="0" fillId="0" borderId="72" xfId="1" applyNumberFormat="1" applyFont="1" applyFill="1" applyBorder="1" applyProtection="1">
      <protection locked="0"/>
    </xf>
    <xf numFmtId="3" fontId="0" fillId="0" borderId="42" xfId="1" applyNumberFormat="1" applyFont="1" applyFill="1" applyBorder="1" applyProtection="1">
      <protection locked="0"/>
    </xf>
    <xf numFmtId="3" fontId="9" fillId="0" borderId="9" xfId="1" applyNumberFormat="1" applyFont="1" applyFill="1" applyBorder="1" applyProtection="1">
      <protection locked="0"/>
    </xf>
    <xf numFmtId="3" fontId="9" fillId="0" borderId="72" xfId="1" applyNumberFormat="1" applyFont="1" applyFill="1" applyBorder="1" applyProtection="1">
      <protection locked="0"/>
    </xf>
    <xf numFmtId="3" fontId="9" fillId="0" borderId="32" xfId="0" applyNumberFormat="1" applyFont="1" applyBorder="1" applyAlignment="1" applyProtection="1">
      <protection locked="0"/>
    </xf>
    <xf numFmtId="3" fontId="9" fillId="0" borderId="11" xfId="0" applyNumberFormat="1" applyFont="1" applyBorder="1" applyAlignment="1" applyProtection="1">
      <protection locked="0"/>
    </xf>
    <xf numFmtId="166" fontId="9" fillId="7" borderId="20" xfId="1" applyFont="1" applyFill="1" applyBorder="1" applyAlignment="1">
      <alignment horizontal="right" vertical="center"/>
    </xf>
    <xf numFmtId="166" fontId="9" fillId="0" borderId="9" xfId="1" applyFont="1" applyFill="1" applyBorder="1" applyAlignment="1" applyProtection="1">
      <alignment horizontal="right"/>
      <protection locked="0"/>
    </xf>
    <xf numFmtId="166" fontId="9" fillId="0" borderId="13" xfId="1" applyFont="1" applyFill="1" applyBorder="1" applyAlignment="1" applyProtection="1">
      <alignment horizontal="right"/>
      <protection locked="0"/>
    </xf>
    <xf numFmtId="170" fontId="10" fillId="7" borderId="7" xfId="0" applyNumberFormat="1" applyFont="1" applyFill="1" applyBorder="1" applyAlignment="1">
      <alignment horizontal="center" vertical="center"/>
    </xf>
    <xf numFmtId="3" fontId="10" fillId="7" borderId="8" xfId="0" applyNumberFormat="1" applyFont="1" applyFill="1" applyBorder="1" applyAlignment="1">
      <alignment horizontal="left" vertical="center"/>
    </xf>
    <xf numFmtId="3" fontId="9" fillId="7" borderId="64" xfId="1" applyNumberFormat="1" applyFont="1" applyFill="1" applyBorder="1" applyAlignment="1">
      <alignment horizontal="right" vertical="center"/>
    </xf>
    <xf numFmtId="3" fontId="9" fillId="7" borderId="13" xfId="1" applyNumberFormat="1" applyFont="1" applyFill="1" applyBorder="1" applyAlignment="1">
      <alignment horizontal="right" vertical="center"/>
    </xf>
    <xf numFmtId="166" fontId="9" fillId="7" borderId="8" xfId="1" applyFont="1" applyFill="1" applyBorder="1" applyAlignment="1">
      <alignment vertical="center"/>
    </xf>
    <xf numFmtId="166" fontId="9" fillId="7" borderId="11" xfId="1" applyFont="1" applyFill="1" applyBorder="1" applyAlignment="1">
      <alignment vertical="center"/>
    </xf>
    <xf numFmtId="171" fontId="9" fillId="7" borderId="7" xfId="0" quotePrefix="1" applyNumberFormat="1" applyFont="1" applyFill="1" applyBorder="1" applyAlignment="1">
      <alignment horizontal="center" vertical="center"/>
    </xf>
    <xf numFmtId="3" fontId="9" fillId="0" borderId="102" xfId="11" applyNumberFormat="1" applyFont="1" applyFill="1" applyBorder="1" applyAlignment="1">
      <alignment vertical="center"/>
    </xf>
    <xf numFmtId="166" fontId="9" fillId="0" borderId="91" xfId="1" applyFont="1" applyFill="1" applyBorder="1" applyProtection="1">
      <protection locked="0"/>
    </xf>
    <xf numFmtId="166" fontId="9" fillId="0" borderId="103" xfId="1" applyFont="1" applyFill="1" applyBorder="1" applyAlignment="1" applyProtection="1">
      <alignment horizontal="right"/>
      <protection locked="0"/>
    </xf>
    <xf numFmtId="166" fontId="9" fillId="0" borderId="91" xfId="1" applyFont="1" applyFill="1" applyBorder="1" applyAlignment="1" applyProtection="1">
      <alignment horizontal="right"/>
      <protection locked="0"/>
    </xf>
    <xf numFmtId="3" fontId="10" fillId="7" borderId="20" xfId="0" applyNumberFormat="1" applyFont="1" applyFill="1" applyBorder="1" applyAlignment="1">
      <alignment vertical="center"/>
    </xf>
    <xf numFmtId="178" fontId="9" fillId="0" borderId="7" xfId="1" applyNumberFormat="1" applyFont="1" applyFill="1" applyBorder="1" applyAlignment="1" applyProtection="1">
      <alignment horizontal="center"/>
      <protection locked="0"/>
    </xf>
    <xf numFmtId="3" fontId="9" fillId="0" borderId="0" xfId="11" applyNumberFormat="1" applyFont="1" applyFill="1" applyBorder="1" applyAlignment="1">
      <alignment vertical="center"/>
    </xf>
    <xf numFmtId="166" fontId="9" fillId="0" borderId="85" xfId="1" applyFont="1" applyFill="1" applyBorder="1" applyProtection="1">
      <protection locked="0"/>
    </xf>
    <xf numFmtId="166" fontId="9" fillId="0" borderId="86" xfId="1" applyFont="1" applyFill="1" applyBorder="1" applyAlignment="1" applyProtection="1">
      <alignment horizontal="right"/>
      <protection locked="0"/>
    </xf>
    <xf numFmtId="166" fontId="9" fillId="0" borderId="85" xfId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left" vertical="center" indent="1"/>
    </xf>
    <xf numFmtId="0" fontId="33" fillId="0" borderId="6" xfId="0" applyFont="1" applyFill="1" applyBorder="1" applyAlignment="1">
      <alignment horizontal="center" vertical="center"/>
    </xf>
    <xf numFmtId="166" fontId="33" fillId="0" borderId="65" xfId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66" fontId="33" fillId="0" borderId="4" xfId="1" applyFont="1" applyFill="1" applyBorder="1" applyAlignment="1">
      <alignment horizontal="center"/>
    </xf>
    <xf numFmtId="166" fontId="33" fillId="0" borderId="101" xfId="1" applyFont="1" applyFill="1" applyBorder="1" applyAlignment="1">
      <alignment horizontal="center"/>
    </xf>
    <xf numFmtId="166" fontId="33" fillId="0" borderId="65" xfId="1" applyFont="1" applyFill="1" applyBorder="1" applyAlignment="1">
      <alignment horizontal="center"/>
    </xf>
    <xf numFmtId="0" fontId="9" fillId="0" borderId="20" xfId="0" applyFont="1" applyBorder="1"/>
    <xf numFmtId="0" fontId="9" fillId="0" borderId="9" xfId="0" applyFont="1" applyBorder="1"/>
    <xf numFmtId="166" fontId="9" fillId="0" borderId="43" xfId="1" applyFont="1" applyFill="1" applyBorder="1" applyProtection="1">
      <protection locked="0"/>
    </xf>
    <xf numFmtId="166" fontId="9" fillId="0" borderId="7" xfId="1" applyFont="1" applyFill="1" applyBorder="1" applyProtection="1">
      <protection hidden="1"/>
    </xf>
    <xf numFmtId="0" fontId="9" fillId="0" borderId="7" xfId="0" applyFont="1" applyBorder="1"/>
    <xf numFmtId="171" fontId="9" fillId="0" borderId="20" xfId="0" applyNumberFormat="1" applyFont="1" applyFill="1" applyBorder="1"/>
    <xf numFmtId="0" fontId="9" fillId="0" borderId="9" xfId="0" applyFont="1" applyFill="1" applyBorder="1"/>
    <xf numFmtId="0" fontId="0" fillId="0" borderId="7" xfId="0" applyFont="1" applyFill="1" applyBorder="1"/>
    <xf numFmtId="171" fontId="9" fillId="0" borderId="20" xfId="0" applyNumberFormat="1" applyFont="1" applyBorder="1"/>
    <xf numFmtId="166" fontId="9" fillId="0" borderId="7" xfId="1" applyNumberFormat="1" applyFont="1" applyFill="1" applyBorder="1" applyAlignment="1" applyProtection="1">
      <alignment horizontal="right"/>
      <protection locked="0"/>
    </xf>
    <xf numFmtId="0" fontId="10" fillId="8" borderId="19" xfId="0" applyFont="1" applyFill="1" applyBorder="1" applyAlignment="1">
      <alignment vertical="center"/>
    </xf>
    <xf numFmtId="3" fontId="10" fillId="8" borderId="19" xfId="1" applyNumberFormat="1" applyFont="1" applyFill="1" applyBorder="1" applyAlignment="1">
      <alignment horizontal="center" vertical="center"/>
    </xf>
    <xf numFmtId="3" fontId="10" fillId="8" borderId="19" xfId="1" applyNumberFormat="1" applyFont="1" applyFill="1" applyBorder="1" applyAlignment="1">
      <alignment vertical="center"/>
    </xf>
    <xf numFmtId="166" fontId="10" fillId="8" borderId="88" xfId="1" applyFont="1" applyFill="1" applyBorder="1" applyAlignment="1">
      <alignment vertical="center"/>
    </xf>
    <xf numFmtId="166" fontId="10" fillId="8" borderId="89" xfId="1" applyFont="1" applyFill="1" applyBorder="1" applyAlignment="1">
      <alignment vertical="center"/>
    </xf>
    <xf numFmtId="166" fontId="10" fillId="8" borderId="44" xfId="1" applyFont="1" applyFill="1" applyBorder="1" applyAlignment="1">
      <alignment vertical="center"/>
    </xf>
    <xf numFmtId="166" fontId="10" fillId="8" borderId="19" xfId="1" applyFont="1" applyFill="1" applyBorder="1" applyAlignment="1">
      <alignment vertical="center"/>
    </xf>
    <xf numFmtId="0" fontId="9" fillId="0" borderId="1" xfId="0" applyFont="1" applyBorder="1"/>
    <xf numFmtId="0" fontId="10" fillId="0" borderId="1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/>
    </xf>
    <xf numFmtId="166" fontId="9" fillId="0" borderId="11" xfId="1" applyFont="1" applyFill="1" applyBorder="1" applyAlignment="1">
      <alignment horizontal="right" vertical="center"/>
    </xf>
    <xf numFmtId="166" fontId="9" fillId="0" borderId="42" xfId="1" applyFont="1" applyFill="1" applyBorder="1" applyProtection="1">
      <protection locked="0"/>
    </xf>
    <xf numFmtId="166" fontId="9" fillId="0" borderId="10" xfId="1" applyFont="1" applyFill="1" applyBorder="1" applyProtection="1">
      <protection hidden="1"/>
    </xf>
    <xf numFmtId="0" fontId="9" fillId="0" borderId="10" xfId="0" applyFont="1" applyFill="1" applyBorder="1"/>
    <xf numFmtId="0" fontId="9" fillId="0" borderId="20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/>
    <xf numFmtId="166" fontId="9" fillId="8" borderId="44" xfId="1" applyFont="1" applyFill="1" applyBorder="1" applyAlignment="1">
      <alignment vertical="center"/>
    </xf>
    <xf numFmtId="168" fontId="9" fillId="7" borderId="19" xfId="1" applyNumberFormat="1" applyFont="1" applyFill="1" applyBorder="1" applyAlignment="1">
      <alignment horizontal="left" vertical="center"/>
    </xf>
    <xf numFmtId="0" fontId="10" fillId="0" borderId="20" xfId="0" applyFont="1" applyBorder="1"/>
    <xf numFmtId="171" fontId="10" fillId="7" borderId="20" xfId="12" applyNumberFormat="1" applyFont="1" applyFill="1" applyBorder="1" applyAlignment="1">
      <alignment vertical="center"/>
    </xf>
    <xf numFmtId="171" fontId="9" fillId="7" borderId="20" xfId="12" applyNumberFormat="1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7" xfId="0" applyFont="1" applyBorder="1"/>
    <xf numFmtId="171" fontId="9" fillId="7" borderId="20" xfId="0" applyNumberFormat="1" applyFont="1" applyFill="1" applyBorder="1" applyAlignment="1">
      <alignment vertical="center"/>
    </xf>
    <xf numFmtId="166" fontId="9" fillId="0" borderId="20" xfId="1" applyFont="1" applyFill="1" applyBorder="1" applyAlignment="1"/>
    <xf numFmtId="168" fontId="0" fillId="7" borderId="19" xfId="1" applyNumberFormat="1" applyFont="1" applyFill="1" applyBorder="1" applyAlignment="1">
      <alignment horizontal="left" vertical="center"/>
    </xf>
    <xf numFmtId="0" fontId="17" fillId="0" borderId="7" xfId="0" applyFont="1" applyFill="1" applyBorder="1"/>
    <xf numFmtId="0" fontId="9" fillId="0" borderId="32" xfId="0" applyFont="1" applyBorder="1"/>
    <xf numFmtId="0" fontId="9" fillId="0" borderId="13" xfId="0" applyFont="1" applyBorder="1"/>
    <xf numFmtId="0" fontId="17" fillId="0" borderId="10" xfId="0" applyFont="1" applyBorder="1"/>
    <xf numFmtId="0" fontId="17" fillId="0" borderId="7" xfId="0" applyFont="1" applyBorder="1"/>
    <xf numFmtId="0" fontId="9" fillId="0" borderId="20" xfId="0" applyFont="1" applyFill="1" applyBorder="1" applyAlignment="1">
      <alignment horizontal="left" vertical="center"/>
    </xf>
    <xf numFmtId="178" fontId="9" fillId="0" borderId="75" xfId="1" applyNumberFormat="1" applyFont="1" applyFill="1" applyBorder="1" applyAlignment="1" applyProtection="1">
      <alignment horizontal="right"/>
      <protection locked="0"/>
    </xf>
    <xf numFmtId="0" fontId="9" fillId="0" borderId="73" xfId="0" applyFont="1" applyFill="1" applyBorder="1" applyAlignment="1">
      <alignment horizontal="center" vertical="center"/>
    </xf>
    <xf numFmtId="0" fontId="9" fillId="0" borderId="64" xfId="0" applyFont="1" applyBorder="1"/>
    <xf numFmtId="3" fontId="9" fillId="0" borderId="75" xfId="0" applyNumberFormat="1" applyFont="1" applyFill="1" applyBorder="1" applyAlignment="1">
      <alignment horizontal="center" vertical="center"/>
    </xf>
    <xf numFmtId="166" fontId="9" fillId="0" borderId="72" xfId="1" applyFont="1" applyFill="1" applyBorder="1" applyProtection="1">
      <protection locked="0"/>
    </xf>
    <xf numFmtId="166" fontId="9" fillId="0" borderId="75" xfId="1" applyFont="1" applyFill="1" applyBorder="1" applyProtection="1">
      <protection hidden="1"/>
    </xf>
    <xf numFmtId="0" fontId="17" fillId="0" borderId="75" xfId="0" applyFont="1" applyBorder="1"/>
    <xf numFmtId="0" fontId="9" fillId="0" borderId="32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8" fontId="17" fillId="7" borderId="19" xfId="1" applyNumberFormat="1" applyFont="1" applyFill="1" applyBorder="1" applyAlignment="1">
      <alignment horizontal="left" vertical="center"/>
    </xf>
    <xf numFmtId="0" fontId="10" fillId="0" borderId="20" xfId="0" applyFont="1" applyFill="1" applyBorder="1"/>
    <xf numFmtId="171" fontId="9" fillId="0" borderId="20" xfId="12" applyNumberFormat="1" applyFont="1" applyFill="1" applyBorder="1" applyAlignment="1">
      <alignment vertical="center"/>
    </xf>
    <xf numFmtId="3" fontId="9" fillId="0" borderId="75" xfId="0" applyNumberFormat="1" applyFont="1" applyFill="1" applyBorder="1" applyAlignment="1">
      <alignment horizontal="center"/>
    </xf>
    <xf numFmtId="166" fontId="9" fillId="0" borderId="74" xfId="1" applyFont="1" applyFill="1" applyBorder="1" applyAlignment="1">
      <alignment horizontal="right" vertical="center"/>
    </xf>
    <xf numFmtId="0" fontId="17" fillId="0" borderId="75" xfId="0" applyFont="1" applyFill="1" applyBorder="1"/>
    <xf numFmtId="0" fontId="17" fillId="0" borderId="10" xfId="0" applyFont="1" applyFill="1" applyBorder="1"/>
    <xf numFmtId="171" fontId="9" fillId="0" borderId="64" xfId="12" applyNumberFormat="1" applyFont="1" applyFill="1" applyBorder="1" applyAlignment="1">
      <alignment vertical="center"/>
    </xf>
    <xf numFmtId="3" fontId="9" fillId="0" borderId="64" xfId="1" applyNumberFormat="1" applyFont="1" applyFill="1" applyBorder="1" applyAlignment="1">
      <alignment horizontal="center" vertical="center"/>
    </xf>
    <xf numFmtId="171" fontId="9" fillId="0" borderId="13" xfId="12" applyNumberFormat="1" applyFont="1" applyFill="1" applyBorder="1" applyAlignment="1">
      <alignment vertical="center"/>
    </xf>
    <xf numFmtId="3" fontId="9" fillId="0" borderId="13" xfId="1" applyNumberFormat="1" applyFont="1" applyFill="1" applyBorder="1" applyAlignment="1">
      <alignment horizontal="center" vertical="center"/>
    </xf>
    <xf numFmtId="171" fontId="9" fillId="0" borderId="9" xfId="12" applyNumberFormat="1" applyFont="1" applyFill="1" applyBorder="1" applyAlignment="1">
      <alignment vertical="center"/>
    </xf>
    <xf numFmtId="0" fontId="9" fillId="0" borderId="32" xfId="0" applyFont="1" applyFill="1" applyBorder="1"/>
    <xf numFmtId="0" fontId="9" fillId="0" borderId="13" xfId="0" applyFont="1" applyFill="1" applyBorder="1"/>
    <xf numFmtId="0" fontId="9" fillId="0" borderId="73" xfId="0" applyFont="1" applyFill="1" applyBorder="1"/>
    <xf numFmtId="0" fontId="9" fillId="0" borderId="64" xfId="0" applyFont="1" applyFill="1" applyBorder="1"/>
    <xf numFmtId="0" fontId="9" fillId="0" borderId="32" xfId="0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 vertical="center"/>
    </xf>
    <xf numFmtId="166" fontId="9" fillId="0" borderId="9" xfId="1" applyFont="1" applyFill="1" applyBorder="1" applyProtection="1">
      <protection hidden="1"/>
    </xf>
    <xf numFmtId="178" fontId="9" fillId="0" borderId="26" xfId="1" applyNumberFormat="1" applyFont="1" applyFill="1" applyBorder="1" applyAlignment="1" applyProtection="1">
      <alignment horizontal="right"/>
      <protection locked="0"/>
    </xf>
    <xf numFmtId="0" fontId="9" fillId="0" borderId="5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horizontal="center"/>
    </xf>
    <xf numFmtId="166" fontId="9" fillId="0" borderId="0" xfId="1" applyFont="1" applyFill="1" applyBorder="1" applyAlignment="1">
      <alignment horizontal="right" vertical="center"/>
    </xf>
    <xf numFmtId="166" fontId="9" fillId="0" borderId="48" xfId="1" applyFont="1" applyFill="1" applyBorder="1" applyProtection="1">
      <protection locked="0"/>
    </xf>
    <xf numFmtId="166" fontId="9" fillId="0" borderId="47" xfId="1" applyFont="1" applyFill="1" applyBorder="1" applyProtection="1">
      <protection hidden="1"/>
    </xf>
    <xf numFmtId="0" fontId="17" fillId="0" borderId="26" xfId="0" applyFont="1" applyFill="1" applyBorder="1"/>
    <xf numFmtId="178" fontId="9" fillId="0" borderId="10" xfId="1" applyNumberFormat="1" applyFont="1" applyFill="1" applyBorder="1" applyAlignment="1" applyProtection="1">
      <alignment horizontal="center"/>
      <protection locked="0"/>
    </xf>
    <xf numFmtId="0" fontId="9" fillId="7" borderId="20" xfId="12" applyFont="1" applyFill="1" applyBorder="1" applyAlignment="1">
      <alignment vertical="center"/>
    </xf>
    <xf numFmtId="0" fontId="9" fillId="7" borderId="32" xfId="12" applyFont="1" applyFill="1" applyBorder="1" applyAlignment="1">
      <alignment vertical="center"/>
    </xf>
    <xf numFmtId="0" fontId="9" fillId="0" borderId="20" xfId="12" applyFont="1" applyFill="1" applyBorder="1" applyAlignment="1">
      <alignment vertical="center"/>
    </xf>
    <xf numFmtId="0" fontId="9" fillId="7" borderId="8" xfId="12" applyFont="1" applyFill="1" applyBorder="1" applyAlignment="1">
      <alignment vertical="center"/>
    </xf>
    <xf numFmtId="0" fontId="9" fillId="0" borderId="8" xfId="13" applyFont="1" applyBorder="1"/>
    <xf numFmtId="3" fontId="9" fillId="0" borderId="7" xfId="13" applyNumberFormat="1" applyFont="1" applyBorder="1" applyAlignment="1">
      <alignment horizontal="center"/>
    </xf>
    <xf numFmtId="3" fontId="9" fillId="0" borderId="7" xfId="13" applyNumberFormat="1" applyFont="1" applyFill="1" applyBorder="1" applyAlignment="1">
      <alignment horizontal="center" vertical="center"/>
    </xf>
    <xf numFmtId="166" fontId="9" fillId="0" borderId="8" xfId="1" applyFont="1" applyFill="1" applyBorder="1" applyAlignment="1">
      <alignment vertical="center"/>
    </xf>
    <xf numFmtId="166" fontId="9" fillId="7" borderId="12" xfId="1" applyFont="1" applyFill="1" applyBorder="1" applyAlignment="1">
      <alignment vertical="center"/>
    </xf>
    <xf numFmtId="0" fontId="9" fillId="7" borderId="73" xfId="12" applyFont="1" applyFill="1" applyBorder="1" applyAlignment="1">
      <alignment vertical="center"/>
    </xf>
    <xf numFmtId="166" fontId="9" fillId="7" borderId="74" xfId="1" applyFont="1" applyFill="1" applyBorder="1" applyAlignment="1">
      <alignment vertical="center"/>
    </xf>
    <xf numFmtId="0" fontId="9" fillId="0" borderId="32" xfId="12" applyFont="1" applyFill="1" applyBorder="1" applyAlignment="1">
      <alignment vertical="center"/>
    </xf>
    <xf numFmtId="166" fontId="9" fillId="7" borderId="0" xfId="1" applyFont="1" applyFill="1" applyBorder="1" applyAlignment="1">
      <alignment vertical="center"/>
    </xf>
    <xf numFmtId="0" fontId="9" fillId="7" borderId="9" xfId="12" applyFont="1" applyFill="1" applyBorder="1" applyAlignment="1">
      <alignment vertical="center"/>
    </xf>
    <xf numFmtId="0" fontId="9" fillId="7" borderId="13" xfId="12" applyFont="1" applyFill="1" applyBorder="1" applyAlignment="1">
      <alignment vertical="center"/>
    </xf>
    <xf numFmtId="166" fontId="9" fillId="7" borderId="20" xfId="1" applyFont="1" applyFill="1" applyBorder="1" applyAlignment="1">
      <alignment vertical="center"/>
    </xf>
    <xf numFmtId="0" fontId="10" fillId="0" borderId="49" xfId="0" applyFont="1" applyBorder="1" applyAlignment="1"/>
    <xf numFmtId="0" fontId="0" fillId="0" borderId="51" xfId="0" applyFont="1" applyBorder="1" applyAlignment="1"/>
    <xf numFmtId="178" fontId="9" fillId="0" borderId="7" xfId="1" quotePrefix="1" applyNumberFormat="1" applyFont="1" applyFill="1" applyBorder="1" applyAlignment="1" applyProtection="1">
      <alignment horizontal="center"/>
      <protection locked="0"/>
    </xf>
    <xf numFmtId="3" fontId="9" fillId="7" borderId="8" xfId="1" applyNumberFormat="1" applyFont="1" applyFill="1" applyBorder="1" applyAlignment="1">
      <alignment horizontal="right" vertical="center"/>
    </xf>
    <xf numFmtId="3" fontId="9" fillId="0" borderId="7" xfId="1" applyNumberFormat="1" applyFont="1" applyFill="1" applyBorder="1" applyProtection="1">
      <protection hidden="1"/>
    </xf>
    <xf numFmtId="178" fontId="9" fillId="0" borderId="75" xfId="1" quotePrefix="1" applyNumberFormat="1" applyFont="1" applyFill="1" applyBorder="1" applyAlignment="1" applyProtection="1">
      <alignment horizontal="center"/>
      <protection locked="0"/>
    </xf>
    <xf numFmtId="0" fontId="9" fillId="0" borderId="74" xfId="13" applyFont="1" applyFill="1" applyBorder="1" applyAlignment="1">
      <alignment horizontal="center" vertical="center"/>
    </xf>
    <xf numFmtId="0" fontId="9" fillId="0" borderId="74" xfId="13" applyFont="1" applyBorder="1"/>
    <xf numFmtId="3" fontId="9" fillId="0" borderId="75" xfId="13" applyNumberFormat="1" applyFont="1" applyBorder="1" applyAlignment="1">
      <alignment horizontal="center"/>
    </xf>
    <xf numFmtId="3" fontId="9" fillId="0" borderId="75" xfId="13" applyNumberFormat="1" applyFont="1" applyFill="1" applyBorder="1" applyAlignment="1">
      <alignment horizontal="center" vertical="center"/>
    </xf>
    <xf numFmtId="0" fontId="9" fillId="0" borderId="8" xfId="13" applyFont="1" applyFill="1" applyBorder="1" applyAlignment="1">
      <alignment horizontal="left" vertical="center"/>
    </xf>
    <xf numFmtId="0" fontId="9" fillId="0" borderId="8" xfId="13" applyFont="1" applyFill="1" applyBorder="1" applyAlignment="1">
      <alignment horizontal="center" vertical="center"/>
    </xf>
    <xf numFmtId="166" fontId="9" fillId="0" borderId="32" xfId="1" applyFont="1" applyFill="1" applyBorder="1" applyAlignment="1">
      <alignment vertical="center"/>
    </xf>
    <xf numFmtId="166" fontId="9" fillId="0" borderId="11" xfId="1" applyFont="1" applyFill="1" applyBorder="1" applyAlignment="1">
      <alignment vertical="center"/>
    </xf>
    <xf numFmtId="171" fontId="9" fillId="7" borderId="9" xfId="12" applyNumberFormat="1" applyFont="1" applyFill="1" applyBorder="1" applyAlignment="1">
      <alignment vertical="center"/>
    </xf>
    <xf numFmtId="171" fontId="10" fillId="7" borderId="32" xfId="12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1" fontId="9" fillId="7" borderId="13" xfId="0" applyNumberFormat="1" applyFont="1" applyFill="1" applyBorder="1" applyAlignment="1">
      <alignment horizontal="center" vertical="center" wrapText="1"/>
    </xf>
    <xf numFmtId="169" fontId="9" fillId="7" borderId="11" xfId="1" applyNumberFormat="1" applyFont="1" applyFill="1" applyBorder="1" applyAlignment="1">
      <alignment horizontal="center" vertical="center"/>
    </xf>
    <xf numFmtId="3" fontId="9" fillId="7" borderId="42" xfId="1" applyNumberFormat="1" applyFont="1" applyFill="1" applyBorder="1" applyAlignment="1">
      <alignment horizontal="center" vertical="center"/>
    </xf>
    <xf numFmtId="167" fontId="9" fillId="7" borderId="13" xfId="1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166" fontId="9" fillId="8" borderId="17" xfId="1" applyFont="1" applyFill="1" applyBorder="1" applyAlignment="1">
      <alignment horizontal="right" vertical="center"/>
    </xf>
    <xf numFmtId="3" fontId="12" fillId="7" borderId="19" xfId="1" applyNumberFormat="1" applyFont="1" applyFill="1" applyBorder="1" applyAlignment="1">
      <alignment horizontal="right" vertical="center"/>
    </xf>
    <xf numFmtId="3" fontId="9" fillId="7" borderId="13" xfId="0" applyNumberFormat="1" applyFont="1" applyFill="1" applyBorder="1" applyAlignment="1">
      <alignment horizontal="center" vertical="center" wrapText="1"/>
    </xf>
    <xf numFmtId="166" fontId="9" fillId="7" borderId="13" xfId="1" applyFont="1" applyFill="1" applyBorder="1" applyAlignment="1">
      <alignment horizontal="right" vertical="center"/>
    </xf>
    <xf numFmtId="3" fontId="9" fillId="7" borderId="13" xfId="4" applyNumberFormat="1" applyFont="1" applyFill="1" applyBorder="1" applyAlignment="1">
      <alignment horizontal="right" vertical="center"/>
    </xf>
    <xf numFmtId="3" fontId="17" fillId="7" borderId="13" xfId="1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3" fontId="0" fillId="7" borderId="13" xfId="1" applyNumberFormat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horizontal="right" vertical="center"/>
    </xf>
    <xf numFmtId="166" fontId="10" fillId="8" borderId="89" xfId="1" applyFont="1" applyFill="1" applyBorder="1" applyAlignment="1">
      <alignment horizontal="right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166" fontId="9" fillId="0" borderId="42" xfId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3" fontId="17" fillId="7" borderId="9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9" fillId="0" borderId="75" xfId="0" applyNumberFormat="1" applyFont="1" applyFill="1" applyBorder="1" applyAlignment="1">
      <alignment horizontal="right" vertical="center"/>
    </xf>
    <xf numFmtId="0" fontId="9" fillId="0" borderId="7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166" fontId="9" fillId="7" borderId="72" xfId="1" applyFont="1" applyFill="1" applyBorder="1" applyAlignment="1">
      <alignment horizontal="right" vertical="center"/>
    </xf>
    <xf numFmtId="166" fontId="9" fillId="7" borderId="64" xfId="1" applyFont="1" applyFill="1" applyBorder="1" applyAlignment="1">
      <alignment horizontal="right" vertical="center"/>
    </xf>
    <xf numFmtId="3" fontId="17" fillId="7" borderId="64" xfId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166" fontId="9" fillId="0" borderId="72" xfId="1" applyFont="1" applyFill="1" applyBorder="1" applyAlignment="1">
      <alignment horizontal="right" vertical="center"/>
    </xf>
    <xf numFmtId="0" fontId="10" fillId="0" borderId="7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3" fontId="9" fillId="7" borderId="11" xfId="1" applyNumberFormat="1" applyFont="1" applyFill="1" applyBorder="1" applyAlignment="1">
      <alignment horizontal="right" vertical="center"/>
    </xf>
    <xf numFmtId="3" fontId="9" fillId="7" borderId="43" xfId="1" applyNumberFormat="1" applyFont="1" applyFill="1" applyBorder="1" applyAlignment="1">
      <alignment horizontal="right" vertical="center"/>
    </xf>
    <xf numFmtId="0" fontId="9" fillId="7" borderId="75" xfId="0" applyNumberFormat="1" applyFont="1" applyFill="1" applyBorder="1" applyAlignment="1">
      <alignment horizontal="right" vertical="center"/>
    </xf>
    <xf numFmtId="0" fontId="10" fillId="7" borderId="74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vertical="center"/>
    </xf>
    <xf numFmtId="0" fontId="11" fillId="7" borderId="64" xfId="0" applyFont="1" applyFill="1" applyBorder="1" applyAlignment="1">
      <alignment vertical="center"/>
    </xf>
    <xf numFmtId="0" fontId="9" fillId="7" borderId="26" xfId="0" applyNumberFormat="1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vertical="center"/>
    </xf>
    <xf numFmtId="3" fontId="9" fillId="7" borderId="47" xfId="1" applyNumberFormat="1" applyFont="1" applyFill="1" applyBorder="1" applyAlignment="1">
      <alignment horizontal="center" vertical="center"/>
    </xf>
    <xf numFmtId="166" fontId="9" fillId="7" borderId="0" xfId="1" applyFont="1" applyFill="1" applyBorder="1" applyAlignment="1">
      <alignment horizontal="right" vertical="center"/>
    </xf>
    <xf numFmtId="166" fontId="9" fillId="7" borderId="48" xfId="1" applyFont="1" applyFill="1" applyBorder="1" applyAlignment="1">
      <alignment horizontal="right" vertical="center"/>
    </xf>
    <xf numFmtId="166" fontId="9" fillId="7" borderId="47" xfId="1" applyFont="1" applyFill="1" applyBorder="1" applyAlignment="1">
      <alignment horizontal="right" vertical="center"/>
    </xf>
    <xf numFmtId="3" fontId="17" fillId="7" borderId="47" xfId="1" applyNumberFormat="1" applyFont="1" applyFill="1" applyBorder="1" applyAlignment="1">
      <alignment horizontal="right" vertical="center"/>
    </xf>
    <xf numFmtId="4" fontId="10" fillId="8" borderId="19" xfId="8" applyNumberFormat="1" applyFont="1" applyFill="1" applyBorder="1" applyAlignment="1">
      <alignment horizontal="center"/>
    </xf>
    <xf numFmtId="3" fontId="10" fillId="8" borderId="19" xfId="9" applyNumberFormat="1" applyFont="1" applyFill="1" applyBorder="1" applyAlignment="1">
      <alignment horizontal="center"/>
    </xf>
    <xf numFmtId="3" fontId="10" fillId="8" borderId="19" xfId="8" applyNumberFormat="1" applyFont="1" applyFill="1" applyBorder="1" applyAlignment="1">
      <alignment horizontal="center"/>
    </xf>
    <xf numFmtId="166" fontId="10" fillId="8" borderId="88" xfId="1" applyFont="1" applyFill="1" applyBorder="1" applyAlignment="1">
      <alignment horizontal="right"/>
    </xf>
    <xf numFmtId="0" fontId="10" fillId="7" borderId="9" xfId="0" applyFont="1" applyFill="1" applyBorder="1" applyAlignment="1">
      <alignment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vertical="center"/>
    </xf>
    <xf numFmtId="0" fontId="40" fillId="0" borderId="47" xfId="14" applyFont="1" applyBorder="1"/>
    <xf numFmtId="0" fontId="10" fillId="7" borderId="20" xfId="0" applyFont="1" applyFill="1" applyBorder="1" applyAlignment="1">
      <alignment horizontal="left" vertical="center"/>
    </xf>
    <xf numFmtId="0" fontId="9" fillId="7" borderId="10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vertical="center"/>
    </xf>
    <xf numFmtId="1" fontId="9" fillId="2" borderId="13" xfId="1" applyNumberFormat="1" applyFont="1" applyFill="1" applyBorder="1" applyAlignment="1">
      <alignment horizontal="center" vertical="center"/>
    </xf>
    <xf numFmtId="171" fontId="10" fillId="2" borderId="8" xfId="0" applyNumberFormat="1" applyFont="1" applyFill="1" applyBorder="1" applyAlignment="1">
      <alignment horizontal="left" vertical="center"/>
    </xf>
    <xf numFmtId="166" fontId="10" fillId="3" borderId="44" xfId="1" applyFont="1" applyFill="1" applyBorder="1" applyAlignment="1">
      <alignment vertical="center"/>
    </xf>
    <xf numFmtId="166" fontId="10" fillId="3" borderId="17" xfId="1" applyFont="1" applyFill="1" applyBorder="1" applyAlignment="1">
      <alignment vertical="center"/>
    </xf>
    <xf numFmtId="166" fontId="10" fillId="3" borderId="16" xfId="1" applyFont="1" applyFill="1" applyBorder="1" applyAlignment="1">
      <alignment vertical="center"/>
    </xf>
    <xf numFmtId="168" fontId="12" fillId="3" borderId="19" xfId="1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174" fontId="9" fillId="2" borderId="13" xfId="1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6" fontId="9" fillId="0" borderId="0" xfId="1" applyFont="1"/>
    <xf numFmtId="166" fontId="0" fillId="0" borderId="49" xfId="0" applyNumberFormat="1" applyFont="1" applyBorder="1"/>
    <xf numFmtId="166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66" fontId="0" fillId="0" borderId="2" xfId="0" applyNumberFormat="1" applyFont="1" applyBorder="1"/>
    <xf numFmtId="0" fontId="0" fillId="0" borderId="3" xfId="0" applyFont="1" applyBorder="1" applyAlignment="1">
      <alignment horizontal="center"/>
    </xf>
    <xf numFmtId="166" fontId="19" fillId="0" borderId="21" xfId="0" applyNumberFormat="1" applyFont="1" applyBorder="1"/>
    <xf numFmtId="166" fontId="19" fillId="0" borderId="56" xfId="0" applyNumberFormat="1" applyFont="1" applyBorder="1"/>
    <xf numFmtId="166" fontId="0" fillId="0" borderId="21" xfId="0" applyNumberFormat="1" applyFont="1" applyBorder="1"/>
    <xf numFmtId="166" fontId="0" fillId="0" borderId="56" xfId="0" applyNumberFormat="1" applyFont="1" applyBorder="1"/>
    <xf numFmtId="0" fontId="9" fillId="2" borderId="26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166" fontId="9" fillId="2" borderId="27" xfId="1" applyFont="1" applyFill="1" applyBorder="1" applyAlignment="1">
      <alignment horizontal="center" vertical="center"/>
    </xf>
    <xf numFmtId="166" fontId="9" fillId="2" borderId="103" xfId="1" applyFont="1" applyFill="1" applyBorder="1" applyAlignment="1">
      <alignment horizontal="center" vertical="center"/>
    </xf>
    <xf numFmtId="0" fontId="9" fillId="3" borderId="55" xfId="0" applyNumberFormat="1" applyFont="1" applyFill="1" applyBorder="1" applyAlignment="1">
      <alignment horizontal="right" vertical="center"/>
    </xf>
    <xf numFmtId="166" fontId="10" fillId="3" borderId="56" xfId="1" applyFont="1" applyFill="1" applyBorder="1" applyAlignment="1">
      <alignment horizontal="center" vertical="center"/>
    </xf>
    <xf numFmtId="166" fontId="10" fillId="3" borderId="31" xfId="1" applyFont="1" applyFill="1" applyBorder="1" applyAlignment="1">
      <alignment horizontal="center" vertical="center"/>
    </xf>
    <xf numFmtId="166" fontId="10" fillId="3" borderId="104" xfId="1" applyFont="1" applyFill="1" applyBorder="1" applyAlignment="1">
      <alignment horizontal="center" vertical="center"/>
    </xf>
    <xf numFmtId="166" fontId="17" fillId="3" borderId="56" xfId="1" applyFont="1" applyFill="1" applyBorder="1" applyAlignment="1">
      <alignment horizontal="center" vertical="center"/>
    </xf>
    <xf numFmtId="174" fontId="9" fillId="0" borderId="13" xfId="1" applyNumberFormat="1" applyFont="1" applyFill="1" applyBorder="1" applyAlignment="1">
      <alignment horizontal="center" vertical="center"/>
    </xf>
    <xf numFmtId="0" fontId="9" fillId="2" borderId="75" xfId="0" applyNumberFormat="1" applyFont="1" applyFill="1" applyBorder="1" applyAlignment="1">
      <alignment horizontal="right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vertical="center"/>
    </xf>
    <xf numFmtId="0" fontId="11" fillId="2" borderId="64" xfId="0" applyFont="1" applyFill="1" applyBorder="1" applyAlignment="1">
      <alignment vertical="center"/>
    </xf>
    <xf numFmtId="174" fontId="9" fillId="2" borderId="64" xfId="1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43" fontId="9" fillId="2" borderId="8" xfId="9" applyFont="1" applyFill="1" applyBorder="1"/>
    <xf numFmtId="43" fontId="9" fillId="0" borderId="8" xfId="9" applyFont="1" applyFill="1" applyBorder="1"/>
    <xf numFmtId="0" fontId="9" fillId="2" borderId="52" xfId="0" applyFont="1" applyFill="1" applyBorder="1" applyAlignment="1">
      <alignment horizontal="center" vertical="center"/>
    </xf>
    <xf numFmtId="174" fontId="9" fillId="2" borderId="47" xfId="1" applyNumberFormat="1" applyFont="1" applyFill="1" applyBorder="1" applyAlignment="1">
      <alignment horizontal="center" vertical="center"/>
    </xf>
    <xf numFmtId="43" fontId="9" fillId="2" borderId="0" xfId="9" applyFont="1" applyFill="1" applyBorder="1"/>
    <xf numFmtId="43" fontId="9" fillId="0" borderId="0" xfId="9" applyFont="1" applyFill="1" applyBorder="1"/>
    <xf numFmtId="0" fontId="0" fillId="0" borderId="0" xfId="0" applyFont="1" applyBorder="1"/>
    <xf numFmtId="166" fontId="17" fillId="2" borderId="56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74" fontId="9" fillId="2" borderId="65" xfId="1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3" fontId="9" fillId="7" borderId="9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/>
    </xf>
    <xf numFmtId="166" fontId="9" fillId="0" borderId="7" xfId="1" applyFont="1" applyFill="1" applyBorder="1" applyAlignment="1">
      <alignment horizontal="right"/>
    </xf>
    <xf numFmtId="171" fontId="9" fillId="7" borderId="11" xfId="12" applyNumberFormat="1" applyFont="1" applyFill="1" applyBorder="1" applyAlignment="1">
      <alignment vertical="center"/>
    </xf>
    <xf numFmtId="3" fontId="9" fillId="0" borderId="8" xfId="1" applyNumberFormat="1" applyFont="1" applyFill="1" applyBorder="1" applyAlignment="1">
      <alignment horizontal="right" vertical="center"/>
    </xf>
    <xf numFmtId="3" fontId="9" fillId="0" borderId="43" xfId="1" applyNumberFormat="1" applyFont="1" applyFill="1" applyBorder="1" applyAlignment="1">
      <alignment horizontal="right" vertical="center"/>
    </xf>
    <xf numFmtId="43" fontId="10" fillId="3" borderId="19" xfId="9" applyFont="1" applyFill="1" applyBorder="1"/>
    <xf numFmtId="171" fontId="10" fillId="2" borderId="4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166" fontId="9" fillId="0" borderId="13" xfId="1" applyFont="1" applyFill="1" applyBorder="1" applyAlignment="1">
      <alignment horizontal="right" vertical="center"/>
    </xf>
    <xf numFmtId="1" fontId="9" fillId="0" borderId="13" xfId="1" applyNumberFormat="1" applyFont="1" applyFill="1" applyBorder="1" applyAlignment="1">
      <alignment horizontal="center" vertical="center"/>
    </xf>
    <xf numFmtId="166" fontId="9" fillId="0" borderId="64" xfId="1" applyFont="1" applyFill="1" applyBorder="1" applyAlignment="1">
      <alignment horizontal="right" vertical="center"/>
    </xf>
    <xf numFmtId="167" fontId="9" fillId="7" borderId="13" xfId="0" applyNumberFormat="1" applyFont="1" applyFill="1" applyBorder="1" applyAlignment="1">
      <alignment horizontal="center" vertical="center" wrapText="1"/>
    </xf>
    <xf numFmtId="4" fontId="9" fillId="7" borderId="11" xfId="1" applyNumberFormat="1" applyFont="1" applyFill="1" applyBorder="1" applyAlignment="1">
      <alignment horizontal="center" vertical="center"/>
    </xf>
    <xf numFmtId="4" fontId="9" fillId="7" borderId="42" xfId="1" applyNumberFormat="1" applyFont="1" applyFill="1" applyBorder="1" applyAlignment="1">
      <alignment horizontal="center" vertical="center"/>
    </xf>
    <xf numFmtId="4" fontId="9" fillId="7" borderId="13" xfId="1" applyNumberFormat="1" applyFont="1" applyFill="1" applyBorder="1" applyAlignment="1">
      <alignment horizontal="center" vertical="center"/>
    </xf>
    <xf numFmtId="167" fontId="9" fillId="7" borderId="9" xfId="1" applyNumberFormat="1" applyFont="1" applyFill="1" applyBorder="1" applyAlignment="1">
      <alignment horizontal="center" vertical="center"/>
    </xf>
    <xf numFmtId="4" fontId="9" fillId="7" borderId="8" xfId="1" applyNumberFormat="1" applyFont="1" applyFill="1" applyBorder="1" applyAlignment="1">
      <alignment horizontal="center" vertical="center"/>
    </xf>
    <xf numFmtId="4" fontId="9" fillId="7" borderId="43" xfId="1" applyNumberFormat="1" applyFont="1" applyFill="1" applyBorder="1" applyAlignment="1">
      <alignment horizontal="center" vertical="center"/>
    </xf>
    <xf numFmtId="4" fontId="9" fillId="7" borderId="9" xfId="1" applyNumberFormat="1" applyFont="1" applyFill="1" applyBorder="1" applyAlignment="1">
      <alignment horizontal="center" vertical="center"/>
    </xf>
    <xf numFmtId="0" fontId="9" fillId="2" borderId="7" xfId="8" applyNumberFormat="1" applyFont="1" applyFill="1" applyBorder="1" applyAlignment="1">
      <alignment horizontal="right" vertical="center"/>
    </xf>
    <xf numFmtId="0" fontId="9" fillId="2" borderId="20" xfId="8" applyFont="1" applyFill="1" applyBorder="1" applyAlignment="1">
      <alignment vertical="center"/>
    </xf>
    <xf numFmtId="0" fontId="11" fillId="2" borderId="8" xfId="8" applyFont="1" applyFill="1" applyBorder="1" applyAlignment="1">
      <alignment vertical="center"/>
    </xf>
    <xf numFmtId="0" fontId="11" fillId="2" borderId="9" xfId="8" applyFont="1" applyFill="1" applyBorder="1" applyAlignment="1">
      <alignment vertical="center"/>
    </xf>
    <xf numFmtId="168" fontId="9" fillId="2" borderId="9" xfId="15" applyNumberFormat="1" applyFont="1" applyFill="1" applyBorder="1" applyAlignment="1">
      <alignment horizontal="center" vertical="center"/>
    </xf>
    <xf numFmtId="166" fontId="9" fillId="2" borderId="20" xfId="1" applyFont="1" applyFill="1" applyBorder="1" applyAlignment="1">
      <alignment horizontal="center" vertical="center"/>
    </xf>
    <xf numFmtId="168" fontId="9" fillId="2" borderId="9" xfId="15" applyNumberFormat="1" applyFont="1" applyFill="1" applyBorder="1" applyAlignment="1">
      <alignment horizontal="left" vertical="center"/>
    </xf>
    <xf numFmtId="170" fontId="9" fillId="2" borderId="10" xfId="8" applyNumberFormat="1" applyFont="1" applyFill="1" applyBorder="1" applyAlignment="1">
      <alignment horizontal="right" vertical="center"/>
    </xf>
    <xf numFmtId="171" fontId="9" fillId="2" borderId="8" xfId="8" applyNumberFormat="1" applyFont="1" applyFill="1" applyBorder="1" applyAlignment="1">
      <alignment horizontal="left" vertical="center"/>
    </xf>
    <xf numFmtId="0" fontId="9" fillId="2" borderId="8" xfId="8" applyFont="1" applyFill="1" applyBorder="1" applyAlignment="1">
      <alignment vertical="center"/>
    </xf>
    <xf numFmtId="0" fontId="11" fillId="2" borderId="13" xfId="8" applyFont="1" applyFill="1" applyBorder="1" applyAlignment="1">
      <alignment vertical="center"/>
    </xf>
    <xf numFmtId="168" fontId="9" fillId="2" borderId="13" xfId="15" applyNumberFormat="1" applyFont="1" applyFill="1" applyBorder="1" applyAlignment="1">
      <alignment horizontal="center" vertical="center"/>
    </xf>
    <xf numFmtId="166" fontId="9" fillId="2" borderId="10" xfId="1" applyFont="1" applyFill="1" applyBorder="1" applyAlignment="1">
      <alignment horizontal="center" vertical="center"/>
    </xf>
    <xf numFmtId="168" fontId="9" fillId="2" borderId="13" xfId="15" applyNumberFormat="1" applyFont="1" applyFill="1" applyBorder="1" applyAlignment="1">
      <alignment horizontal="left" vertical="center"/>
    </xf>
    <xf numFmtId="0" fontId="9" fillId="2" borderId="9" xfId="8" applyFont="1" applyFill="1" applyBorder="1" applyAlignment="1">
      <alignment vertical="center"/>
    </xf>
    <xf numFmtId="175" fontId="9" fillId="2" borderId="10" xfId="8" applyNumberFormat="1" applyFont="1" applyFill="1" applyBorder="1" applyAlignment="1">
      <alignment horizontal="center" vertical="center"/>
    </xf>
    <xf numFmtId="170" fontId="9" fillId="2" borderId="10" xfId="8" applyNumberFormat="1" applyFont="1" applyFill="1" applyBorder="1" applyAlignment="1">
      <alignment horizontal="center" vertical="center"/>
    </xf>
    <xf numFmtId="171" fontId="9" fillId="2" borderId="8" xfId="8" applyNumberFormat="1" applyFont="1" applyFill="1" applyBorder="1" applyAlignment="1">
      <alignment horizontal="center" vertical="center"/>
    </xf>
    <xf numFmtId="171" fontId="9" fillId="2" borderId="7" xfId="8" applyNumberFormat="1" applyFont="1" applyFill="1" applyBorder="1" applyAlignment="1">
      <alignment horizontal="center" vertical="center"/>
    </xf>
    <xf numFmtId="171" fontId="9" fillId="2" borderId="22" xfId="8" applyNumberFormat="1" applyFont="1" applyFill="1" applyBorder="1" applyAlignment="1">
      <alignment horizontal="center" vertical="center"/>
    </xf>
    <xf numFmtId="171" fontId="9" fillId="2" borderId="12" xfId="8" applyNumberFormat="1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vertical="center"/>
    </xf>
    <xf numFmtId="0" fontId="9" fillId="2" borderId="27" xfId="8" applyFont="1" applyFill="1" applyBorder="1" applyAlignment="1">
      <alignment vertical="center"/>
    </xf>
    <xf numFmtId="168" fontId="9" fillId="2" borderId="27" xfId="15" applyNumberFormat="1" applyFont="1" applyFill="1" applyBorder="1" applyAlignment="1">
      <alignment horizontal="center" vertical="center"/>
    </xf>
    <xf numFmtId="166" fontId="9" fillId="2" borderId="100" xfId="1" applyFont="1" applyFill="1" applyBorder="1" applyAlignment="1">
      <alignment horizontal="center" vertical="center"/>
    </xf>
    <xf numFmtId="168" fontId="9" fillId="2" borderId="27" xfId="15" applyNumberFormat="1" applyFont="1" applyFill="1" applyBorder="1" applyAlignment="1">
      <alignment horizontal="left" vertical="center"/>
    </xf>
    <xf numFmtId="0" fontId="10" fillId="3" borderId="55" xfId="8" applyFont="1" applyFill="1" applyBorder="1" applyAlignment="1">
      <alignment horizontal="center" vertical="center"/>
    </xf>
    <xf numFmtId="166" fontId="10" fillId="3" borderId="56" xfId="1" applyFont="1" applyFill="1" applyBorder="1" applyAlignment="1">
      <alignment vertical="center"/>
    </xf>
    <xf numFmtId="168" fontId="10" fillId="3" borderId="56" xfId="15" applyNumberFormat="1" applyFont="1" applyFill="1" applyBorder="1" applyAlignment="1">
      <alignment vertical="center"/>
    </xf>
    <xf numFmtId="166" fontId="10" fillId="3" borderId="21" xfId="1" applyFont="1" applyFill="1" applyBorder="1" applyAlignment="1">
      <alignment vertical="center"/>
    </xf>
    <xf numFmtId="166" fontId="10" fillId="3" borderId="104" xfId="1" applyFont="1" applyFill="1" applyBorder="1" applyAlignment="1">
      <alignment vertical="center"/>
    </xf>
    <xf numFmtId="166" fontId="10" fillId="3" borderId="55" xfId="1" applyFont="1" applyFill="1" applyBorder="1" applyAlignment="1">
      <alignment vertical="center"/>
    </xf>
    <xf numFmtId="168" fontId="9" fillId="0" borderId="55" xfId="15" applyNumberFormat="1" applyFont="1" applyFill="1" applyBorder="1" applyAlignment="1">
      <alignment horizontal="left" vertical="center"/>
    </xf>
    <xf numFmtId="0" fontId="10" fillId="0" borderId="65" xfId="8" applyFont="1" applyFill="1" applyBorder="1" applyAlignment="1">
      <alignment horizontal="center" vertical="center" wrapText="1"/>
    </xf>
    <xf numFmtId="166" fontId="9" fillId="2" borderId="6" xfId="1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166" fontId="9" fillId="2" borderId="4" xfId="1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166" fontId="9" fillId="0" borderId="55" xfId="1" applyFont="1" applyBorder="1"/>
    <xf numFmtId="166" fontId="23" fillId="2" borderId="9" xfId="1" applyFont="1" applyFill="1" applyBorder="1" applyAlignment="1">
      <alignment horizontal="center" vertical="center"/>
    </xf>
    <xf numFmtId="166" fontId="23" fillId="2" borderId="20" xfId="1" applyFont="1" applyFill="1" applyBorder="1" applyAlignment="1">
      <alignment horizontal="center" vertical="center"/>
    </xf>
    <xf numFmtId="166" fontId="23" fillId="7" borderId="11" xfId="1" applyNumberFormat="1" applyFont="1" applyFill="1" applyBorder="1" applyAlignment="1">
      <alignment horizontal="center" vertical="center"/>
    </xf>
    <xf numFmtId="0" fontId="9" fillId="2" borderId="10" xfId="8" applyNumberFormat="1" applyFont="1" applyFill="1" applyBorder="1" applyAlignment="1">
      <alignment horizontal="right" vertical="center"/>
    </xf>
    <xf numFmtId="166" fontId="23" fillId="2" borderId="32" xfId="1" applyFont="1" applyFill="1" applyBorder="1" applyAlignment="1">
      <alignment horizontal="center" vertical="center"/>
    </xf>
    <xf numFmtId="166" fontId="23" fillId="7" borderId="11" xfId="1" applyNumberFormat="1" applyFont="1" applyFill="1" applyBorder="1" applyAlignment="1">
      <alignment horizontal="right" vertical="center"/>
    </xf>
    <xf numFmtId="166" fontId="23" fillId="2" borderId="32" xfId="1" applyNumberFormat="1" applyFont="1" applyFill="1" applyBorder="1" applyAlignment="1">
      <alignment horizontal="center" vertical="center"/>
    </xf>
    <xf numFmtId="170" fontId="9" fillId="2" borderId="75" xfId="8" applyNumberFormat="1" applyFont="1" applyFill="1" applyBorder="1" applyAlignment="1">
      <alignment horizontal="right" vertical="center"/>
    </xf>
    <xf numFmtId="166" fontId="23" fillId="2" borderId="64" xfId="1" applyFont="1" applyFill="1" applyBorder="1" applyAlignment="1">
      <alignment horizontal="center" vertical="center"/>
    </xf>
    <xf numFmtId="168" fontId="9" fillId="2" borderId="64" xfId="15" applyNumberFormat="1" applyFont="1" applyFill="1" applyBorder="1" applyAlignment="1">
      <alignment horizontal="center" vertical="center"/>
    </xf>
    <xf numFmtId="166" fontId="9" fillId="7" borderId="72" xfId="1" applyNumberFormat="1" applyFont="1" applyFill="1" applyBorder="1" applyAlignment="1">
      <alignment horizontal="right" vertical="center"/>
    </xf>
    <xf numFmtId="166" fontId="23" fillId="2" borderId="83" xfId="1" applyNumberFormat="1" applyFont="1" applyFill="1" applyBorder="1" applyAlignment="1">
      <alignment horizontal="center" vertical="center"/>
    </xf>
    <xf numFmtId="168" fontId="9" fillId="2" borderId="64" xfId="15" applyNumberFormat="1" applyFont="1" applyFill="1" applyBorder="1" applyAlignment="1">
      <alignment horizontal="left" vertical="center"/>
    </xf>
    <xf numFmtId="171" fontId="9" fillId="2" borderId="10" xfId="8" applyNumberFormat="1" applyFont="1" applyFill="1" applyBorder="1" applyAlignment="1">
      <alignment horizontal="right" vertical="center"/>
    </xf>
    <xf numFmtId="166" fontId="23" fillId="2" borderId="13" xfId="1" applyFont="1" applyFill="1" applyBorder="1" applyAlignment="1">
      <alignment horizontal="center" vertical="center"/>
    </xf>
    <xf numFmtId="171" fontId="9" fillId="2" borderId="7" xfId="8" applyNumberFormat="1" applyFont="1" applyFill="1" applyBorder="1" applyAlignment="1">
      <alignment horizontal="right" vertical="center"/>
    </xf>
    <xf numFmtId="171" fontId="9" fillId="2" borderId="22" xfId="8" applyNumberFormat="1" applyFont="1" applyFill="1" applyBorder="1" applyAlignment="1">
      <alignment horizontal="right" vertical="center"/>
    </xf>
    <xf numFmtId="166" fontId="23" fillId="2" borderId="27" xfId="1" applyFont="1" applyFill="1" applyBorder="1" applyAlignment="1">
      <alignment horizontal="center" vertical="center"/>
    </xf>
    <xf numFmtId="166" fontId="23" fillId="2" borderId="100" xfId="1" applyFont="1" applyFill="1" applyBorder="1" applyAlignment="1">
      <alignment horizontal="center" vertical="center"/>
    </xf>
    <xf numFmtId="166" fontId="43" fillId="3" borderId="56" xfId="1" applyFont="1" applyFill="1" applyBorder="1" applyAlignment="1">
      <alignment vertical="center"/>
    </xf>
    <xf numFmtId="166" fontId="43" fillId="3" borderId="21" xfId="1" applyFont="1" applyFill="1" applyBorder="1" applyAlignment="1">
      <alignment vertical="center"/>
    </xf>
    <xf numFmtId="0" fontId="10" fillId="0" borderId="10" xfId="8" applyFont="1" applyFill="1" applyBorder="1" applyAlignment="1">
      <alignment horizontal="center" vertical="center"/>
    </xf>
    <xf numFmtId="166" fontId="23" fillId="0" borderId="13" xfId="1" applyFont="1" applyFill="1" applyBorder="1" applyAlignment="1">
      <alignment vertical="center"/>
    </xf>
    <xf numFmtId="168" fontId="9" fillId="0" borderId="13" xfId="15" applyNumberFormat="1" applyFont="1" applyFill="1" applyBorder="1" applyAlignment="1">
      <alignment vertical="center"/>
    </xf>
    <xf numFmtId="166" fontId="23" fillId="0" borderId="32" xfId="1" applyFont="1" applyFill="1" applyBorder="1" applyAlignment="1">
      <alignment vertical="center"/>
    </xf>
    <xf numFmtId="166" fontId="9" fillId="0" borderId="42" xfId="1" applyFont="1" applyFill="1" applyBorder="1" applyAlignment="1">
      <alignment vertical="center"/>
    </xf>
    <xf numFmtId="166" fontId="9" fillId="0" borderId="13" xfId="1" applyFont="1" applyFill="1" applyBorder="1" applyAlignment="1">
      <alignment vertical="center"/>
    </xf>
    <xf numFmtId="168" fontId="12" fillId="0" borderId="13" xfId="15" applyNumberFormat="1" applyFont="1" applyFill="1" applyBorder="1" applyAlignment="1">
      <alignment horizontal="left" vertical="center"/>
    </xf>
    <xf numFmtId="0" fontId="9" fillId="2" borderId="10" xfId="8" applyFont="1" applyFill="1" applyBorder="1" applyAlignment="1">
      <alignment horizontal="right" vertical="center" wrapText="1"/>
    </xf>
    <xf numFmtId="166" fontId="23" fillId="2" borderId="13" xfId="1" applyFont="1" applyFill="1" applyBorder="1" applyAlignment="1">
      <alignment horizontal="center" vertical="center" wrapText="1"/>
    </xf>
    <xf numFmtId="170" fontId="9" fillId="2" borderId="7" xfId="8" applyNumberFormat="1" applyFont="1" applyFill="1" applyBorder="1" applyAlignment="1">
      <alignment horizontal="right" vertical="center"/>
    </xf>
    <xf numFmtId="166" fontId="23" fillId="2" borderId="9" xfId="1" applyFont="1" applyFill="1" applyBorder="1" applyAlignment="1">
      <alignment horizontal="center" vertical="center" wrapText="1"/>
    </xf>
    <xf numFmtId="166" fontId="23" fillId="2" borderId="64" xfId="1" applyFont="1" applyFill="1" applyBorder="1" applyAlignment="1">
      <alignment horizontal="center" vertical="center" wrapText="1"/>
    </xf>
    <xf numFmtId="166" fontId="23" fillId="2" borderId="73" xfId="1" applyFont="1" applyFill="1" applyBorder="1" applyAlignment="1">
      <alignment horizontal="center" vertical="center"/>
    </xf>
    <xf numFmtId="171" fontId="9" fillId="2" borderId="26" xfId="8" applyNumberFormat="1" applyFont="1" applyFill="1" applyBorder="1" applyAlignment="1">
      <alignment horizontal="right" vertical="center"/>
    </xf>
    <xf numFmtId="166" fontId="9" fillId="0" borderId="32" xfId="1" applyFont="1" applyFill="1" applyBorder="1" applyAlignment="1">
      <alignment horizontal="left"/>
    </xf>
    <xf numFmtId="171" fontId="9" fillId="2" borderId="11" xfId="8" applyNumberFormat="1" applyFont="1" applyFill="1" applyBorder="1" applyAlignment="1">
      <alignment horizontal="left" vertical="center"/>
    </xf>
    <xf numFmtId="171" fontId="9" fillId="2" borderId="13" xfId="8" applyNumberFormat="1" applyFont="1" applyFill="1" applyBorder="1" applyAlignment="1">
      <alignment horizontal="left" vertical="center"/>
    </xf>
    <xf numFmtId="166" fontId="23" fillId="2" borderId="52" xfId="1" applyFont="1" applyFill="1" applyBorder="1" applyAlignment="1">
      <alignment horizontal="center" vertical="center"/>
    </xf>
    <xf numFmtId="168" fontId="9" fillId="2" borderId="47" xfId="15" applyNumberFormat="1" applyFont="1" applyFill="1" applyBorder="1" applyAlignment="1">
      <alignment horizontal="left" vertical="center"/>
    </xf>
    <xf numFmtId="171" fontId="9" fillId="2" borderId="9" xfId="8" applyNumberFormat="1" applyFont="1" applyFill="1" applyBorder="1" applyAlignment="1">
      <alignment horizontal="left" vertical="center"/>
    </xf>
    <xf numFmtId="166" fontId="23" fillId="2" borderId="7" xfId="1" applyFont="1" applyFill="1" applyBorder="1" applyAlignment="1">
      <alignment horizontal="center" vertical="center"/>
    </xf>
    <xf numFmtId="166" fontId="23" fillId="2" borderId="7" xfId="1" applyFont="1" applyFill="1" applyBorder="1" applyAlignment="1">
      <alignment horizontal="center" vertical="center" wrapText="1"/>
    </xf>
    <xf numFmtId="166" fontId="9" fillId="0" borderId="73" xfId="1" applyFont="1" applyFill="1" applyBorder="1" applyAlignment="1">
      <alignment horizontal="left"/>
    </xf>
    <xf numFmtId="166" fontId="9" fillId="0" borderId="74" xfId="1" applyFont="1" applyFill="1" applyBorder="1" applyAlignment="1">
      <alignment horizontal="left"/>
    </xf>
    <xf numFmtId="166" fontId="9" fillId="0" borderId="64" xfId="1" applyFont="1" applyFill="1" applyBorder="1" applyAlignment="1">
      <alignment horizontal="left"/>
    </xf>
    <xf numFmtId="166" fontId="9" fillId="0" borderId="11" xfId="1" applyFont="1" applyFill="1" applyBorder="1" applyAlignment="1">
      <alignment horizontal="left"/>
    </xf>
    <xf numFmtId="166" fontId="9" fillId="0" borderId="13" xfId="1" applyFont="1" applyFill="1" applyBorder="1" applyAlignment="1">
      <alignment horizontal="left"/>
    </xf>
    <xf numFmtId="0" fontId="10" fillId="0" borderId="65" xfId="8" applyFont="1" applyFill="1" applyBorder="1" applyAlignment="1">
      <alignment horizontal="center" vertical="center"/>
    </xf>
    <xf numFmtId="166" fontId="23" fillId="0" borderId="6" xfId="1" applyFont="1" applyFill="1" applyBorder="1" applyAlignment="1">
      <alignment vertical="center"/>
    </xf>
    <xf numFmtId="168" fontId="9" fillId="0" borderId="6" xfId="15" applyNumberFormat="1" applyFont="1" applyFill="1" applyBorder="1" applyAlignment="1">
      <alignment vertical="center"/>
    </xf>
    <xf numFmtId="166" fontId="23" fillId="0" borderId="4" xfId="1" applyFont="1" applyFill="1" applyBorder="1" applyAlignment="1">
      <alignment vertical="center"/>
    </xf>
    <xf numFmtId="166" fontId="9" fillId="0" borderId="70" xfId="1" applyFont="1" applyFill="1" applyBorder="1" applyAlignment="1">
      <alignment vertical="center"/>
    </xf>
    <xf numFmtId="166" fontId="9" fillId="0" borderId="6" xfId="1" applyFont="1" applyFill="1" applyBorder="1" applyAlignment="1">
      <alignment vertical="center"/>
    </xf>
    <xf numFmtId="168" fontId="12" fillId="0" borderId="6" xfId="15" applyNumberFormat="1" applyFont="1" applyFill="1" applyBorder="1" applyAlignment="1">
      <alignment horizontal="left" vertical="center"/>
    </xf>
    <xf numFmtId="171" fontId="9" fillId="2" borderId="74" xfId="8" applyNumberFormat="1" applyFont="1" applyFill="1" applyBorder="1" applyAlignment="1">
      <alignment horizontal="left" vertical="center"/>
    </xf>
    <xf numFmtId="171" fontId="9" fillId="2" borderId="64" xfId="8" applyNumberFormat="1" applyFont="1" applyFill="1" applyBorder="1" applyAlignment="1">
      <alignment horizontal="left" vertical="center"/>
    </xf>
    <xf numFmtId="166" fontId="35" fillId="0" borderId="8" xfId="1" applyFont="1" applyFill="1" applyBorder="1" applyAlignment="1">
      <alignment horizontal="left"/>
    </xf>
    <xf numFmtId="166" fontId="35" fillId="0" borderId="9" xfId="1" applyFont="1" applyFill="1" applyBorder="1" applyAlignment="1">
      <alignment horizontal="left"/>
    </xf>
    <xf numFmtId="171" fontId="9" fillId="2" borderId="12" xfId="8" applyNumberFormat="1" applyFont="1" applyFill="1" applyBorder="1" applyAlignment="1">
      <alignment horizontal="left" vertical="center"/>
    </xf>
    <xf numFmtId="171" fontId="9" fillId="2" borderId="27" xfId="8" applyNumberFormat="1" applyFont="1" applyFill="1" applyBorder="1" applyAlignment="1">
      <alignment horizontal="left" vertical="center"/>
    </xf>
    <xf numFmtId="0" fontId="10" fillId="0" borderId="10" xfId="8" applyFont="1" applyFill="1" applyBorder="1" applyAlignment="1">
      <alignment horizontal="right" vertical="center"/>
    </xf>
    <xf numFmtId="0" fontId="10" fillId="0" borderId="75" xfId="8" applyFont="1" applyFill="1" applyBorder="1" applyAlignment="1">
      <alignment horizontal="right" vertical="center"/>
    </xf>
    <xf numFmtId="166" fontId="23" fillId="2" borderId="83" xfId="1" applyFont="1" applyFill="1" applyBorder="1" applyAlignment="1">
      <alignment horizontal="center" vertical="center"/>
    </xf>
    <xf numFmtId="166" fontId="9" fillId="0" borderId="72" xfId="1" applyFont="1" applyFill="1" applyBorder="1" applyAlignment="1">
      <alignment vertical="center"/>
    </xf>
    <xf numFmtId="166" fontId="9" fillId="0" borderId="64" xfId="1" applyFont="1" applyFill="1" applyBorder="1" applyAlignment="1">
      <alignment vertical="center"/>
    </xf>
    <xf numFmtId="166" fontId="9" fillId="0" borderId="43" xfId="1" applyFont="1" applyFill="1" applyBorder="1" applyAlignment="1">
      <alignment vertical="center"/>
    </xf>
    <xf numFmtId="166" fontId="9" fillId="0" borderId="9" xfId="1" applyFont="1" applyFill="1" applyBorder="1" applyAlignment="1">
      <alignment vertical="center"/>
    </xf>
    <xf numFmtId="0" fontId="35" fillId="0" borderId="20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76" fontId="10" fillId="0" borderId="10" xfId="8" applyNumberFormat="1" applyFont="1" applyFill="1" applyBorder="1" applyAlignment="1">
      <alignment horizontal="center" vertical="center"/>
    </xf>
    <xf numFmtId="166" fontId="9" fillId="0" borderId="8" xfId="1" applyFont="1" applyFill="1" applyBorder="1" applyAlignment="1"/>
    <xf numFmtId="166" fontId="9" fillId="0" borderId="9" xfId="1" applyFont="1" applyFill="1" applyBorder="1" applyAlignment="1"/>
    <xf numFmtId="0" fontId="9" fillId="0" borderId="32" xfId="0" applyFont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left"/>
    </xf>
    <xf numFmtId="179" fontId="9" fillId="2" borderId="13" xfId="1" applyNumberFormat="1" applyFont="1" applyFill="1" applyBorder="1" applyAlignment="1">
      <alignment horizontal="center" vertical="center"/>
    </xf>
    <xf numFmtId="168" fontId="17" fillId="2" borderId="9" xfId="1" applyNumberFormat="1" applyFont="1" applyFill="1" applyBorder="1" applyAlignment="1">
      <alignment horizontal="left" vertical="center"/>
    </xf>
    <xf numFmtId="179" fontId="9" fillId="0" borderId="13" xfId="1" applyNumberFormat="1" applyFont="1" applyFill="1" applyBorder="1" applyAlignment="1">
      <alignment horizontal="center" vertical="center"/>
    </xf>
    <xf numFmtId="179" fontId="9" fillId="0" borderId="9" xfId="1" applyNumberFormat="1" applyFont="1" applyFill="1" applyBorder="1" applyAlignment="1">
      <alignment horizontal="center" vertical="center"/>
    </xf>
    <xf numFmtId="174" fontId="9" fillId="0" borderId="9" xfId="1" applyNumberFormat="1" applyFont="1" applyFill="1" applyBorder="1" applyAlignment="1">
      <alignment horizontal="center" vertical="center"/>
    </xf>
    <xf numFmtId="179" fontId="9" fillId="2" borderId="9" xfId="1" applyNumberFormat="1" applyFont="1" applyFill="1" applyBorder="1" applyAlignment="1">
      <alignment horizontal="center" vertical="center"/>
    </xf>
    <xf numFmtId="171" fontId="9" fillId="2" borderId="74" xfId="0" applyNumberFormat="1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vertical="center"/>
    </xf>
    <xf numFmtId="168" fontId="9" fillId="2" borderId="64" xfId="1" applyNumberFormat="1" applyFont="1" applyFill="1" applyBorder="1" applyAlignment="1">
      <alignment horizontal="center" vertical="center"/>
    </xf>
    <xf numFmtId="171" fontId="9" fillId="2" borderId="65" xfId="0" applyNumberFormat="1" applyFont="1" applyFill="1" applyBorder="1" applyAlignment="1">
      <alignment horizontal="center" vertical="center"/>
    </xf>
    <xf numFmtId="171" fontId="9" fillId="2" borderId="5" xfId="0" applyNumberFormat="1" applyFont="1" applyFill="1" applyBorder="1" applyAlignment="1">
      <alignment horizontal="center" vertical="center"/>
    </xf>
    <xf numFmtId="179" fontId="9" fillId="2" borderId="6" xfId="1" applyNumberFormat="1" applyFont="1" applyFill="1" applyBorder="1" applyAlignment="1">
      <alignment horizontal="center" vertical="center"/>
    </xf>
    <xf numFmtId="168" fontId="9" fillId="2" borderId="6" xfId="1" applyNumberFormat="1" applyFont="1" applyFill="1" applyBorder="1" applyAlignment="1">
      <alignment horizontal="center" vertical="center"/>
    </xf>
    <xf numFmtId="166" fontId="9" fillId="2" borderId="5" xfId="1" applyFont="1" applyFill="1" applyBorder="1" applyAlignment="1">
      <alignment horizontal="center" vertical="center"/>
    </xf>
    <xf numFmtId="168" fontId="9" fillId="2" borderId="6" xfId="1" applyNumberFormat="1" applyFont="1" applyFill="1" applyBorder="1" applyAlignment="1">
      <alignment horizontal="left" vertical="center"/>
    </xf>
    <xf numFmtId="171" fontId="9" fillId="2" borderId="10" xfId="0" applyNumberFormat="1" applyFont="1" applyFill="1" applyBorder="1" applyAlignment="1">
      <alignment horizontal="center" vertical="center"/>
    </xf>
    <xf numFmtId="171" fontId="9" fillId="2" borderId="11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166" fontId="9" fillId="2" borderId="11" xfId="1" applyNumberFormat="1" applyFont="1" applyFill="1" applyBorder="1" applyAlignment="1">
      <alignment horizontal="center" vertical="center"/>
    </xf>
    <xf numFmtId="174" fontId="9" fillId="2" borderId="9" xfId="1" applyNumberFormat="1" applyFont="1" applyFill="1" applyBorder="1" applyAlignment="1">
      <alignment horizontal="center" vertical="center"/>
    </xf>
    <xf numFmtId="174" fontId="9" fillId="3" borderId="16" xfId="1" applyNumberFormat="1" applyFont="1" applyFill="1" applyBorder="1" applyAlignment="1">
      <alignment vertical="center"/>
    </xf>
    <xf numFmtId="43" fontId="9" fillId="7" borderId="7" xfId="9" applyFont="1" applyFill="1" applyBorder="1"/>
    <xf numFmtId="0" fontId="10" fillId="0" borderId="8" xfId="8" applyFont="1" applyFill="1" applyBorder="1" applyAlignment="1">
      <alignment horizontal="center"/>
    </xf>
    <xf numFmtId="174" fontId="9" fillId="7" borderId="7" xfId="9" applyNumberFormat="1" applyFont="1" applyFill="1" applyBorder="1" applyAlignment="1">
      <alignment horizontal="center"/>
    </xf>
    <xf numFmtId="0" fontId="10" fillId="0" borderId="8" xfId="8" applyFont="1" applyFill="1" applyBorder="1"/>
    <xf numFmtId="174" fontId="9" fillId="7" borderId="10" xfId="9" applyNumberFormat="1" applyFont="1" applyFill="1" applyBorder="1" applyAlignment="1">
      <alignment horizontal="center"/>
    </xf>
    <xf numFmtId="0" fontId="10" fillId="0" borderId="11" xfId="8" applyFont="1" applyFill="1" applyBorder="1" applyAlignment="1">
      <alignment horizontal="center"/>
    </xf>
    <xf numFmtId="4" fontId="9" fillId="0" borderId="10" xfId="8" applyNumberFormat="1" applyFont="1" applyFill="1" applyBorder="1" applyAlignment="1">
      <alignment horizontal="right"/>
    </xf>
    <xf numFmtId="4" fontId="9" fillId="0" borderId="75" xfId="8" applyNumberFormat="1" applyFont="1" applyFill="1" applyBorder="1" applyAlignment="1">
      <alignment horizontal="right"/>
    </xf>
    <xf numFmtId="0" fontId="10" fillId="0" borderId="74" xfId="8" applyFont="1" applyFill="1" applyBorder="1"/>
    <xf numFmtId="174" fontId="9" fillId="7" borderId="75" xfId="9" applyNumberFormat="1" applyFont="1" applyFill="1" applyBorder="1" applyAlignment="1">
      <alignment horizontal="center"/>
    </xf>
    <xf numFmtId="0" fontId="10" fillId="0" borderId="20" xfId="8" applyFont="1" applyFill="1" applyBorder="1"/>
    <xf numFmtId="0" fontId="9" fillId="0" borderId="9" xfId="8" applyFont="1" applyFill="1" applyBorder="1"/>
    <xf numFmtId="0" fontId="10" fillId="0" borderId="12" xfId="8" applyFont="1" applyFill="1" applyBorder="1"/>
    <xf numFmtId="0" fontId="9" fillId="0" borderId="8" xfId="8" quotePrefix="1" applyFont="1" applyFill="1" applyBorder="1"/>
    <xf numFmtId="43" fontId="9" fillId="7" borderId="22" xfId="9" applyFont="1" applyFill="1" applyBorder="1"/>
    <xf numFmtId="0" fontId="10" fillId="0" borderId="12" xfId="8" applyFont="1" applyFill="1" applyBorder="1" applyAlignment="1">
      <alignment horizontal="center"/>
    </xf>
    <xf numFmtId="3" fontId="9" fillId="7" borderId="22" xfId="9" applyNumberFormat="1" applyFont="1" applyFill="1" applyBorder="1" applyAlignment="1">
      <alignment horizontal="center"/>
    </xf>
    <xf numFmtId="0" fontId="10" fillId="0" borderId="20" xfId="8" applyFont="1" applyFill="1" applyBorder="1" applyAlignment="1">
      <alignment horizontal="center"/>
    </xf>
    <xf numFmtId="3" fontId="9" fillId="7" borderId="7" xfId="9" applyNumberFormat="1" applyFont="1" applyFill="1" applyBorder="1" applyAlignment="1">
      <alignment horizontal="center"/>
    </xf>
    <xf numFmtId="0" fontId="10" fillId="0" borderId="32" xfId="8" applyFont="1" applyFill="1" applyBorder="1" applyAlignment="1">
      <alignment horizontal="center"/>
    </xf>
    <xf numFmtId="3" fontId="9" fillId="7" borderId="10" xfId="9" applyNumberFormat="1" applyFont="1" applyFill="1" applyBorder="1" applyAlignment="1">
      <alignment horizontal="center"/>
    </xf>
    <xf numFmtId="0" fontId="10" fillId="0" borderId="73" xfId="8" applyFont="1" applyFill="1" applyBorder="1" applyAlignment="1">
      <alignment horizontal="center"/>
    </xf>
    <xf numFmtId="3" fontId="9" fillId="7" borderId="75" xfId="9" applyNumberFormat="1" applyFont="1" applyFill="1" applyBorder="1" applyAlignment="1">
      <alignment horizontal="center"/>
    </xf>
    <xf numFmtId="3" fontId="9" fillId="7" borderId="23" xfId="9" applyNumberFormat="1" applyFont="1" applyFill="1" applyBorder="1" applyAlignment="1">
      <alignment horizontal="center"/>
    </xf>
    <xf numFmtId="1" fontId="10" fillId="7" borderId="7" xfId="9" applyNumberFormat="1" applyFont="1" applyFill="1" applyBorder="1" applyAlignment="1">
      <alignment horizontal="center"/>
    </xf>
    <xf numFmtId="0" fontId="10" fillId="0" borderId="22" xfId="8" applyFont="1" applyFill="1" applyBorder="1" applyAlignment="1">
      <alignment horizontal="center"/>
    </xf>
    <xf numFmtId="43" fontId="9" fillId="0" borderId="8" xfId="10" applyNumberFormat="1" applyFont="1" applyBorder="1"/>
    <xf numFmtId="43" fontId="9" fillId="0" borderId="9" xfId="10" applyNumberFormat="1" applyFont="1" applyBorder="1"/>
    <xf numFmtId="0" fontId="9" fillId="0" borderId="100" xfId="8" applyFont="1" applyFill="1" applyBorder="1" applyAlignment="1">
      <alignment horizontal="right"/>
    </xf>
    <xf numFmtId="0" fontId="9" fillId="0" borderId="52" xfId="8" applyFont="1" applyFill="1" applyBorder="1" applyAlignment="1">
      <alignment horizontal="right"/>
    </xf>
    <xf numFmtId="43" fontId="9" fillId="0" borderId="11" xfId="10" applyNumberFormat="1" applyFont="1" applyBorder="1"/>
    <xf numFmtId="43" fontId="9" fillId="0" borderId="105" xfId="9" applyFont="1" applyFill="1" applyBorder="1"/>
    <xf numFmtId="43" fontId="9" fillId="0" borderId="74" xfId="10" applyNumberFormat="1" applyFont="1" applyBorder="1"/>
    <xf numFmtId="43" fontId="9" fillId="0" borderId="12" xfId="10" applyNumberFormat="1" applyFont="1" applyBorder="1"/>
    <xf numFmtId="174" fontId="9" fillId="7" borderId="22" xfId="9" applyNumberFormat="1" applyFont="1" applyFill="1" applyBorder="1" applyAlignment="1">
      <alignment horizontal="center"/>
    </xf>
    <xf numFmtId="43" fontId="9" fillId="7" borderId="67" xfId="9" applyFont="1" applyFill="1" applyBorder="1"/>
    <xf numFmtId="43" fontId="10" fillId="3" borderId="67" xfId="9" applyFont="1" applyFill="1" applyBorder="1"/>
    <xf numFmtId="166" fontId="9" fillId="3" borderId="93" xfId="1" applyFont="1" applyFill="1" applyBorder="1" applyAlignment="1">
      <alignment horizontal="center" vertical="center"/>
    </xf>
    <xf numFmtId="43" fontId="10" fillId="0" borderId="20" xfId="10" applyNumberFormat="1" applyFont="1" applyFill="1" applyBorder="1" applyAlignment="1">
      <alignment horizontal="center"/>
    </xf>
    <xf numFmtId="43" fontId="10" fillId="0" borderId="0" xfId="10" applyNumberFormat="1" applyFont="1" applyFill="1" applyBorder="1" applyAlignment="1">
      <alignment horizontal="left"/>
    </xf>
    <xf numFmtId="43" fontId="10" fillId="0" borderId="32" xfId="10" applyNumberFormat="1" applyFont="1" applyFill="1" applyBorder="1" applyAlignment="1">
      <alignment horizontal="left"/>
    </xf>
    <xf numFmtId="176" fontId="9" fillId="0" borderId="26" xfId="8" applyNumberFormat="1" applyFont="1" applyFill="1" applyBorder="1" applyAlignment="1">
      <alignment horizontal="right"/>
    </xf>
    <xf numFmtId="0" fontId="10" fillId="0" borderId="52" xfId="8" quotePrefix="1" applyFont="1" applyFill="1" applyBorder="1" applyAlignment="1">
      <alignment horizontal="center"/>
    </xf>
    <xf numFmtId="174" fontId="9" fillId="7" borderId="26" xfId="9" applyNumberFormat="1" applyFont="1" applyFill="1" applyBorder="1" applyAlignment="1">
      <alignment horizontal="center"/>
    </xf>
    <xf numFmtId="176" fontId="9" fillId="0" borderId="22" xfId="8" applyNumberFormat="1" applyFont="1" applyFill="1" applyBorder="1" applyAlignment="1">
      <alignment horizontal="center"/>
    </xf>
    <xf numFmtId="43" fontId="9" fillId="0" borderId="9" xfId="10" applyNumberFormat="1" applyFont="1" applyFill="1" applyBorder="1" applyAlignment="1">
      <alignment horizontal="left"/>
    </xf>
    <xf numFmtId="176" fontId="9" fillId="0" borderId="22" xfId="8" applyNumberFormat="1" applyFont="1" applyFill="1" applyBorder="1" applyAlignment="1">
      <alignment horizontal="right"/>
    </xf>
    <xf numFmtId="43" fontId="10" fillId="0" borderId="12" xfId="10" applyNumberFormat="1" applyFont="1" applyFill="1" applyBorder="1" applyAlignment="1">
      <alignment horizontal="left"/>
    </xf>
    <xf numFmtId="43" fontId="9" fillId="0" borderId="12" xfId="10" applyNumberFormat="1" applyFont="1" applyFill="1" applyBorder="1" applyAlignment="1">
      <alignment horizontal="left"/>
    </xf>
    <xf numFmtId="43" fontId="9" fillId="0" borderId="54" xfId="9" applyFont="1" applyFill="1" applyBorder="1"/>
    <xf numFmtId="174" fontId="9" fillId="7" borderId="23" xfId="9" applyNumberFormat="1" applyFont="1" applyFill="1" applyBorder="1" applyAlignment="1">
      <alignment horizontal="center"/>
    </xf>
    <xf numFmtId="174" fontId="10" fillId="3" borderId="19" xfId="9" applyNumberFormat="1" applyFont="1" applyFill="1" applyBorder="1" applyAlignment="1">
      <alignment horizontal="center"/>
    </xf>
    <xf numFmtId="174" fontId="9" fillId="0" borderId="7" xfId="9" applyNumberFormat="1" applyFont="1" applyFill="1" applyBorder="1" applyAlignment="1">
      <alignment horizontal="center"/>
    </xf>
    <xf numFmtId="43" fontId="9" fillId="0" borderId="106" xfId="9" applyFont="1" applyFill="1" applyBorder="1"/>
    <xf numFmtId="0" fontId="9" fillId="0" borderId="73" xfId="8" applyFont="1" applyFill="1" applyBorder="1"/>
    <xf numFmtId="0" fontId="9" fillId="0" borderId="65" xfId="8" applyFont="1" applyFill="1" applyBorder="1" applyAlignment="1">
      <alignment horizontal="right"/>
    </xf>
    <xf numFmtId="0" fontId="9" fillId="0" borderId="4" xfId="8" applyFont="1" applyFill="1" applyBorder="1"/>
    <xf numFmtId="0" fontId="9" fillId="0" borderId="5" xfId="8" applyFont="1" applyFill="1" applyBorder="1"/>
    <xf numFmtId="174" fontId="9" fillId="0" borderId="65" xfId="9" applyNumberFormat="1" applyFont="1" applyFill="1" applyBorder="1" applyAlignment="1">
      <alignment horizontal="center"/>
    </xf>
    <xf numFmtId="0" fontId="9" fillId="0" borderId="65" xfId="8" applyFont="1" applyFill="1" applyBorder="1" applyAlignment="1">
      <alignment horizontal="center"/>
    </xf>
    <xf numFmtId="166" fontId="9" fillId="0" borderId="70" xfId="1" applyFont="1" applyFill="1" applyBorder="1" applyAlignment="1">
      <alignment horizontal="center" vertical="center"/>
    </xf>
    <xf numFmtId="166" fontId="9" fillId="0" borderId="6" xfId="1" applyFont="1" applyFill="1" applyBorder="1" applyAlignment="1">
      <alignment horizontal="center" vertical="center"/>
    </xf>
    <xf numFmtId="166" fontId="17" fillId="0" borderId="6" xfId="1" applyFont="1" applyFill="1" applyBorder="1" applyAlignment="1">
      <alignment horizontal="center" vertical="center"/>
    </xf>
    <xf numFmtId="0" fontId="9" fillId="0" borderId="26" xfId="8" applyFont="1" applyFill="1" applyBorder="1" applyAlignment="1">
      <alignment horizontal="right"/>
    </xf>
    <xf numFmtId="0" fontId="9" fillId="0" borderId="0" xfId="8" applyFont="1" applyFill="1" applyBorder="1"/>
    <xf numFmtId="174" fontId="9" fillId="0" borderId="26" xfId="9" applyNumberFormat="1" applyFont="1" applyFill="1" applyBorder="1" applyAlignment="1">
      <alignment horizontal="center"/>
    </xf>
    <xf numFmtId="43" fontId="9" fillId="0" borderId="107" xfId="9" applyFont="1" applyFill="1" applyBorder="1"/>
    <xf numFmtId="166" fontId="17" fillId="0" borderId="47" xfId="1" applyFont="1" applyFill="1" applyBorder="1" applyAlignment="1">
      <alignment horizontal="center" vertical="center"/>
    </xf>
    <xf numFmtId="174" fontId="9" fillId="0" borderId="22" xfId="9" applyNumberFormat="1" applyFont="1" applyFill="1" applyBorder="1" applyAlignment="1">
      <alignment horizontal="center"/>
    </xf>
    <xf numFmtId="166" fontId="17" fillId="0" borderId="27" xfId="1" applyFont="1" applyFill="1" applyBorder="1" applyAlignment="1">
      <alignment horizontal="center" vertical="center"/>
    </xf>
    <xf numFmtId="1" fontId="9" fillId="7" borderId="10" xfId="1" applyNumberFormat="1" applyFont="1" applyFill="1" applyBorder="1" applyAlignment="1">
      <alignment horizontal="center" vertical="center"/>
    </xf>
    <xf numFmtId="174" fontId="9" fillId="7" borderId="67" xfId="9" applyNumberFormat="1" applyFont="1" applyFill="1" applyBorder="1" applyAlignment="1">
      <alignment horizontal="center"/>
    </xf>
    <xf numFmtId="166" fontId="17" fillId="3" borderId="16" xfId="1" applyFont="1" applyFill="1" applyBorder="1" applyAlignment="1">
      <alignment horizontal="center" vertical="center"/>
    </xf>
    <xf numFmtId="3" fontId="9" fillId="7" borderId="7" xfId="1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vertical="center"/>
    </xf>
    <xf numFmtId="3" fontId="9" fillId="8" borderId="17" xfId="1" applyNumberFormat="1" applyFont="1" applyFill="1" applyBorder="1" applyAlignment="1">
      <alignment horizontal="right" vertical="center"/>
    </xf>
    <xf numFmtId="0" fontId="10" fillId="0" borderId="8" xfId="0" applyFont="1" applyBorder="1"/>
    <xf numFmtId="0" fontId="9" fillId="7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3" fontId="9" fillId="7" borderId="46" xfId="1" applyNumberFormat="1" applyFont="1" applyFill="1" applyBorder="1" applyAlignment="1">
      <alignment horizontal="right" vertical="center"/>
    </xf>
    <xf numFmtId="3" fontId="9" fillId="7" borderId="7" xfId="4" applyNumberFormat="1" applyFont="1" applyFill="1" applyBorder="1" applyAlignment="1">
      <alignment horizontal="right" vertical="center"/>
    </xf>
    <xf numFmtId="3" fontId="9" fillId="0" borderId="46" xfId="1" applyNumberFormat="1" applyFont="1" applyFill="1" applyBorder="1" applyAlignment="1" applyProtection="1">
      <alignment horizontal="right"/>
      <protection locked="0"/>
    </xf>
    <xf numFmtId="3" fontId="9" fillId="0" borderId="43" xfId="1" applyNumberFormat="1" applyFont="1" applyFill="1" applyBorder="1" applyAlignment="1" applyProtection="1">
      <alignment horizontal="right"/>
      <protection locked="0"/>
    </xf>
    <xf numFmtId="3" fontId="9" fillId="0" borderId="7" xfId="1" applyNumberFormat="1" applyFont="1" applyFill="1" applyBorder="1" applyAlignment="1" applyProtection="1">
      <alignment horizontal="right"/>
      <protection hidden="1"/>
    </xf>
    <xf numFmtId="3" fontId="9" fillId="0" borderId="7" xfId="0" applyNumberFormat="1" applyFont="1" applyBorder="1" applyAlignment="1">
      <alignment horizontal="right"/>
    </xf>
    <xf numFmtId="171" fontId="9" fillId="7" borderId="74" xfId="0" applyNumberFormat="1" applyFont="1" applyFill="1" applyBorder="1" applyAlignment="1">
      <alignment vertical="center"/>
    </xf>
    <xf numFmtId="0" fontId="9" fillId="0" borderId="74" xfId="0" applyFont="1" applyBorder="1"/>
    <xf numFmtId="3" fontId="9" fillId="0" borderId="75" xfId="0" applyNumberFormat="1" applyFont="1" applyBorder="1" applyAlignment="1">
      <alignment horizontal="right"/>
    </xf>
    <xf numFmtId="171" fontId="9" fillId="7" borderId="11" xfId="0" applyNumberFormat="1" applyFont="1" applyFill="1" applyBorder="1" applyAlignment="1">
      <alignment vertical="center"/>
    </xf>
    <xf numFmtId="0" fontId="9" fillId="0" borderId="11" xfId="0" applyFont="1" applyBorder="1"/>
    <xf numFmtId="3" fontId="9" fillId="0" borderId="10" xfId="0" applyNumberFormat="1" applyFont="1" applyBorder="1" applyAlignment="1">
      <alignment horizontal="right"/>
    </xf>
    <xf numFmtId="0" fontId="9" fillId="0" borderId="8" xfId="0" applyFont="1" applyFill="1" applyBorder="1"/>
    <xf numFmtId="3" fontId="17" fillId="0" borderId="7" xfId="0" applyNumberFormat="1" applyFont="1" applyBorder="1" applyAlignment="1">
      <alignment horizontal="center"/>
    </xf>
    <xf numFmtId="0" fontId="9" fillId="0" borderId="20" xfId="11" applyFont="1" applyFill="1" applyBorder="1" applyAlignment="1">
      <alignment vertical="center"/>
    </xf>
    <xf numFmtId="3" fontId="9" fillId="7" borderId="19" xfId="1" applyNumberFormat="1" applyFont="1" applyFill="1" applyBorder="1" applyAlignment="1">
      <alignment horizontal="right" vertical="center"/>
    </xf>
    <xf numFmtId="171" fontId="10" fillId="7" borderId="7" xfId="0" applyNumberFormat="1" applyFont="1" applyFill="1" applyBorder="1" applyAlignment="1">
      <alignment horizontal="center" vertical="center"/>
    </xf>
    <xf numFmtId="171" fontId="10" fillId="7" borderId="8" xfId="0" applyNumberFormat="1" applyFont="1" applyFill="1" applyBorder="1" applyAlignment="1">
      <alignment horizontal="left" vertical="center"/>
    </xf>
    <xf numFmtId="3" fontId="9" fillId="0" borderId="9" xfId="0" applyNumberFormat="1" applyFont="1" applyBorder="1" applyAlignment="1">
      <alignment horizontal="center"/>
    </xf>
    <xf numFmtId="3" fontId="9" fillId="0" borderId="9" xfId="1" applyNumberFormat="1" applyFont="1" applyFill="1" applyBorder="1" applyAlignment="1" applyProtection="1">
      <alignment horizontal="center"/>
      <protection locked="0"/>
    </xf>
    <xf numFmtId="166" fontId="9" fillId="0" borderId="8" xfId="1" applyFont="1" applyFill="1" applyBorder="1" applyAlignment="1" applyProtection="1">
      <alignment horizontal="right"/>
      <protection locked="0"/>
    </xf>
    <xf numFmtId="170" fontId="9" fillId="7" borderId="75" xfId="0" applyNumberFormat="1" applyFont="1" applyFill="1" applyBorder="1" applyAlignment="1">
      <alignment horizontal="right" vertical="center"/>
    </xf>
    <xf numFmtId="171" fontId="9" fillId="7" borderId="74" xfId="0" applyNumberFormat="1" applyFont="1" applyFill="1" applyBorder="1" applyAlignment="1">
      <alignment horizontal="left" vertical="center"/>
    </xf>
    <xf numFmtId="3" fontId="9" fillId="0" borderId="64" xfId="0" applyNumberFormat="1" applyFont="1" applyBorder="1" applyAlignment="1">
      <alignment horizontal="center"/>
    </xf>
    <xf numFmtId="3" fontId="9" fillId="7" borderId="75" xfId="1" applyNumberFormat="1" applyFont="1" applyFill="1" applyBorder="1" applyAlignment="1">
      <alignment horizontal="right" vertical="center"/>
    </xf>
    <xf numFmtId="171" fontId="9" fillId="7" borderId="11" xfId="0" applyNumberFormat="1" applyFont="1" applyFill="1" applyBorder="1" applyAlignment="1">
      <alignment horizontal="left" vertical="center"/>
    </xf>
    <xf numFmtId="3" fontId="9" fillId="0" borderId="13" xfId="0" applyNumberFormat="1" applyFont="1" applyBorder="1" applyAlignment="1">
      <alignment horizontal="center"/>
    </xf>
    <xf numFmtId="170" fontId="9" fillId="7" borderId="7" xfId="0" quotePrefix="1" applyNumberFormat="1" applyFont="1" applyFill="1" applyBorder="1" applyAlignment="1">
      <alignment horizontal="right" vertical="center"/>
    </xf>
    <xf numFmtId="171" fontId="9" fillId="7" borderId="8" xfId="16" applyNumberFormat="1" applyFont="1" applyFill="1" applyBorder="1" applyAlignment="1">
      <alignment vertical="center"/>
    </xf>
    <xf numFmtId="3" fontId="9" fillId="0" borderId="7" xfId="16" applyNumberFormat="1" applyFont="1" applyBorder="1" applyAlignment="1">
      <alignment horizontal="right"/>
    </xf>
    <xf numFmtId="3" fontId="9" fillId="0" borderId="75" xfId="16" applyNumberFormat="1" applyFont="1" applyBorder="1" applyAlignment="1">
      <alignment horizontal="right"/>
    </xf>
    <xf numFmtId="166" fontId="9" fillId="0" borderId="11" xfId="1" applyFont="1" applyFill="1" applyBorder="1" applyAlignment="1" applyProtection="1">
      <alignment horizontal="right"/>
      <protection locked="0"/>
    </xf>
    <xf numFmtId="0" fontId="9" fillId="0" borderId="102" xfId="11" applyFont="1" applyFill="1" applyBorder="1" applyAlignment="1">
      <alignment vertical="center"/>
    </xf>
    <xf numFmtId="3" fontId="44" fillId="0" borderId="43" xfId="1" applyNumberFormat="1" applyFont="1" applyFill="1" applyBorder="1" applyAlignment="1" applyProtection="1">
      <alignment horizontal="center"/>
      <protection locked="0"/>
    </xf>
    <xf numFmtId="3" fontId="44" fillId="0" borderId="43" xfId="1" applyNumberFormat="1" applyFont="1" applyFill="1" applyBorder="1" applyProtection="1">
      <protection locked="0"/>
    </xf>
    <xf numFmtId="3" fontId="44" fillId="0" borderId="72" xfId="1" applyNumberFormat="1" applyFont="1" applyFill="1" applyBorder="1" applyAlignment="1" applyProtection="1">
      <alignment horizontal="center"/>
      <protection locked="0"/>
    </xf>
    <xf numFmtId="3" fontId="44" fillId="0" borderId="42" xfId="1" applyNumberFormat="1" applyFont="1" applyFill="1" applyBorder="1" applyAlignment="1" applyProtection="1">
      <alignment horizontal="center"/>
      <protection locked="0"/>
    </xf>
    <xf numFmtId="3" fontId="44" fillId="0" borderId="43" xfId="1" applyNumberFormat="1" applyFont="1" applyFill="1" applyBorder="1" applyAlignment="1" applyProtection="1">
      <alignment horizontal="right"/>
      <protection locked="0"/>
    </xf>
    <xf numFmtId="3" fontId="9" fillId="0" borderId="20" xfId="0" applyNumberFormat="1" applyFont="1" applyBorder="1"/>
    <xf numFmtId="3" fontId="9" fillId="0" borderId="11" xfId="1" applyNumberFormat="1" applyFont="1" applyFill="1" applyBorder="1" applyAlignment="1" applyProtection="1">
      <alignment horizontal="center"/>
      <protection locked="0"/>
    </xf>
    <xf numFmtId="3" fontId="9" fillId="0" borderId="13" xfId="1" applyNumberFormat="1" applyFont="1" applyFill="1" applyBorder="1" applyAlignment="1" applyProtection="1">
      <alignment horizontal="center"/>
      <protection locked="0"/>
    </xf>
    <xf numFmtId="166" fontId="9" fillId="0" borderId="92" xfId="1" applyFont="1" applyFill="1" applyBorder="1" applyAlignment="1" applyProtection="1">
      <alignment horizontal="right"/>
      <protection locked="0"/>
    </xf>
    <xf numFmtId="166" fontId="9" fillId="0" borderId="48" xfId="1" applyFont="1" applyFill="1" applyBorder="1" applyAlignment="1" applyProtection="1">
      <alignment horizontal="right"/>
      <protection locked="0"/>
    </xf>
    <xf numFmtId="171" fontId="10" fillId="7" borderId="7" xfId="0" quotePrefix="1" applyNumberFormat="1" applyFont="1" applyFill="1" applyBorder="1" applyAlignment="1">
      <alignment horizontal="right" vertical="center"/>
    </xf>
    <xf numFmtId="171" fontId="10" fillId="7" borderId="0" xfId="0" applyNumberFormat="1" applyFont="1" applyFill="1" applyBorder="1" applyAlignment="1">
      <alignment vertical="center"/>
    </xf>
    <xf numFmtId="171" fontId="10" fillId="7" borderId="8" xfId="0" applyNumberFormat="1" applyFont="1" applyFill="1" applyBorder="1" applyAlignment="1">
      <alignment vertical="center"/>
    </xf>
    <xf numFmtId="171" fontId="10" fillId="7" borderId="20" xfId="0" applyNumberFormat="1" applyFont="1" applyFill="1" applyBorder="1" applyAlignment="1">
      <alignment vertical="center"/>
    </xf>
    <xf numFmtId="0" fontId="9" fillId="0" borderId="0" xfId="11" applyFont="1" applyFill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center" vertical="center"/>
    </xf>
    <xf numFmtId="166" fontId="9" fillId="0" borderId="65" xfId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6" fontId="9" fillId="0" borderId="4" xfId="1" applyFont="1" applyFill="1" applyBorder="1" applyAlignment="1">
      <alignment horizontal="center"/>
    </xf>
    <xf numFmtId="166" fontId="9" fillId="0" borderId="101" xfId="1" applyFont="1" applyFill="1" applyBorder="1" applyAlignment="1">
      <alignment horizontal="center"/>
    </xf>
    <xf numFmtId="166" fontId="9" fillId="0" borderId="65" xfId="1" applyFont="1" applyFill="1" applyBorder="1" applyAlignment="1">
      <alignment horizontal="center"/>
    </xf>
    <xf numFmtId="178" fontId="9" fillId="7" borderId="7" xfId="0" applyNumberFormat="1" applyFont="1" applyFill="1" applyBorder="1" applyAlignment="1">
      <alignment horizontal="right" vertical="center"/>
    </xf>
    <xf numFmtId="3" fontId="9" fillId="7" borderId="8" xfId="1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175" fontId="9" fillId="7" borderId="7" xfId="0" applyNumberFormat="1" applyFont="1" applyFill="1" applyBorder="1" applyAlignment="1">
      <alignment horizontal="right" vertical="center"/>
    </xf>
    <xf numFmtId="3" fontId="9" fillId="8" borderId="19" xfId="1" applyNumberFormat="1" applyFont="1" applyFill="1" applyBorder="1" applyAlignment="1">
      <alignment horizontal="right" vertical="center"/>
    </xf>
    <xf numFmtId="3" fontId="9" fillId="8" borderId="17" xfId="1" applyNumberFormat="1" applyFont="1" applyFill="1" applyBorder="1" applyAlignment="1">
      <alignment vertical="center"/>
    </xf>
    <xf numFmtId="166" fontId="9" fillId="8" borderId="16" xfId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horizontal="right" vertical="center"/>
    </xf>
    <xf numFmtId="171" fontId="9" fillId="0" borderId="8" xfId="1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3" fontId="9" fillId="0" borderId="26" xfId="0" applyNumberFormat="1" applyFont="1" applyFill="1" applyBorder="1" applyAlignment="1">
      <alignment horizontal="right"/>
    </xf>
    <xf numFmtId="3" fontId="9" fillId="0" borderId="47" xfId="1" applyNumberFormat="1" applyFont="1" applyFill="1" applyBorder="1" applyAlignment="1" applyProtection="1">
      <alignment horizontal="center"/>
      <protection locked="0"/>
    </xf>
    <xf numFmtId="3" fontId="9" fillId="0" borderId="26" xfId="0" applyNumberFormat="1" applyFont="1" applyFill="1" applyBorder="1"/>
    <xf numFmtId="178" fontId="9" fillId="0" borderId="75" xfId="1" applyNumberFormat="1" applyFont="1" applyFill="1" applyBorder="1" applyAlignment="1" applyProtection="1">
      <alignment horizontal="center"/>
      <protection locked="0"/>
    </xf>
    <xf numFmtId="0" fontId="9" fillId="0" borderId="74" xfId="0" applyFont="1" applyFill="1" applyBorder="1"/>
    <xf numFmtId="3" fontId="9" fillId="0" borderId="75" xfId="0" applyNumberFormat="1" applyFont="1" applyFill="1" applyBorder="1" applyAlignment="1">
      <alignment horizontal="right"/>
    </xf>
    <xf numFmtId="3" fontId="9" fillId="0" borderId="75" xfId="0" applyNumberFormat="1" applyFont="1" applyFill="1" applyBorder="1"/>
    <xf numFmtId="0" fontId="9" fillId="0" borderId="8" xfId="12" applyFont="1" applyFill="1" applyBorder="1" applyAlignment="1">
      <alignment vertical="center"/>
    </xf>
    <xf numFmtId="4" fontId="9" fillId="0" borderId="8" xfId="1" applyNumberFormat="1" applyFont="1" applyFill="1" applyBorder="1" applyAlignment="1">
      <alignment horizontal="center" vertical="center"/>
    </xf>
    <xf numFmtId="4" fontId="9" fillId="0" borderId="43" xfId="1" applyNumberFormat="1" applyFont="1" applyFill="1" applyBorder="1" applyAlignment="1" applyProtection="1">
      <alignment horizontal="center"/>
      <protection locked="0"/>
    </xf>
    <xf numFmtId="3" fontId="9" fillId="0" borderId="8" xfId="1" applyNumberFormat="1" applyFont="1" applyFill="1" applyBorder="1" applyAlignment="1">
      <alignment horizontal="center" vertical="center"/>
    </xf>
    <xf numFmtId="3" fontId="9" fillId="0" borderId="43" xfId="1" applyNumberFormat="1" applyFont="1" applyFill="1" applyBorder="1" applyAlignment="1" applyProtection="1">
      <alignment horizontal="center"/>
      <protection locked="0"/>
    </xf>
    <xf numFmtId="3" fontId="9" fillId="0" borderId="7" xfId="1" applyNumberFormat="1" applyFont="1" applyFill="1" applyBorder="1" applyAlignment="1" applyProtection="1">
      <alignment horizontal="center"/>
      <protection hidden="1"/>
    </xf>
    <xf numFmtId="166" fontId="9" fillId="0" borderId="7" xfId="1" applyFont="1" applyBorder="1" applyAlignment="1">
      <alignment horizontal="right"/>
    </xf>
    <xf numFmtId="0" fontId="10" fillId="7" borderId="8" xfId="12" applyFont="1" applyFill="1" applyBorder="1" applyAlignment="1">
      <alignment vertical="center"/>
    </xf>
    <xf numFmtId="171" fontId="10" fillId="7" borderId="11" xfId="12" applyNumberFormat="1" applyFont="1" applyFill="1" applyBorder="1" applyAlignment="1">
      <alignment vertical="center"/>
    </xf>
    <xf numFmtId="1" fontId="9" fillId="7" borderId="9" xfId="1" applyNumberFormat="1" applyFont="1" applyFill="1" applyBorder="1" applyAlignment="1">
      <alignment horizontal="center" vertical="center"/>
    </xf>
    <xf numFmtId="166" fontId="9" fillId="7" borderId="11" xfId="1" applyFont="1" applyFill="1" applyBorder="1" applyAlignment="1">
      <alignment horizontal="center" vertical="center"/>
    </xf>
    <xf numFmtId="166" fontId="9" fillId="7" borderId="42" xfId="1" applyFont="1" applyFill="1" applyBorder="1" applyAlignment="1">
      <alignment horizontal="center" vertical="center"/>
    </xf>
    <xf numFmtId="166" fontId="9" fillId="7" borderId="43" xfId="1" applyFont="1" applyFill="1" applyBorder="1" applyAlignment="1">
      <alignment horizontal="center" vertical="center"/>
    </xf>
    <xf numFmtId="167" fontId="9" fillId="8" borderId="16" xfId="1" applyNumberFormat="1" applyFont="1" applyFill="1" applyBorder="1" applyAlignment="1">
      <alignment vertical="center"/>
    </xf>
    <xf numFmtId="168" fontId="12" fillId="7" borderId="19" xfId="1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1" fontId="9" fillId="0" borderId="64" xfId="1" applyNumberFormat="1" applyFont="1" applyFill="1" applyBorder="1" applyAlignment="1">
      <alignment horizontal="center" vertical="center"/>
    </xf>
    <xf numFmtId="166" fontId="9" fillId="7" borderId="74" xfId="1" applyFont="1" applyFill="1" applyBorder="1" applyAlignment="1">
      <alignment horizontal="center" vertical="center"/>
    </xf>
    <xf numFmtId="166" fontId="9" fillId="7" borderId="72" xfId="1" applyFont="1" applyFill="1" applyBorder="1" applyAlignment="1">
      <alignment horizontal="center" vertical="center"/>
    </xf>
    <xf numFmtId="166" fontId="9" fillId="7" borderId="64" xfId="1" applyFont="1" applyFill="1" applyBorder="1" applyAlignment="1">
      <alignment horizontal="center" vertical="center"/>
    </xf>
    <xf numFmtId="166" fontId="17" fillId="7" borderId="64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8" borderId="19" xfId="8" applyNumberFormat="1" applyFont="1" applyFill="1" applyBorder="1" applyAlignment="1">
      <alignment horizontal="centerContinuous"/>
    </xf>
    <xf numFmtId="43" fontId="10" fillId="8" borderId="19" xfId="9" applyFont="1" applyFill="1" applyBorder="1"/>
    <xf numFmtId="0" fontId="10" fillId="8" borderId="19" xfId="8" applyFont="1" applyFill="1" applyBorder="1" applyAlignment="1">
      <alignment horizontal="center"/>
    </xf>
    <xf numFmtId="166" fontId="10" fillId="8" borderId="88" xfId="1" applyFont="1" applyFill="1" applyBorder="1"/>
    <xf numFmtId="166" fontId="10" fillId="8" borderId="89" xfId="1" applyFont="1" applyFill="1" applyBorder="1"/>
    <xf numFmtId="0" fontId="9" fillId="7" borderId="74" xfId="0" applyFont="1" applyFill="1" applyBorder="1" applyAlignment="1">
      <alignment horizontal="left" vertical="center"/>
    </xf>
    <xf numFmtId="0" fontId="9" fillId="7" borderId="7" xfId="0" applyNumberFormat="1" applyFont="1" applyFill="1" applyBorder="1" applyAlignment="1">
      <alignment horizontal="center" vertical="center"/>
    </xf>
    <xf numFmtId="166" fontId="9" fillId="7" borderId="23" xfId="1" applyFont="1" applyFill="1" applyBorder="1" applyAlignment="1">
      <alignment horizontal="center" vertical="center"/>
    </xf>
    <xf numFmtId="166" fontId="9" fillId="7" borderId="84" xfId="1" applyFont="1" applyFill="1" applyBorder="1" applyAlignment="1">
      <alignment horizontal="center" vertical="center"/>
    </xf>
    <xf numFmtId="166" fontId="9" fillId="7" borderId="86" xfId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vertical="center"/>
    </xf>
    <xf numFmtId="168" fontId="12" fillId="2" borderId="56" xfId="1" applyNumberFormat="1" applyFont="1" applyFill="1" applyBorder="1" applyAlignment="1">
      <alignment horizontal="left" vertical="center"/>
    </xf>
    <xf numFmtId="168" fontId="45" fillId="0" borderId="55" xfId="15" applyNumberFormat="1" applyFont="1" applyFill="1" applyBorder="1" applyAlignment="1">
      <alignment horizontal="left" vertical="center"/>
    </xf>
    <xf numFmtId="166" fontId="9" fillId="0" borderId="20" xfId="1" applyFont="1" applyFill="1" applyBorder="1" applyAlignment="1">
      <alignment horizontal="left" vertical="center"/>
    </xf>
    <xf numFmtId="166" fontId="9" fillId="0" borderId="8" xfId="1" applyFont="1" applyFill="1" applyBorder="1" applyAlignment="1">
      <alignment horizontal="left" vertical="center"/>
    </xf>
    <xf numFmtId="166" fontId="9" fillId="0" borderId="9" xfId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2" borderId="7" xfId="8" applyNumberFormat="1" applyFont="1" applyFill="1" applyBorder="1" applyAlignment="1">
      <alignment horizontal="center" vertical="center"/>
    </xf>
    <xf numFmtId="171" fontId="9" fillId="2" borderId="20" xfId="8" applyNumberFormat="1" applyFont="1" applyFill="1" applyBorder="1" applyAlignment="1">
      <alignment horizontal="left" vertical="center"/>
    </xf>
    <xf numFmtId="166" fontId="9" fillId="0" borderId="4" xfId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70" fontId="9" fillId="2" borderId="26" xfId="8" applyNumberFormat="1" applyFont="1" applyFill="1" applyBorder="1" applyAlignment="1">
      <alignment horizontal="right" vertical="center"/>
    </xf>
    <xf numFmtId="166" fontId="9" fillId="0" borderId="0" xfId="1" applyFont="1" applyFill="1" applyBorder="1" applyAlignment="1">
      <alignment horizontal="left"/>
    </xf>
    <xf numFmtId="166" fontId="9" fillId="0" borderId="47" xfId="1" applyFont="1" applyFill="1" applyBorder="1" applyAlignment="1">
      <alignment horizontal="left"/>
    </xf>
    <xf numFmtId="168" fontId="9" fillId="2" borderId="47" xfId="15" applyNumberFormat="1" applyFont="1" applyFill="1" applyBorder="1" applyAlignment="1">
      <alignment horizontal="center" vertical="center"/>
    </xf>
    <xf numFmtId="166" fontId="9" fillId="2" borderId="52" xfId="1" applyFont="1" applyFill="1" applyBorder="1" applyAlignment="1">
      <alignment horizontal="center" vertical="center"/>
    </xf>
    <xf numFmtId="170" fontId="10" fillId="2" borderId="10" xfId="0" applyNumberFormat="1" applyFont="1" applyFill="1" applyBorder="1" applyAlignment="1">
      <alignment horizontal="center" vertical="center"/>
    </xf>
    <xf numFmtId="166" fontId="9" fillId="0" borderId="72" xfId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168" fontId="23" fillId="0" borderId="0" xfId="17" applyNumberFormat="1" applyFont="1"/>
    <xf numFmtId="168" fontId="23" fillId="0" borderId="0" xfId="17" quotePrefix="1" applyNumberFormat="1" applyFont="1" applyAlignment="1">
      <alignment horizontal="left"/>
    </xf>
    <xf numFmtId="168" fontId="43" fillId="0" borderId="0" xfId="17" applyNumberFormat="1" applyFont="1" applyAlignment="1">
      <alignment horizontal="right"/>
    </xf>
    <xf numFmtId="0" fontId="23" fillId="0" borderId="0" xfId="3" applyFont="1"/>
    <xf numFmtId="0" fontId="23" fillId="0" borderId="11" xfId="3" applyFont="1" applyFill="1" applyBorder="1" applyAlignment="1">
      <alignment horizontal="left"/>
    </xf>
    <xf numFmtId="168" fontId="23" fillId="7" borderId="11" xfId="17" applyNumberFormat="1" applyFont="1" applyFill="1" applyBorder="1"/>
    <xf numFmtId="168" fontId="23" fillId="7" borderId="8" xfId="17" applyNumberFormat="1" applyFont="1" applyFill="1" applyBorder="1"/>
    <xf numFmtId="168" fontId="23" fillId="7" borderId="8" xfId="17" applyNumberFormat="1" applyFont="1" applyFill="1" applyBorder="1" applyAlignment="1">
      <alignment horizontal="left"/>
    </xf>
    <xf numFmtId="168" fontId="23" fillId="9" borderId="8" xfId="17" applyNumberFormat="1" applyFont="1" applyFill="1" applyBorder="1"/>
    <xf numFmtId="168" fontId="23" fillId="9" borderId="0" xfId="17" applyNumberFormat="1" applyFont="1" applyFill="1"/>
    <xf numFmtId="168" fontId="43" fillId="9" borderId="0" xfId="17" applyNumberFormat="1" applyFont="1" applyFill="1" applyAlignment="1">
      <alignment horizontal="right"/>
    </xf>
    <xf numFmtId="168" fontId="43" fillId="0" borderId="24" xfId="17" applyNumberFormat="1" applyFont="1" applyFill="1" applyBorder="1" applyAlignment="1">
      <alignment horizontal="center" vertical="center"/>
    </xf>
    <xf numFmtId="0" fontId="43" fillId="0" borderId="37" xfId="3" applyFont="1" applyFill="1" applyBorder="1" applyAlignment="1">
      <alignment horizontal="center" vertical="center"/>
    </xf>
    <xf numFmtId="0" fontId="43" fillId="0" borderId="63" xfId="3" applyFont="1" applyFill="1" applyBorder="1" applyAlignment="1">
      <alignment horizontal="center" vertical="center"/>
    </xf>
    <xf numFmtId="0" fontId="43" fillId="0" borderId="45" xfId="0" applyFont="1" applyBorder="1" applyAlignment="1"/>
    <xf numFmtId="0" fontId="43" fillId="0" borderId="11" xfId="0" applyFont="1" applyBorder="1" applyAlignment="1"/>
    <xf numFmtId="168" fontId="43" fillId="0" borderId="63" xfId="17" applyNumberFormat="1" applyFont="1" applyFill="1" applyBorder="1" applyAlignment="1">
      <alignment horizontal="center" vertical="center"/>
    </xf>
    <xf numFmtId="168" fontId="43" fillId="0" borderId="10" xfId="17" applyNumberFormat="1" applyFont="1" applyFill="1" applyBorder="1" applyAlignment="1">
      <alignment horizontal="center"/>
    </xf>
    <xf numFmtId="168" fontId="23" fillId="0" borderId="32" xfId="17" applyNumberFormat="1" applyFont="1" applyFill="1" applyBorder="1" applyAlignment="1">
      <alignment horizontal="left"/>
    </xf>
    <xf numFmtId="168" fontId="23" fillId="0" borderId="13" xfId="17" applyNumberFormat="1" applyFont="1" applyFill="1" applyBorder="1" applyAlignment="1">
      <alignment horizontal="left"/>
    </xf>
    <xf numFmtId="43" fontId="23" fillId="0" borderId="10" xfId="2" applyFont="1" applyFill="1" applyBorder="1"/>
    <xf numFmtId="168" fontId="23" fillId="0" borderId="10" xfId="17" applyNumberFormat="1" applyFont="1" applyFill="1" applyBorder="1"/>
    <xf numFmtId="43" fontId="23" fillId="0" borderId="7" xfId="2" applyFont="1" applyFill="1" applyBorder="1"/>
    <xf numFmtId="168" fontId="23" fillId="0" borderId="7" xfId="17" applyNumberFormat="1" applyFont="1" applyFill="1" applyBorder="1"/>
    <xf numFmtId="168" fontId="43" fillId="0" borderId="7" xfId="17" applyNumberFormat="1" applyFont="1" applyFill="1" applyBorder="1" applyAlignment="1">
      <alignment horizontal="center"/>
    </xf>
    <xf numFmtId="0" fontId="43" fillId="0" borderId="10" xfId="3" applyFont="1" applyFill="1" applyBorder="1" applyAlignment="1">
      <alignment horizontal="center" vertical="center"/>
    </xf>
    <xf numFmtId="166" fontId="43" fillId="0" borderId="32" xfId="1" applyFont="1" applyBorder="1" applyAlignment="1">
      <alignment vertical="center"/>
    </xf>
    <xf numFmtId="166" fontId="43" fillId="0" borderId="11" xfId="1" applyFont="1" applyBorder="1" applyAlignment="1">
      <alignment vertical="center"/>
    </xf>
    <xf numFmtId="168" fontId="23" fillId="0" borderId="7" xfId="17" applyNumberFormat="1" applyFont="1" applyFill="1" applyBorder="1" applyAlignment="1"/>
    <xf numFmtId="166" fontId="23" fillId="0" borderId="20" xfId="1" applyFont="1" applyBorder="1" applyAlignment="1">
      <alignment vertical="center"/>
    </xf>
    <xf numFmtId="166" fontId="23" fillId="0" borderId="8" xfId="1" applyFont="1" applyBorder="1" applyAlignment="1">
      <alignment vertical="center"/>
    </xf>
    <xf numFmtId="168" fontId="23" fillId="0" borderId="20" xfId="17" applyNumberFormat="1" applyFont="1" applyFill="1" applyBorder="1" applyAlignment="1">
      <alignment horizontal="left"/>
    </xf>
    <xf numFmtId="168" fontId="23" fillId="0" borderId="9" xfId="17" applyNumberFormat="1" applyFont="1" applyFill="1" applyBorder="1" applyAlignment="1">
      <alignment horizontal="left"/>
    </xf>
    <xf numFmtId="166" fontId="43" fillId="0" borderId="52" xfId="1" applyFont="1" applyFill="1" applyBorder="1" applyAlignment="1">
      <alignment horizontal="left"/>
    </xf>
    <xf numFmtId="166" fontId="43" fillId="0" borderId="47" xfId="1" applyFont="1" applyFill="1" applyBorder="1" applyAlignment="1">
      <alignment horizontal="left"/>
    </xf>
    <xf numFmtId="43" fontId="23" fillId="0" borderId="26" xfId="2" applyFont="1" applyFill="1" applyBorder="1"/>
    <xf numFmtId="168" fontId="23" fillId="0" borderId="26" xfId="17" applyNumberFormat="1" applyFont="1" applyFill="1" applyBorder="1"/>
    <xf numFmtId="168" fontId="23" fillId="0" borderId="23" xfId="17" applyNumberFormat="1" applyFont="1" applyFill="1" applyBorder="1"/>
    <xf numFmtId="168" fontId="23" fillId="0" borderId="80" xfId="17" applyNumberFormat="1" applyFont="1" applyFill="1" applyBorder="1" applyAlignment="1">
      <alignment horizontal="center"/>
    </xf>
    <xf numFmtId="168" fontId="23" fillId="0" borderId="25" xfId="17" applyNumberFormat="1" applyFont="1" applyFill="1" applyBorder="1" applyAlignment="1">
      <alignment horizontal="center"/>
    </xf>
    <xf numFmtId="168" fontId="43" fillId="0" borderId="34" xfId="17" applyNumberFormat="1" applyFont="1" applyFill="1" applyBorder="1" applyAlignment="1">
      <alignment horizontal="center"/>
    </xf>
    <xf numFmtId="168" fontId="43" fillId="0" borderId="24" xfId="17" applyNumberFormat="1" applyFont="1" applyFill="1" applyBorder="1" applyAlignment="1">
      <alignment horizontal="center"/>
    </xf>
    <xf numFmtId="43" fontId="43" fillId="0" borderId="19" xfId="2" applyFont="1" applyFill="1" applyBorder="1"/>
    <xf numFmtId="168" fontId="43" fillId="0" borderId="19" xfId="17" applyNumberFormat="1" applyFont="1" applyFill="1" applyBorder="1"/>
    <xf numFmtId="168" fontId="23" fillId="7" borderId="0" xfId="17" applyNumberFormat="1" applyFont="1" applyFill="1" applyBorder="1"/>
    <xf numFmtId="0" fontId="23" fillId="0" borderId="0" xfId="3" applyFont="1" applyBorder="1"/>
    <xf numFmtId="168" fontId="43" fillId="0" borderId="52" xfId="17" applyNumberFormat="1" applyFont="1" applyFill="1" applyBorder="1" applyAlignment="1">
      <alignment horizontal="center"/>
    </xf>
    <xf numFmtId="168" fontId="43" fillId="0" borderId="47" xfId="17" applyNumberFormat="1" applyFont="1" applyFill="1" applyBorder="1" applyAlignment="1">
      <alignment horizontal="center"/>
    </xf>
    <xf numFmtId="43" fontId="43" fillId="0" borderId="108" xfId="2" applyFont="1" applyFill="1" applyBorder="1"/>
    <xf numFmtId="168" fontId="43" fillId="0" borderId="30" xfId="17" applyNumberFormat="1" applyFont="1" applyFill="1" applyBorder="1" applyAlignment="1">
      <alignment horizontal="center"/>
    </xf>
    <xf numFmtId="168" fontId="43" fillId="0" borderId="35" xfId="17" quotePrefix="1" applyNumberFormat="1" applyFont="1" applyFill="1" applyBorder="1" applyAlignment="1">
      <alignment vertical="top"/>
    </xf>
    <xf numFmtId="168" fontId="43" fillId="0" borderId="36" xfId="17" quotePrefix="1" applyNumberFormat="1" applyFont="1" applyFill="1" applyBorder="1" applyAlignment="1">
      <alignment vertical="top"/>
    </xf>
    <xf numFmtId="168" fontId="43" fillId="0" borderId="37" xfId="17" quotePrefix="1" applyNumberFormat="1" applyFont="1" applyFill="1" applyBorder="1" applyAlignment="1">
      <alignment vertical="top"/>
    </xf>
    <xf numFmtId="168" fontId="23" fillId="0" borderId="0" xfId="17" applyNumberFormat="1" applyFont="1" applyBorder="1"/>
    <xf numFmtId="168" fontId="23" fillId="0" borderId="0" xfId="17" quotePrefix="1" applyNumberFormat="1" applyFont="1" applyBorder="1" applyAlignment="1">
      <alignment horizontal="left"/>
    </xf>
    <xf numFmtId="168" fontId="43" fillId="0" borderId="0" xfId="17" quotePrefix="1" applyNumberFormat="1" applyFont="1" applyBorder="1" applyAlignment="1">
      <alignment horizontal="left"/>
    </xf>
    <xf numFmtId="168" fontId="43" fillId="0" borderId="0" xfId="17" quotePrefix="1" applyNumberFormat="1" applyFont="1" applyBorder="1" applyAlignment="1">
      <alignment horizontal="right"/>
    </xf>
    <xf numFmtId="43" fontId="43" fillId="0" borderId="0" xfId="17" applyNumberFormat="1" applyFont="1" applyBorder="1" applyAlignment="1">
      <alignment horizontal="left"/>
    </xf>
    <xf numFmtId="168" fontId="43" fillId="0" borderId="0" xfId="17" applyNumberFormat="1" applyFont="1" applyBorder="1"/>
    <xf numFmtId="168" fontId="49" fillId="7" borderId="0" xfId="17" applyNumberFormat="1" applyFont="1" applyFill="1" applyBorder="1" applyAlignment="1">
      <alignment vertical="center"/>
    </xf>
    <xf numFmtId="168" fontId="23" fillId="0" borderId="0" xfId="17" quotePrefix="1" applyNumberFormat="1" applyFont="1" applyBorder="1" applyAlignment="1">
      <alignment horizontal="left" vertical="center"/>
    </xf>
    <xf numFmtId="168" fontId="23" fillId="7" borderId="0" xfId="17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68" fontId="23" fillId="0" borderId="0" xfId="17" applyNumberFormat="1" applyFont="1" applyAlignment="1">
      <alignment vertical="center"/>
    </xf>
    <xf numFmtId="168" fontId="49" fillId="0" borderId="0" xfId="17" applyNumberFormat="1" applyFont="1" applyAlignment="1">
      <alignment vertical="center"/>
    </xf>
    <xf numFmtId="168" fontId="49" fillId="7" borderId="0" xfId="17" quotePrefix="1" applyNumberFormat="1" applyFont="1" applyFill="1" applyBorder="1" applyAlignment="1">
      <alignment horizontal="left" vertical="center"/>
    </xf>
    <xf numFmtId="168" fontId="49" fillId="7" borderId="0" xfId="17" quotePrefix="1" applyNumberFormat="1" applyFont="1" applyFill="1" applyBorder="1" applyAlignment="1">
      <alignment horizontal="center" vertical="center"/>
    </xf>
    <xf numFmtId="168" fontId="50" fillId="7" borderId="0" xfId="17" quotePrefix="1" applyNumberFormat="1" applyFont="1" applyFill="1" applyBorder="1" applyAlignment="1">
      <alignment vertical="center"/>
    </xf>
    <xf numFmtId="168" fontId="49" fillId="0" borderId="0" xfId="17" applyNumberFormat="1" applyFont="1" applyAlignment="1">
      <alignment horizontal="left" vertical="center"/>
    </xf>
    <xf numFmtId="0" fontId="48" fillId="0" borderId="0" xfId="0" applyFont="1"/>
    <xf numFmtId="0" fontId="23" fillId="0" borderId="0" xfId="0" applyFont="1"/>
    <xf numFmtId="0" fontId="48" fillId="0" borderId="0" xfId="0" applyFont="1" applyAlignment="1"/>
    <xf numFmtId="0" fontId="51" fillId="0" borderId="0" xfId="0" applyFont="1" applyAlignment="1"/>
    <xf numFmtId="0" fontId="51" fillId="0" borderId="0" xfId="0" applyFont="1" applyAlignment="1">
      <alignment horizontal="left"/>
    </xf>
    <xf numFmtId="0" fontId="48" fillId="0" borderId="36" xfId="0" applyFont="1" applyBorder="1"/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3" fillId="0" borderId="32" xfId="0" applyFont="1" applyBorder="1" applyAlignment="1"/>
    <xf numFmtId="0" fontId="43" fillId="0" borderId="33" xfId="0" applyFont="1" applyBorder="1" applyAlignment="1"/>
    <xf numFmtId="0" fontId="23" fillId="0" borderId="6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166" fontId="23" fillId="0" borderId="10" xfId="1" applyNumberFormat="1" applyFont="1" applyBorder="1"/>
    <xf numFmtId="166" fontId="23" fillId="0" borderId="10" xfId="1" applyFont="1" applyBorder="1"/>
    <xf numFmtId="166" fontId="23" fillId="0" borderId="0" xfId="0" applyNumberFormat="1" applyFont="1"/>
    <xf numFmtId="0" fontId="23" fillId="0" borderId="7" xfId="0" applyFont="1" applyBorder="1" applyAlignment="1">
      <alignment horizontal="right"/>
    </xf>
    <xf numFmtId="166" fontId="23" fillId="0" borderId="8" xfId="1" applyFont="1" applyBorder="1" applyAlignment="1">
      <alignment horizontal="left" vertical="center"/>
    </xf>
    <xf numFmtId="166" fontId="23" fillId="0" borderId="10" xfId="1" applyFont="1" applyBorder="1" applyAlignment="1">
      <alignment horizontal="center" vertical="center"/>
    </xf>
    <xf numFmtId="166" fontId="23" fillId="0" borderId="7" xfId="1" applyFont="1" applyBorder="1"/>
    <xf numFmtId="0" fontId="43" fillId="0" borderId="7" xfId="0" applyFont="1" applyBorder="1" applyAlignment="1">
      <alignment horizontal="center"/>
    </xf>
    <xf numFmtId="166" fontId="23" fillId="0" borderId="7" xfId="1" applyNumberFormat="1" applyFont="1" applyBorder="1"/>
    <xf numFmtId="166" fontId="23" fillId="0" borderId="10" xfId="0" applyNumberFormat="1" applyFont="1" applyBorder="1" applyAlignment="1">
      <alignment vertical="center"/>
    </xf>
    <xf numFmtId="0" fontId="43" fillId="0" borderId="26" xfId="0" applyFont="1" applyBorder="1" applyAlignment="1">
      <alignment horizontal="center"/>
    </xf>
    <xf numFmtId="166" fontId="23" fillId="0" borderId="9" xfId="1" applyFont="1" applyBorder="1" applyAlignment="1">
      <alignment vertical="center"/>
    </xf>
    <xf numFmtId="166" fontId="23" fillId="0" borderId="26" xfId="1" applyFont="1" applyBorder="1"/>
    <xf numFmtId="166" fontId="23" fillId="0" borderId="0" xfId="1" applyFont="1" applyBorder="1" applyAlignment="1">
      <alignment vertical="center"/>
    </xf>
    <xf numFmtId="0" fontId="43" fillId="0" borderId="55" xfId="0" applyFont="1" applyBorder="1" applyAlignment="1">
      <alignment horizontal="center"/>
    </xf>
    <xf numFmtId="166" fontId="23" fillId="0" borderId="55" xfId="1" applyFont="1" applyBorder="1"/>
    <xf numFmtId="166" fontId="43" fillId="0" borderId="55" xfId="1" applyFont="1" applyBorder="1"/>
    <xf numFmtId="0" fontId="43" fillId="0" borderId="66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166" fontId="23" fillId="0" borderId="51" xfId="1" applyFont="1" applyBorder="1"/>
    <xf numFmtId="166" fontId="43" fillId="0" borderId="66" xfId="1" applyFont="1" applyBorder="1"/>
    <xf numFmtId="0" fontId="43" fillId="0" borderId="65" xfId="0" applyFont="1" applyBorder="1" applyAlignment="1">
      <alignment horizontal="center"/>
    </xf>
    <xf numFmtId="0" fontId="23" fillId="0" borderId="4" xfId="0" applyFont="1" applyBorder="1" applyAlignment="1"/>
    <xf numFmtId="0" fontId="23" fillId="0" borderId="6" xfId="0" applyFont="1" applyBorder="1" applyAlignment="1"/>
    <xf numFmtId="166" fontId="23" fillId="0" borderId="65" xfId="1" applyFont="1" applyBorder="1"/>
    <xf numFmtId="166" fontId="23" fillId="0" borderId="6" xfId="1" applyFont="1" applyBorder="1"/>
    <xf numFmtId="0" fontId="23" fillId="0" borderId="20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166" fontId="23" fillId="0" borderId="9" xfId="1" applyFont="1" applyBorder="1"/>
    <xf numFmtId="0" fontId="23" fillId="0" borderId="52" xfId="0" applyFont="1" applyBorder="1" applyAlignment="1"/>
    <xf numFmtId="0" fontId="23" fillId="0" borderId="47" xfId="0" applyFont="1" applyBorder="1" applyAlignment="1"/>
    <xf numFmtId="0" fontId="23" fillId="0" borderId="7" xfId="0" applyFont="1" applyBorder="1"/>
    <xf numFmtId="0" fontId="23" fillId="0" borderId="20" xfId="0" applyFont="1" applyBorder="1" applyAlignment="1"/>
    <xf numFmtId="0" fontId="23" fillId="0" borderId="9" xfId="0" applyFont="1" applyBorder="1" applyAlignment="1"/>
    <xf numFmtId="166" fontId="43" fillId="0" borderId="7" xfId="1" applyFont="1" applyBorder="1"/>
    <xf numFmtId="0" fontId="23" fillId="0" borderId="23" xfId="0" applyFont="1" applyBorder="1"/>
    <xf numFmtId="0" fontId="23" fillId="0" borderId="80" xfId="0" applyFont="1" applyBorder="1" applyAlignment="1"/>
    <xf numFmtId="0" fontId="23" fillId="0" borderId="25" xfId="0" applyFont="1" applyBorder="1" applyAlignment="1"/>
    <xf numFmtId="166" fontId="23" fillId="0" borderId="25" xfId="1" applyFont="1" applyBorder="1"/>
    <xf numFmtId="166" fontId="43" fillId="0" borderId="23" xfId="1" applyFont="1" applyBorder="1"/>
    <xf numFmtId="0" fontId="23" fillId="0" borderId="0" xfId="0" applyFont="1" applyBorder="1"/>
    <xf numFmtId="0" fontId="23" fillId="0" borderId="0" xfId="0" applyFont="1" applyBorder="1" applyAlignment="1"/>
    <xf numFmtId="166" fontId="43" fillId="0" borderId="30" xfId="1" applyFont="1" applyBorder="1"/>
    <xf numFmtId="0" fontId="43" fillId="0" borderId="0" xfId="0" applyFont="1" applyBorder="1" applyAlignment="1">
      <alignment horizontal="center"/>
    </xf>
    <xf numFmtId="166" fontId="43" fillId="0" borderId="0" xfId="1" applyFont="1" applyBorder="1"/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166" fontId="43" fillId="0" borderId="9" xfId="1" applyFont="1" applyBorder="1" applyAlignment="1"/>
    <xf numFmtId="0" fontId="23" fillId="0" borderId="7" xfId="0" applyFont="1" applyBorder="1" applyAlignment="1">
      <alignment horizontal="center"/>
    </xf>
    <xf numFmtId="172" fontId="23" fillId="0" borderId="7" xfId="1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166" fontId="23" fillId="0" borderId="26" xfId="1" applyNumberFormat="1" applyFont="1" applyBorder="1"/>
    <xf numFmtId="172" fontId="23" fillId="0" borderId="26" xfId="1" applyNumberFormat="1" applyFont="1" applyBorder="1" applyAlignment="1">
      <alignment horizontal="center"/>
    </xf>
    <xf numFmtId="166" fontId="43" fillId="0" borderId="0" xfId="1" applyFont="1" applyBorder="1" applyAlignment="1">
      <alignment horizontal="center"/>
    </xf>
    <xf numFmtId="0" fontId="0" fillId="5" borderId="0" xfId="0" applyFont="1" applyFill="1"/>
    <xf numFmtId="0" fontId="9" fillId="0" borderId="84" xfId="0" applyFont="1" applyBorder="1"/>
    <xf numFmtId="3" fontId="9" fillId="0" borderId="25" xfId="0" applyNumberFormat="1" applyFont="1" applyBorder="1" applyAlignment="1">
      <alignment horizontal="center"/>
    </xf>
    <xf numFmtId="166" fontId="9" fillId="7" borderId="65" xfId="1" applyFont="1" applyFill="1" applyBorder="1" applyAlignment="1">
      <alignment horizontal="right" vertical="center"/>
    </xf>
    <xf numFmtId="0" fontId="9" fillId="0" borderId="65" xfId="0" applyFont="1" applyBorder="1"/>
    <xf numFmtId="0" fontId="0" fillId="0" borderId="65" xfId="0" applyFont="1" applyBorder="1"/>
    <xf numFmtId="166" fontId="9" fillId="0" borderId="69" xfId="1" applyFont="1" applyFill="1" applyBorder="1" applyProtection="1">
      <protection locked="0"/>
    </xf>
    <xf numFmtId="166" fontId="9" fillId="7" borderId="70" xfId="1" applyFont="1" applyFill="1" applyBorder="1" applyAlignment="1">
      <alignment horizontal="right" vertical="center"/>
    </xf>
    <xf numFmtId="166" fontId="9" fillId="0" borderId="70" xfId="1" applyFont="1" applyFill="1" applyBorder="1" applyProtection="1">
      <protection hidden="1"/>
    </xf>
    <xf numFmtId="166" fontId="9" fillId="0" borderId="46" xfId="1" applyFont="1" applyFill="1" applyBorder="1" applyAlignment="1"/>
    <xf numFmtId="166" fontId="9" fillId="3" borderId="67" xfId="1" applyNumberFormat="1" applyFont="1" applyFill="1" applyBorder="1" applyAlignment="1">
      <alignment vertical="center"/>
    </xf>
    <xf numFmtId="168" fontId="12" fillId="2" borderId="67" xfId="1" applyNumberFormat="1" applyFont="1" applyFill="1" applyBorder="1" applyAlignment="1">
      <alignment horizontal="left" vertical="center"/>
    </xf>
    <xf numFmtId="3" fontId="9" fillId="0" borderId="23" xfId="1" applyNumberFormat="1" applyFont="1" applyFill="1" applyBorder="1" applyAlignment="1" applyProtection="1">
      <alignment horizontal="center"/>
      <protection locked="0"/>
    </xf>
    <xf numFmtId="166" fontId="9" fillId="7" borderId="23" xfId="1" applyFont="1" applyFill="1" applyBorder="1" applyAlignment="1">
      <alignment horizontal="right" vertical="center"/>
    </xf>
    <xf numFmtId="166" fontId="9" fillId="7" borderId="86" xfId="1" applyFont="1" applyFill="1" applyBorder="1" applyAlignment="1">
      <alignment horizontal="right" vertical="center"/>
    </xf>
    <xf numFmtId="166" fontId="9" fillId="0" borderId="86" xfId="1" applyFont="1" applyFill="1" applyBorder="1" applyProtection="1">
      <protection hidden="1"/>
    </xf>
    <xf numFmtId="0" fontId="0" fillId="0" borderId="23" xfId="0" applyFont="1" applyBorder="1"/>
    <xf numFmtId="168" fontId="23" fillId="0" borderId="10" xfId="17" applyNumberFormat="1" applyFont="1" applyFill="1" applyBorder="1" applyAlignment="1"/>
    <xf numFmtId="164" fontId="0" fillId="0" borderId="8" xfId="17" applyFont="1" applyBorder="1" applyAlignment="1">
      <alignment vertical="center"/>
    </xf>
    <xf numFmtId="174" fontId="9" fillId="2" borderId="23" xfId="1" applyNumberFormat="1" applyFont="1" applyFill="1" applyBorder="1" applyAlignment="1">
      <alignment horizontal="center" vertical="center"/>
    </xf>
    <xf numFmtId="169" fontId="9" fillId="2" borderId="68" xfId="1" applyNumberFormat="1" applyFont="1" applyFill="1" applyBorder="1" applyAlignment="1">
      <alignment horizontal="center" vertical="center"/>
    </xf>
    <xf numFmtId="166" fontId="9" fillId="3" borderId="19" xfId="1" applyNumberFormat="1" applyFont="1" applyFill="1" applyBorder="1" applyAlignment="1">
      <alignment vertical="center"/>
    </xf>
    <xf numFmtId="169" fontId="9" fillId="2" borderId="10" xfId="1" applyNumberFormat="1" applyFont="1" applyFill="1" applyBorder="1" applyAlignment="1">
      <alignment horizontal="center" vertical="center"/>
    </xf>
    <xf numFmtId="3" fontId="9" fillId="2" borderId="10" xfId="1" applyNumberFormat="1" applyFont="1" applyFill="1" applyBorder="1" applyAlignment="1">
      <alignment horizontal="center" vertical="center"/>
    </xf>
    <xf numFmtId="43" fontId="9" fillId="0" borderId="23" xfId="9" applyFont="1" applyFill="1" applyBorder="1"/>
    <xf numFmtId="3" fontId="10" fillId="3" borderId="19" xfId="9" applyNumberFormat="1" applyFont="1" applyFill="1" applyBorder="1" applyAlignment="1">
      <alignment horizontal="center"/>
    </xf>
    <xf numFmtId="3" fontId="10" fillId="3" borderId="19" xfId="8" applyNumberFormat="1" applyFont="1" applyFill="1" applyBorder="1" applyAlignment="1">
      <alignment horizontal="center"/>
    </xf>
    <xf numFmtId="166" fontId="10" fillId="3" borderId="88" xfId="1" applyFont="1" applyFill="1" applyBorder="1" applyAlignment="1">
      <alignment horizontal="right"/>
    </xf>
    <xf numFmtId="166" fontId="9" fillId="3" borderId="44" xfId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67" fontId="52" fillId="0" borderId="0" xfId="0" applyNumberFormat="1" applyFont="1" applyAlignment="1">
      <alignment horizontal="center" vertical="center"/>
    </xf>
    <xf numFmtId="0" fontId="49" fillId="0" borderId="0" xfId="0" applyFont="1"/>
    <xf numFmtId="0" fontId="49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3" fillId="0" borderId="11" xfId="0" applyFont="1" applyFill="1" applyBorder="1"/>
    <xf numFmtId="0" fontId="49" fillId="0" borderId="8" xfId="0" applyFont="1" applyBorder="1" applyAlignment="1">
      <alignment vertical="center"/>
    </xf>
    <xf numFmtId="0" fontId="23" fillId="0" borderId="8" xfId="0" applyFont="1" applyBorder="1"/>
    <xf numFmtId="0" fontId="23" fillId="0" borderId="0" xfId="4" applyFont="1" applyFill="1" applyBorder="1" applyAlignment="1">
      <alignment horizontal="center" vertical="center"/>
    </xf>
    <xf numFmtId="166" fontId="23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6" fontId="23" fillId="0" borderId="0" xfId="1" applyFont="1" applyFill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/>
    </xf>
    <xf numFmtId="3" fontId="23" fillId="0" borderId="30" xfId="0" applyNumberFormat="1" applyFont="1" applyBorder="1" applyAlignment="1">
      <alignment horizontal="center" vertical="center"/>
    </xf>
    <xf numFmtId="0" fontId="54" fillId="0" borderId="0" xfId="0" applyFont="1"/>
    <xf numFmtId="0" fontId="23" fillId="0" borderId="8" xfId="0" quotePrefix="1" applyFont="1" applyBorder="1" applyAlignment="1">
      <alignment horizontal="left"/>
    </xf>
    <xf numFmtId="0" fontId="23" fillId="0" borderId="8" xfId="0" applyFont="1" applyBorder="1" applyAlignment="1"/>
    <xf numFmtId="173" fontId="23" fillId="0" borderId="7" xfId="1" applyNumberFormat="1" applyFont="1" applyBorder="1" applyAlignment="1">
      <alignment horizontal="center"/>
    </xf>
    <xf numFmtId="166" fontId="23" fillId="0" borderId="7" xfId="1" applyFont="1" applyBorder="1" applyAlignment="1">
      <alignment horizontal="center"/>
    </xf>
    <xf numFmtId="173" fontId="23" fillId="0" borderId="63" xfId="1" applyNumberFormat="1" applyFont="1" applyBorder="1" applyAlignment="1">
      <alignment horizontal="center"/>
    </xf>
    <xf numFmtId="166" fontId="49" fillId="0" borderId="9" xfId="1" applyFont="1" applyFill="1" applyBorder="1" applyAlignment="1">
      <alignment horizontal="center" vertical="center"/>
    </xf>
    <xf numFmtId="166" fontId="49" fillId="0" borderId="52" xfId="1" applyFont="1" applyBorder="1" applyAlignment="1">
      <alignment horizontal="center" vertical="center"/>
    </xf>
    <xf numFmtId="166" fontId="49" fillId="0" borderId="0" xfId="1" applyFont="1" applyBorder="1" applyAlignment="1">
      <alignment horizontal="center" vertical="center"/>
    </xf>
    <xf numFmtId="166" fontId="49" fillId="0" borderId="47" xfId="1" applyFont="1" applyFill="1" applyBorder="1" applyAlignment="1">
      <alignment horizontal="center" vertical="center"/>
    </xf>
    <xf numFmtId="166" fontId="49" fillId="0" borderId="65" xfId="1" applyFont="1" applyBorder="1" applyAlignment="1">
      <alignment horizontal="center" vertical="center"/>
    </xf>
    <xf numFmtId="166" fontId="49" fillId="0" borderId="69" xfId="1" applyFont="1" applyBorder="1" applyAlignment="1">
      <alignment horizontal="center" vertical="center"/>
    </xf>
    <xf numFmtId="166" fontId="49" fillId="0" borderId="70" xfId="1" applyFont="1" applyFill="1" applyBorder="1" applyAlignment="1">
      <alignment horizontal="center" vertical="center"/>
    </xf>
    <xf numFmtId="166" fontId="49" fillId="0" borderId="6" xfId="1" applyFont="1" applyFill="1" applyBorder="1" applyAlignment="1">
      <alignment horizontal="center" vertical="center"/>
    </xf>
    <xf numFmtId="0" fontId="43" fillId="0" borderId="9" xfId="0" applyFont="1" applyBorder="1" applyAlignment="1"/>
    <xf numFmtId="173" fontId="23" fillId="0" borderId="10" xfId="1" applyNumberFormat="1" applyFont="1" applyBorder="1" applyAlignment="1">
      <alignment horizontal="center"/>
    </xf>
    <xf numFmtId="166" fontId="23" fillId="0" borderId="10" xfId="1" applyFont="1" applyBorder="1" applyAlignment="1">
      <alignment horizontal="center"/>
    </xf>
    <xf numFmtId="166" fontId="49" fillId="0" borderId="10" xfId="1" applyFont="1" applyBorder="1" applyAlignment="1">
      <alignment horizontal="center" vertical="center"/>
    </xf>
    <xf numFmtId="166" fontId="49" fillId="0" borderId="68" xfId="1" applyFont="1" applyBorder="1" applyAlignment="1">
      <alignment horizontal="center" vertical="center"/>
    </xf>
    <xf numFmtId="166" fontId="49" fillId="0" borderId="43" xfId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/>
    <xf numFmtId="166" fontId="49" fillId="0" borderId="67" xfId="1" applyFont="1" applyBorder="1" applyAlignment="1">
      <alignment horizontal="center" vertical="center"/>
    </xf>
    <xf numFmtId="166" fontId="49" fillId="0" borderId="71" xfId="1" applyFont="1" applyBorder="1" applyAlignment="1">
      <alignment horizontal="center" vertical="center"/>
    </xf>
    <xf numFmtId="166" fontId="49" fillId="0" borderId="72" xfId="1" applyFont="1" applyFill="1" applyBorder="1" applyAlignment="1">
      <alignment horizontal="center" vertical="center"/>
    </xf>
    <xf numFmtId="166" fontId="49" fillId="0" borderId="64" xfId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73" fontId="52" fillId="0" borderId="10" xfId="0" applyNumberFormat="1" applyFont="1" applyBorder="1" applyAlignment="1">
      <alignment vertical="center"/>
    </xf>
    <xf numFmtId="173" fontId="49" fillId="0" borderId="10" xfId="1" applyNumberFormat="1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173" fontId="49" fillId="0" borderId="10" xfId="0" applyNumberFormat="1" applyFont="1" applyBorder="1" applyAlignment="1">
      <alignment vertical="center"/>
    </xf>
    <xf numFmtId="173" fontId="49" fillId="0" borderId="7" xfId="1" applyNumberFormat="1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7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9" xfId="0" applyFont="1" applyBorder="1" applyAlignment="1">
      <alignment vertical="center"/>
    </xf>
    <xf numFmtId="173" fontId="49" fillId="0" borderId="7" xfId="0" applyNumberFormat="1" applyFont="1" applyBorder="1" applyAlignment="1">
      <alignment vertical="center"/>
    </xf>
    <xf numFmtId="3" fontId="55" fillId="0" borderId="10" xfId="0" quotePrefix="1" applyNumberFormat="1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73" fontId="56" fillId="0" borderId="10" xfId="0" applyNumberFormat="1" applyFont="1" applyBorder="1" applyAlignment="1">
      <alignment vertical="center"/>
    </xf>
    <xf numFmtId="10" fontId="56" fillId="0" borderId="13" xfId="0" applyNumberFormat="1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0" fontId="49" fillId="0" borderId="12" xfId="0" applyNumberFormat="1" applyFont="1" applyBorder="1" applyAlignment="1">
      <alignment vertical="center"/>
    </xf>
    <xf numFmtId="173" fontId="49" fillId="0" borderId="23" xfId="0" applyNumberFormat="1" applyFont="1" applyBorder="1" applyAlignment="1">
      <alignment vertical="center"/>
    </xf>
    <xf numFmtId="10" fontId="49" fillId="0" borderId="25" xfId="0" applyNumberFormat="1" applyFont="1" applyBorder="1" applyAlignment="1">
      <alignment vertical="center"/>
    </xf>
    <xf numFmtId="173" fontId="49" fillId="0" borderId="22" xfId="0" applyNumberFormat="1" applyFont="1" applyBorder="1" applyAlignment="1">
      <alignment vertical="center"/>
    </xf>
    <xf numFmtId="3" fontId="49" fillId="0" borderId="22" xfId="0" applyNumberFormat="1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173" fontId="23" fillId="0" borderId="15" xfId="0" applyNumberFormat="1" applyFont="1" applyBorder="1" applyAlignment="1">
      <alignment horizontal="center"/>
    </xf>
    <xf numFmtId="3" fontId="23" fillId="0" borderId="4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43" fillId="0" borderId="8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53" fillId="0" borderId="8" xfId="0" applyFont="1" applyFill="1" applyBorder="1"/>
    <xf numFmtId="3" fontId="23" fillId="0" borderId="8" xfId="0" applyNumberFormat="1" applyFont="1" applyFill="1" applyBorder="1" applyAlignment="1">
      <alignment horizontal="left" vertical="center"/>
    </xf>
    <xf numFmtId="3" fontId="23" fillId="0" borderId="8" xfId="0" applyNumberFormat="1" applyFont="1" applyBorder="1" applyAlignment="1">
      <alignment vertical="center"/>
    </xf>
    <xf numFmtId="166" fontId="23" fillId="0" borderId="8" xfId="1" applyFont="1" applyFill="1" applyBorder="1" applyAlignment="1">
      <alignment vertical="center"/>
    </xf>
    <xf numFmtId="166" fontId="23" fillId="0" borderId="8" xfId="1" applyFont="1" applyFill="1" applyBorder="1" applyAlignment="1">
      <alignment horizontal="left" vertical="center"/>
    </xf>
    <xf numFmtId="3" fontId="23" fillId="0" borderId="8" xfId="0" applyNumberFormat="1" applyFont="1" applyBorder="1" applyAlignment="1">
      <alignment horizontal="left" vertical="center"/>
    </xf>
    <xf numFmtId="0" fontId="43" fillId="0" borderId="0" xfId="0" applyFont="1" applyAlignment="1"/>
    <xf numFmtId="0" fontId="43" fillId="0" borderId="0" xfId="0" applyFont="1" applyAlignment="1">
      <alignment horizontal="center"/>
    </xf>
    <xf numFmtId="167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11" xfId="0" applyFont="1" applyBorder="1" applyAlignment="1">
      <alignment horizontal="center"/>
    </xf>
    <xf numFmtId="3" fontId="23" fillId="0" borderId="11" xfId="0" applyNumberFormat="1" applyFont="1" applyBorder="1" applyAlignment="1"/>
    <xf numFmtId="3" fontId="23" fillId="0" borderId="0" xfId="0" applyNumberFormat="1" applyFont="1" applyBorder="1" applyAlignment="1"/>
    <xf numFmtId="0" fontId="23" fillId="0" borderId="8" xfId="0" applyFont="1" applyBorder="1" applyAlignment="1">
      <alignment horizontal="center"/>
    </xf>
    <xf numFmtId="3" fontId="23" fillId="0" borderId="8" xfId="0" applyNumberFormat="1" applyFont="1" applyBorder="1" applyAlignment="1"/>
    <xf numFmtId="0" fontId="43" fillId="0" borderId="8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8" xfId="0" applyFont="1" applyFill="1" applyBorder="1" applyAlignment="1"/>
    <xf numFmtId="0" fontId="43" fillId="0" borderId="8" xfId="0" applyFont="1" applyFill="1" applyBorder="1"/>
    <xf numFmtId="3" fontId="43" fillId="0" borderId="8" xfId="0" applyNumberFormat="1" applyFont="1" applyBorder="1" applyAlignment="1">
      <alignment horizontal="left"/>
    </xf>
    <xf numFmtId="3" fontId="43" fillId="0" borderId="0" xfId="0" applyNumberFormat="1" applyFont="1" applyBorder="1" applyAlignment="1">
      <alignment horizontal="left"/>
    </xf>
    <xf numFmtId="3" fontId="43" fillId="0" borderId="8" xfId="0" applyNumberFormat="1" applyFont="1" applyFill="1" applyBorder="1" applyAlignment="1">
      <alignment horizontal="left" vertical="center"/>
    </xf>
    <xf numFmtId="0" fontId="43" fillId="0" borderId="8" xfId="0" applyFont="1" applyBorder="1" applyAlignment="1"/>
    <xf numFmtId="0" fontId="23" fillId="0" borderId="8" xfId="0" applyFont="1" applyFill="1" applyBorder="1" applyAlignment="1"/>
    <xf numFmtId="49" fontId="23" fillId="0" borderId="8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43" fillId="0" borderId="26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66" fontId="23" fillId="0" borderId="7" xfId="1" applyFont="1" applyBorder="1" applyAlignment="1">
      <alignment vertical="center"/>
    </xf>
    <xf numFmtId="3" fontId="23" fillId="0" borderId="7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11" xfId="0" quotePrefix="1" applyFont="1" applyBorder="1" applyAlignment="1">
      <alignment horizontal="right" vertical="center"/>
    </xf>
    <xf numFmtId="166" fontId="23" fillId="0" borderId="10" xfId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166" fontId="23" fillId="0" borderId="0" xfId="1" applyFont="1" applyAlignment="1">
      <alignment vertical="center"/>
    </xf>
    <xf numFmtId="166" fontId="23" fillId="0" borderId="0" xfId="1" applyFont="1"/>
    <xf numFmtId="0" fontId="23" fillId="0" borderId="76" xfId="0" quotePrefix="1" applyFont="1" applyBorder="1" applyAlignment="1">
      <alignment horizontal="right" vertical="center"/>
    </xf>
    <xf numFmtId="0" fontId="23" fillId="0" borderId="77" xfId="0" applyFont="1" applyBorder="1" applyAlignment="1">
      <alignment vertical="center"/>
    </xf>
    <xf numFmtId="0" fontId="43" fillId="0" borderId="77" xfId="0" applyFont="1" applyBorder="1" applyAlignment="1">
      <alignment vertical="center"/>
    </xf>
    <xf numFmtId="166" fontId="23" fillId="0" borderId="78" xfId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66" fontId="23" fillId="0" borderId="10" xfId="1" applyNumberFormat="1" applyFont="1" applyBorder="1" applyAlignment="1">
      <alignment vertical="center"/>
    </xf>
    <xf numFmtId="0" fontId="23" fillId="0" borderId="75" xfId="0" applyFont="1" applyBorder="1" applyAlignment="1">
      <alignment horizontal="center" vertical="center"/>
    </xf>
    <xf numFmtId="0" fontId="23" fillId="0" borderId="73" xfId="0" quotePrefix="1" applyFont="1" applyBorder="1" applyAlignment="1">
      <alignment horizontal="right" vertical="center"/>
    </xf>
    <xf numFmtId="0" fontId="23" fillId="0" borderId="74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166" fontId="23" fillId="0" borderId="75" xfId="1" applyFont="1" applyBorder="1" applyAlignment="1">
      <alignment vertical="center"/>
    </xf>
    <xf numFmtId="3" fontId="43" fillId="0" borderId="10" xfId="0" quotePrefix="1" applyNumberFormat="1" applyFont="1" applyBorder="1" applyAlignment="1">
      <alignment vertical="center"/>
    </xf>
    <xf numFmtId="3" fontId="43" fillId="0" borderId="0" xfId="0" quotePrefix="1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74" xfId="0" quotePrefix="1" applyFont="1" applyBorder="1" applyAlignment="1">
      <alignment horizontal="right" vertical="center"/>
    </xf>
    <xf numFmtId="166" fontId="23" fillId="0" borderId="75" xfId="1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166" fontId="23" fillId="0" borderId="26" xfId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vertical="center"/>
    </xf>
    <xf numFmtId="173" fontId="23" fillId="0" borderId="55" xfId="0" applyNumberFormat="1" applyFont="1" applyBorder="1" applyAlignment="1">
      <alignment horizontal="center"/>
    </xf>
    <xf numFmtId="167" fontId="23" fillId="0" borderId="0" xfId="0" applyNumberFormat="1" applyFont="1" applyAlignment="1">
      <alignment horizontal="left" vertical="top"/>
    </xf>
    <xf numFmtId="0" fontId="23" fillId="0" borderId="11" xfId="0" applyFont="1" applyBorder="1" applyAlignment="1">
      <alignment horizontal="left" vertical="center"/>
    </xf>
    <xf numFmtId="3" fontId="23" fillId="0" borderId="11" xfId="0" applyNumberFormat="1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3" fontId="43" fillId="0" borderId="0" xfId="0" applyNumberFormat="1" applyFont="1" applyBorder="1" applyAlignment="1">
      <alignment horizontal="center"/>
    </xf>
    <xf numFmtId="0" fontId="43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3" fontId="43" fillId="0" borderId="7" xfId="0" applyNumberFormat="1" applyFont="1" applyBorder="1" applyAlignment="1">
      <alignment horizontal="center" vertical="center"/>
    </xf>
    <xf numFmtId="173" fontId="23" fillId="0" borderId="7" xfId="1" applyNumberFormat="1" applyFont="1" applyBorder="1" applyAlignment="1">
      <alignment horizontal="center" vertical="center"/>
    </xf>
    <xf numFmtId="173" fontId="23" fillId="0" borderId="7" xfId="0" applyNumberFormat="1" applyFont="1" applyBorder="1" applyAlignment="1">
      <alignment horizontal="center" vertical="center"/>
    </xf>
    <xf numFmtId="173" fontId="23" fillId="0" borderId="10" xfId="1" applyNumberFormat="1" applyFont="1" applyBorder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72" fontId="23" fillId="0" borderId="11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78" xfId="0" applyNumberFormat="1" applyFont="1" applyBorder="1" applyAlignment="1">
      <alignment horizontal="center" vertical="center"/>
    </xf>
    <xf numFmtId="172" fontId="23" fillId="0" borderId="77" xfId="0" applyNumberFormat="1" applyFont="1" applyBorder="1" applyAlignment="1">
      <alignment horizontal="center" vertical="center"/>
    </xf>
    <xf numFmtId="173" fontId="23" fillId="0" borderId="78" xfId="1" applyNumberFormat="1" applyFont="1" applyBorder="1" applyAlignment="1">
      <alignment horizontal="center" vertical="center"/>
    </xf>
    <xf numFmtId="173" fontId="23" fillId="0" borderId="75" xfId="0" applyNumberFormat="1" applyFont="1" applyBorder="1" applyAlignment="1">
      <alignment horizontal="center" vertical="center"/>
    </xf>
    <xf numFmtId="172" fontId="23" fillId="0" borderId="74" xfId="0" applyNumberFormat="1" applyFont="1" applyBorder="1" applyAlignment="1">
      <alignment horizontal="center" vertical="center"/>
    </xf>
    <xf numFmtId="173" fontId="23" fillId="0" borderId="75" xfId="1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0" fontId="23" fillId="0" borderId="13" xfId="0" applyNumberFormat="1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80" xfId="0" applyFont="1" applyBorder="1" applyAlignment="1">
      <alignment horizontal="center" vertical="center"/>
    </xf>
    <xf numFmtId="173" fontId="23" fillId="0" borderId="26" xfId="1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3" fontId="43" fillId="0" borderId="15" xfId="0" applyNumberFormat="1" applyFont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3" fontId="4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173" fontId="23" fillId="0" borderId="55" xfId="0" applyNumberFormat="1" applyFont="1" applyBorder="1" applyAlignment="1">
      <alignment horizontal="center" vertical="center"/>
    </xf>
    <xf numFmtId="174" fontId="23" fillId="0" borderId="55" xfId="0" applyNumberFormat="1" applyFont="1" applyBorder="1" applyAlignment="1">
      <alignment horizontal="center" vertical="center"/>
    </xf>
    <xf numFmtId="173" fontId="43" fillId="0" borderId="55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23" fillId="0" borderId="8" xfId="0" quotePrefix="1" applyFont="1" applyBorder="1" applyAlignment="1">
      <alignment horizontal="right" vertical="center"/>
    </xf>
    <xf numFmtId="9" fontId="23" fillId="0" borderId="11" xfId="0" applyNumberFormat="1" applyFont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10" fontId="23" fillId="0" borderId="10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10" fontId="23" fillId="0" borderId="12" xfId="0" applyNumberFormat="1" applyFont="1" applyBorder="1" applyAlignment="1">
      <alignment vertical="center"/>
    </xf>
    <xf numFmtId="10" fontId="23" fillId="0" borderId="23" xfId="0" applyNumberFormat="1" applyFont="1" applyBorder="1" applyAlignment="1">
      <alignment vertical="center"/>
    </xf>
    <xf numFmtId="10" fontId="23" fillId="0" borderId="25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16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43" fillId="0" borderId="8" xfId="0" applyNumberFormat="1" applyFont="1" applyBorder="1" applyAlignment="1">
      <alignment horizontal="center"/>
    </xf>
    <xf numFmtId="173" fontId="23" fillId="0" borderId="55" xfId="1" applyNumberFormat="1" applyFont="1" applyBorder="1" applyAlignment="1">
      <alignment horizontal="center"/>
    </xf>
    <xf numFmtId="167" fontId="23" fillId="0" borderId="0" xfId="0" applyNumberFormat="1" applyFont="1" applyAlignment="1">
      <alignment horizontal="left" vertical="center"/>
    </xf>
    <xf numFmtId="4" fontId="23" fillId="0" borderId="55" xfId="1" applyNumberFormat="1" applyFont="1" applyBorder="1" applyAlignment="1">
      <alignment horizontal="center" vertical="center"/>
    </xf>
    <xf numFmtId="173" fontId="23" fillId="0" borderId="55" xfId="1" applyNumberFormat="1" applyFont="1" applyBorder="1" applyAlignment="1">
      <alignment horizontal="center" vertical="center"/>
    </xf>
    <xf numFmtId="166" fontId="23" fillId="0" borderId="15" xfId="1" applyFont="1" applyBorder="1" applyAlignment="1">
      <alignment vertical="center"/>
    </xf>
    <xf numFmtId="166" fontId="23" fillId="0" borderId="55" xfId="1" applyFont="1" applyBorder="1" applyAlignment="1">
      <alignment horizontal="center"/>
    </xf>
    <xf numFmtId="174" fontId="9" fillId="0" borderId="9" xfId="0" applyNumberFormat="1" applyFont="1" applyFill="1" applyBorder="1" applyAlignment="1">
      <alignment horizontal="center" vertical="center" wrapText="1"/>
    </xf>
    <xf numFmtId="174" fontId="9" fillId="7" borderId="9" xfId="0" applyNumberFormat="1" applyFont="1" applyFill="1" applyBorder="1" applyAlignment="1">
      <alignment horizontal="center" vertical="center" wrapText="1"/>
    </xf>
    <xf numFmtId="174" fontId="9" fillId="7" borderId="9" xfId="1" applyNumberFormat="1" applyFont="1" applyFill="1" applyBorder="1" applyAlignment="1">
      <alignment horizontal="center" vertical="center"/>
    </xf>
    <xf numFmtId="174" fontId="9" fillId="0" borderId="7" xfId="0" applyNumberFormat="1" applyFont="1" applyFill="1" applyBorder="1" applyAlignment="1">
      <alignment horizontal="center"/>
    </xf>
    <xf numFmtId="174" fontId="9" fillId="0" borderId="7" xfId="1" applyNumberFormat="1" applyFont="1" applyFill="1" applyBorder="1" applyAlignment="1" applyProtection="1">
      <alignment horizontal="center"/>
      <protection locked="0"/>
    </xf>
    <xf numFmtId="174" fontId="9" fillId="0" borderId="7" xfId="1" applyNumberFormat="1" applyFont="1" applyFill="1" applyBorder="1" applyAlignment="1">
      <alignment horizontal="center"/>
    </xf>
    <xf numFmtId="166" fontId="23" fillId="0" borderId="0" xfId="3" applyNumberFormat="1" applyFont="1"/>
    <xf numFmtId="166" fontId="9" fillId="0" borderId="7" xfId="1" applyFont="1" applyFill="1" applyBorder="1" applyAlignment="1">
      <alignment horizontal="center" vertical="center"/>
    </xf>
    <xf numFmtId="0" fontId="9" fillId="0" borderId="12" xfId="0" applyFont="1" applyBorder="1"/>
    <xf numFmtId="3" fontId="9" fillId="7" borderId="27" xfId="1" applyNumberFormat="1" applyFont="1" applyFill="1" applyBorder="1" applyAlignment="1">
      <alignment horizontal="center" vertical="center"/>
    </xf>
    <xf numFmtId="166" fontId="9" fillId="0" borderId="22" xfId="1" applyFont="1" applyFill="1" applyBorder="1" applyAlignment="1">
      <alignment horizontal="center" vertical="center"/>
    </xf>
    <xf numFmtId="166" fontId="9" fillId="0" borderId="103" xfId="1" applyFont="1" applyFill="1" applyBorder="1" applyProtection="1">
      <protection locked="0"/>
    </xf>
    <xf numFmtId="166" fontId="9" fillId="0" borderId="91" xfId="1" applyFont="1" applyFill="1" applyBorder="1" applyAlignment="1">
      <alignment horizontal="right" vertical="center"/>
    </xf>
    <xf numFmtId="166" fontId="9" fillId="0" borderId="22" xfId="1" applyFont="1" applyFill="1" applyBorder="1" applyProtection="1">
      <protection hidden="1"/>
    </xf>
    <xf numFmtId="0" fontId="0" fillId="0" borderId="22" xfId="0" applyFont="1" applyBorder="1"/>
    <xf numFmtId="166" fontId="23" fillId="0" borderId="7" xfId="1" applyNumberFormat="1" applyFont="1" applyBorder="1" applyAlignment="1">
      <alignment vertical="center"/>
    </xf>
    <xf numFmtId="166" fontId="43" fillId="0" borderId="55" xfId="1" applyNumberFormat="1" applyFont="1" applyBorder="1"/>
    <xf numFmtId="180" fontId="23" fillId="0" borderId="0" xfId="0" applyNumberFormat="1" applyFont="1"/>
    <xf numFmtId="168" fontId="43" fillId="0" borderId="28" xfId="17" applyNumberFormat="1" applyFont="1" applyFill="1" applyBorder="1" applyAlignment="1">
      <alignment horizontal="center" vertical="center"/>
    </xf>
    <xf numFmtId="168" fontId="43" fillId="0" borderId="26" xfId="17" applyNumberFormat="1" applyFont="1" applyFill="1" applyBorder="1" applyAlignment="1">
      <alignment horizontal="center" vertical="center"/>
    </xf>
    <xf numFmtId="168" fontId="43" fillId="0" borderId="30" xfId="17" applyNumberFormat="1" applyFont="1" applyFill="1" applyBorder="1" applyAlignment="1">
      <alignment horizontal="center" vertical="center"/>
    </xf>
    <xf numFmtId="168" fontId="43" fillId="0" borderId="11" xfId="17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3" fillId="0" borderId="30" xfId="3" applyFont="1" applyFill="1" applyBorder="1" applyAlignment="1">
      <alignment horizontal="center" vertical="center"/>
    </xf>
    <xf numFmtId="168" fontId="43" fillId="0" borderId="34" xfId="17" applyNumberFormat="1" applyFont="1" applyFill="1" applyBorder="1" applyAlignment="1">
      <alignment horizontal="center" vertical="center"/>
    </xf>
    <xf numFmtId="0" fontId="43" fillId="0" borderId="35" xfId="3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66" fontId="43" fillId="0" borderId="20" xfId="1" applyFont="1" applyBorder="1"/>
    <xf numFmtId="166" fontId="43" fillId="0" borderId="9" xfId="1" applyFont="1" applyBorder="1"/>
    <xf numFmtId="0" fontId="43" fillId="0" borderId="2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166" fontId="43" fillId="0" borderId="14" xfId="1" applyFont="1" applyBorder="1" applyAlignment="1">
      <alignment horizontal="center"/>
    </xf>
    <xf numFmtId="166" fontId="43" fillId="0" borderId="24" xfId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6" fontId="43" fillId="0" borderId="32" xfId="1" applyFont="1" applyBorder="1"/>
    <xf numFmtId="166" fontId="43" fillId="0" borderId="13" xfId="1" applyFont="1" applyBorder="1"/>
    <xf numFmtId="0" fontId="51" fillId="0" borderId="0" xfId="0" applyFont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0" fontId="23" fillId="0" borderId="12" xfId="4" applyFont="1" applyFill="1" applyBorder="1" applyAlignment="1">
      <alignment horizontal="right"/>
    </xf>
    <xf numFmtId="0" fontId="23" fillId="0" borderId="36" xfId="4" applyFont="1" applyFill="1" applyBorder="1" applyAlignment="1">
      <alignment horizontal="right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quotePrefix="1" applyFont="1" applyBorder="1" applyAlignment="1">
      <alignment horizontal="center" vertical="center"/>
    </xf>
    <xf numFmtId="0" fontId="9" fillId="0" borderId="56" xfId="0" quotePrefix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8" xfId="4" applyFont="1" applyFill="1" applyBorder="1" applyAlignment="1">
      <alignment horizontal="center" vertical="center"/>
    </xf>
    <xf numFmtId="0" fontId="8" fillId="0" borderId="30" xfId="4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169" fontId="8" fillId="0" borderId="18" xfId="1" applyNumberFormat="1" applyFont="1" applyFill="1" applyBorder="1" applyAlignment="1">
      <alignment horizontal="center" vertical="center"/>
    </xf>
    <xf numFmtId="169" fontId="8" fillId="0" borderId="16" xfId="1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>
      <alignment horizontal="center" vertical="center" wrapText="1"/>
    </xf>
    <xf numFmtId="167" fontId="8" fillId="0" borderId="3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1" fontId="10" fillId="3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71" fontId="10" fillId="6" borderId="4" xfId="0" applyNumberFormat="1" applyFont="1" applyFill="1" applyBorder="1" applyAlignment="1">
      <alignment horizontal="center" vertical="center"/>
    </xf>
    <xf numFmtId="171" fontId="10" fillId="6" borderId="5" xfId="0" applyNumberFormat="1" applyFont="1" applyFill="1" applyBorder="1" applyAlignment="1">
      <alignment horizontal="center" vertical="center"/>
    </xf>
    <xf numFmtId="171" fontId="10" fillId="6" borderId="6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6" fontId="8" fillId="0" borderId="28" xfId="1" applyFont="1" applyFill="1" applyBorder="1" applyAlignment="1">
      <alignment horizontal="center" vertical="center" wrapText="1"/>
    </xf>
    <xf numFmtId="166" fontId="8" fillId="0" borderId="30" xfId="1" applyFont="1" applyFill="1" applyBorder="1" applyAlignment="1">
      <alignment horizontal="center" vertical="center" wrapText="1"/>
    </xf>
    <xf numFmtId="166" fontId="8" fillId="0" borderId="18" xfId="1" applyFont="1" applyFill="1" applyBorder="1" applyAlignment="1">
      <alignment horizontal="center" vertical="center"/>
    </xf>
    <xf numFmtId="166" fontId="8" fillId="0" borderId="16" xfId="1" applyFont="1" applyFill="1" applyBorder="1" applyAlignment="1">
      <alignment horizontal="center" vertical="center"/>
    </xf>
    <xf numFmtId="166" fontId="8" fillId="0" borderId="28" xfId="1" applyFont="1" applyFill="1" applyBorder="1" applyAlignment="1">
      <alignment horizontal="center" vertical="center"/>
    </xf>
    <xf numFmtId="166" fontId="8" fillId="0" borderId="30" xfId="1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171" fontId="10" fillId="3" borderId="5" xfId="0" applyNumberFormat="1" applyFont="1" applyFill="1" applyBorder="1" applyAlignment="1">
      <alignment horizontal="center" vertical="center"/>
    </xf>
    <xf numFmtId="171" fontId="10" fillId="3" borderId="6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9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3" fontId="23" fillId="0" borderId="12" xfId="0" applyNumberFormat="1" applyFont="1" applyBorder="1" applyAlignment="1">
      <alignment horizontal="right"/>
    </xf>
    <xf numFmtId="3" fontId="23" fillId="0" borderId="36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43" fillId="0" borderId="32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23" fillId="0" borderId="17" xfId="0" applyFont="1" applyBorder="1" applyAlignment="1">
      <alignment horizontal="center" vertical="center"/>
    </xf>
    <xf numFmtId="3" fontId="43" fillId="0" borderId="8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3" fontId="43" fillId="0" borderId="28" xfId="0" applyNumberFormat="1" applyFont="1" applyBorder="1" applyAlignment="1">
      <alignment horizontal="center" vertical="center"/>
    </xf>
    <xf numFmtId="3" fontId="43" fillId="0" borderId="3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71" fontId="10" fillId="7" borderId="4" xfId="0" applyNumberFormat="1" applyFont="1" applyFill="1" applyBorder="1" applyAlignment="1">
      <alignment horizontal="left" vertical="center"/>
    </xf>
    <xf numFmtId="171" fontId="10" fillId="7" borderId="5" xfId="0" applyNumberFormat="1" applyFont="1" applyFill="1" applyBorder="1" applyAlignment="1">
      <alignment horizontal="left" vertical="center"/>
    </xf>
    <xf numFmtId="171" fontId="10" fillId="7" borderId="6" xfId="0" applyNumberFormat="1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0" borderId="32" xfId="8" applyFont="1" applyFill="1" applyBorder="1" applyAlignment="1">
      <alignment horizontal="left" vertical="center"/>
    </xf>
    <xf numFmtId="0" fontId="10" fillId="0" borderId="11" xfId="8" applyFont="1" applyFill="1" applyBorder="1" applyAlignment="1">
      <alignment horizontal="left" vertical="center"/>
    </xf>
    <xf numFmtId="0" fontId="10" fillId="0" borderId="13" xfId="8" applyFont="1" applyFill="1" applyBorder="1" applyAlignment="1">
      <alignment horizontal="left" vertical="center"/>
    </xf>
    <xf numFmtId="0" fontId="10" fillId="0" borderId="20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9" xfId="8" applyFont="1" applyFill="1" applyBorder="1" applyAlignment="1">
      <alignment horizontal="left" vertical="center"/>
    </xf>
    <xf numFmtId="171" fontId="9" fillId="2" borderId="20" xfId="8" applyNumberFormat="1" applyFont="1" applyFill="1" applyBorder="1" applyAlignment="1">
      <alignment horizontal="left" vertical="center"/>
    </xf>
    <xf numFmtId="171" fontId="9" fillId="2" borderId="8" xfId="8" applyNumberFormat="1" applyFont="1" applyFill="1" applyBorder="1" applyAlignment="1">
      <alignment horizontal="left" vertical="center"/>
    </xf>
    <xf numFmtId="171" fontId="9" fillId="2" borderId="9" xfId="8" applyNumberFormat="1" applyFont="1" applyFill="1" applyBorder="1" applyAlignment="1">
      <alignment horizontal="left" vertical="center"/>
    </xf>
    <xf numFmtId="0" fontId="10" fillId="0" borderId="4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0" fillId="0" borderId="6" xfId="8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171" fontId="9" fillId="2" borderId="32" xfId="8" applyNumberFormat="1" applyFont="1" applyFill="1" applyBorder="1" applyAlignment="1">
      <alignment horizontal="left" vertical="center"/>
    </xf>
    <xf numFmtId="0" fontId="9" fillId="2" borderId="11" xfId="8" applyFont="1" applyFill="1" applyBorder="1" applyAlignment="1">
      <alignment horizontal="left" vertical="center"/>
    </xf>
    <xf numFmtId="0" fontId="9" fillId="2" borderId="13" xfId="8" applyFont="1" applyFill="1" applyBorder="1" applyAlignment="1">
      <alignment horizontal="left" vertical="center"/>
    </xf>
    <xf numFmtId="0" fontId="9" fillId="2" borderId="20" xfId="8" applyFont="1" applyFill="1" applyBorder="1" applyAlignment="1">
      <alignment horizontal="left" vertical="center"/>
    </xf>
    <xf numFmtId="0" fontId="9" fillId="2" borderId="8" xfId="8" applyFont="1" applyFill="1" applyBorder="1" applyAlignment="1">
      <alignment horizontal="left" vertical="center"/>
    </xf>
    <xf numFmtId="0" fontId="9" fillId="2" borderId="9" xfId="8" applyFont="1" applyFill="1" applyBorder="1" applyAlignment="1">
      <alignment horizontal="left" vertical="center"/>
    </xf>
    <xf numFmtId="3" fontId="2" fillId="0" borderId="8" xfId="0" applyNumberFormat="1" applyFont="1" applyBorder="1" applyAlignment="1"/>
    <xf numFmtId="0" fontId="8" fillId="0" borderId="8" xfId="0" applyFont="1" applyFill="1" applyBorder="1" applyAlignment="1">
      <alignment vertical="center"/>
    </xf>
    <xf numFmtId="0" fontId="14" fillId="0" borderId="12" xfId="4" applyFont="1" applyFill="1" applyBorder="1" applyAlignment="1">
      <alignment horizontal="right"/>
    </xf>
    <xf numFmtId="0" fontId="14" fillId="0" borderId="36" xfId="4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center" vertical="center" wrapText="1"/>
    </xf>
    <xf numFmtId="166" fontId="8" fillId="0" borderId="30" xfId="0" applyNumberFormat="1" applyFont="1" applyFill="1" applyBorder="1" applyAlignment="1">
      <alignment horizontal="center" vertical="center" wrapText="1"/>
    </xf>
    <xf numFmtId="166" fontId="8" fillId="0" borderId="18" xfId="1" applyNumberFormat="1" applyFont="1" applyFill="1" applyBorder="1" applyAlignment="1">
      <alignment horizontal="center" vertical="center"/>
    </xf>
    <xf numFmtId="166" fontId="8" fillId="0" borderId="16" xfId="1" applyNumberFormat="1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vertical="center"/>
    </xf>
    <xf numFmtId="0" fontId="10" fillId="7" borderId="29" xfId="0" applyFont="1" applyFill="1" applyBorder="1" applyAlignment="1">
      <alignment vertical="center"/>
    </xf>
    <xf numFmtId="0" fontId="10" fillId="7" borderId="33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3" fontId="2" fillId="0" borderId="8" xfId="0" applyNumberFormat="1" applyFont="1" applyBorder="1" applyAlignment="1">
      <alignment horizontal="left"/>
    </xf>
    <xf numFmtId="0" fontId="8" fillId="0" borderId="12" xfId="4" applyFont="1" applyFill="1" applyBorder="1" applyAlignment="1">
      <alignment horizontal="right"/>
    </xf>
    <xf numFmtId="0" fontId="8" fillId="0" borderId="36" xfId="4" applyFont="1" applyFill="1" applyBorder="1" applyAlignment="1">
      <alignment horizontal="right"/>
    </xf>
    <xf numFmtId="166" fontId="9" fillId="3" borderId="20" xfId="1" applyFont="1" applyFill="1" applyBorder="1" applyAlignment="1" applyProtection="1">
      <alignment horizontal="center"/>
      <protection locked="0"/>
    </xf>
    <xf numFmtId="166" fontId="9" fillId="3" borderId="9" xfId="1" applyFont="1" applyFill="1" applyBorder="1" applyAlignment="1" applyProtection="1">
      <alignment horizontal="center"/>
      <protection locked="0"/>
    </xf>
    <xf numFmtId="3" fontId="9" fillId="8" borderId="18" xfId="0" applyNumberFormat="1" applyFont="1" applyFill="1" applyBorder="1" applyAlignment="1">
      <alignment horizontal="center" vertical="center"/>
    </xf>
    <xf numFmtId="3" fontId="9" fillId="8" borderId="17" xfId="0" applyNumberFormat="1" applyFont="1" applyFill="1" applyBorder="1" applyAlignment="1">
      <alignment horizontal="center" vertical="center"/>
    </xf>
    <xf numFmtId="3" fontId="9" fillId="8" borderId="16" xfId="0" applyNumberFormat="1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vertical="center" wrapText="1"/>
    </xf>
    <xf numFmtId="3" fontId="9" fillId="7" borderId="5" xfId="0" applyNumberFormat="1" applyFont="1" applyFill="1" applyBorder="1" applyAlignment="1">
      <alignment vertical="center" wrapText="1"/>
    </xf>
    <xf numFmtId="3" fontId="9" fillId="7" borderId="6" xfId="0" applyNumberFormat="1" applyFont="1" applyFill="1" applyBorder="1" applyAlignment="1">
      <alignment vertical="center" wrapText="1"/>
    </xf>
    <xf numFmtId="3" fontId="9" fillId="0" borderId="20" xfId="0" applyNumberFormat="1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3" fontId="9" fillId="0" borderId="9" xfId="0" applyNumberFormat="1" applyFont="1" applyBorder="1" applyAlignment="1">
      <alignment wrapText="1"/>
    </xf>
    <xf numFmtId="3" fontId="10" fillId="7" borderId="4" xfId="0" applyNumberFormat="1" applyFont="1" applyFill="1" applyBorder="1" applyAlignment="1">
      <alignment vertical="center" wrapText="1"/>
    </xf>
    <xf numFmtId="3" fontId="10" fillId="7" borderId="5" xfId="0" applyNumberFormat="1" applyFont="1" applyFill="1" applyBorder="1" applyAlignment="1">
      <alignment vertical="center" wrapText="1"/>
    </xf>
    <xf numFmtId="3" fontId="10" fillId="7" borderId="6" xfId="0" applyNumberFormat="1" applyFont="1" applyFill="1" applyBorder="1" applyAlignment="1">
      <alignment vertical="center" wrapText="1"/>
    </xf>
    <xf numFmtId="3" fontId="10" fillId="8" borderId="18" xfId="0" applyNumberFormat="1" applyFont="1" applyFill="1" applyBorder="1" applyAlignment="1">
      <alignment horizontal="center" vertical="center"/>
    </xf>
    <xf numFmtId="3" fontId="10" fillId="8" borderId="17" xfId="0" applyNumberFormat="1" applyFont="1" applyFill="1" applyBorder="1" applyAlignment="1">
      <alignment horizontal="center" vertical="center"/>
    </xf>
    <xf numFmtId="3" fontId="10" fillId="8" borderId="16" xfId="0" applyNumberFormat="1" applyFont="1" applyFill="1" applyBorder="1" applyAlignment="1">
      <alignment horizontal="center" vertical="center"/>
    </xf>
    <xf numFmtId="3" fontId="9" fillId="7" borderId="32" xfId="0" applyNumberFormat="1" applyFont="1" applyFill="1" applyBorder="1" applyAlignment="1">
      <alignment vertical="center" wrapText="1"/>
    </xf>
    <xf numFmtId="3" fontId="9" fillId="7" borderId="11" xfId="0" applyNumberFormat="1" applyFont="1" applyFill="1" applyBorder="1" applyAlignment="1">
      <alignment vertical="center" wrapText="1"/>
    </xf>
    <xf numFmtId="3" fontId="9" fillId="7" borderId="13" xfId="0" applyNumberFormat="1" applyFont="1" applyFill="1" applyBorder="1" applyAlignment="1">
      <alignment vertical="center" wrapText="1"/>
    </xf>
    <xf numFmtId="3" fontId="9" fillId="7" borderId="20" xfId="0" applyNumberFormat="1" applyFont="1" applyFill="1" applyBorder="1" applyAlignment="1">
      <alignment vertical="center" wrapText="1"/>
    </xf>
    <xf numFmtId="3" fontId="9" fillId="7" borderId="8" xfId="0" applyNumberFormat="1" applyFont="1" applyFill="1" applyBorder="1" applyAlignment="1">
      <alignment vertical="center" wrapText="1"/>
    </xf>
    <xf numFmtId="3" fontId="9" fillId="7" borderId="9" xfId="0" applyNumberFormat="1" applyFont="1" applyFill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8" borderId="18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166" fontId="9" fillId="8" borderId="20" xfId="1" applyFont="1" applyFill="1" applyBorder="1" applyAlignment="1" applyProtection="1">
      <alignment horizontal="center"/>
      <protection locked="0"/>
    </xf>
    <xf numFmtId="166" fontId="9" fillId="8" borderId="9" xfId="1" applyFont="1" applyFill="1" applyBorder="1" applyAlignment="1" applyProtection="1">
      <alignment horizontal="center"/>
      <protection locked="0"/>
    </xf>
    <xf numFmtId="166" fontId="9" fillId="8" borderId="73" xfId="1" applyFont="1" applyFill="1" applyBorder="1" applyAlignment="1" applyProtection="1">
      <alignment horizontal="center"/>
      <protection locked="0"/>
    </xf>
    <xf numFmtId="166" fontId="9" fillId="8" borderId="64" xfId="1" applyFont="1" applyFill="1" applyBorder="1" applyAlignment="1" applyProtection="1">
      <alignment horizontal="center"/>
      <protection locked="0"/>
    </xf>
    <xf numFmtId="166" fontId="9" fillId="0" borderId="20" xfId="1" applyFont="1" applyFill="1" applyBorder="1" applyAlignment="1" applyProtection="1">
      <alignment horizontal="center"/>
      <protection locked="0"/>
    </xf>
    <xf numFmtId="166" fontId="9" fillId="0" borderId="9" xfId="1" applyFont="1" applyFill="1" applyBorder="1" applyAlignment="1" applyProtection="1">
      <alignment horizontal="center"/>
      <protection locked="0"/>
    </xf>
    <xf numFmtId="166" fontId="10" fillId="2" borderId="4" xfId="1" applyFont="1" applyFill="1" applyBorder="1" applyAlignment="1">
      <alignment horizontal="left" vertical="center"/>
    </xf>
    <xf numFmtId="166" fontId="10" fillId="2" borderId="5" xfId="1" applyFont="1" applyFill="1" applyBorder="1" applyAlignment="1">
      <alignment horizontal="left" vertical="center"/>
    </xf>
    <xf numFmtId="166" fontId="10" fillId="2" borderId="6" xfId="1" applyFont="1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 vertical="center"/>
    </xf>
    <xf numFmtId="0" fontId="10" fillId="3" borderId="21" xfId="8" applyFont="1" applyFill="1" applyBorder="1" applyAlignment="1">
      <alignment horizontal="center" vertical="center"/>
    </xf>
    <xf numFmtId="0" fontId="10" fillId="3" borderId="31" xfId="8" applyFont="1" applyFill="1" applyBorder="1" applyAlignment="1">
      <alignment horizontal="center" vertical="center"/>
    </xf>
    <xf numFmtId="0" fontId="10" fillId="3" borderId="56" xfId="8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left"/>
    </xf>
    <xf numFmtId="0" fontId="35" fillId="0" borderId="73" xfId="0" applyFont="1" applyFill="1" applyBorder="1" applyAlignment="1">
      <alignment horizontal="left"/>
    </xf>
    <xf numFmtId="0" fontId="35" fillId="0" borderId="74" xfId="0" applyFont="1" applyFill="1" applyBorder="1" applyAlignment="1">
      <alignment horizontal="left"/>
    </xf>
    <xf numFmtId="0" fontId="35" fillId="0" borderId="64" xfId="0" applyFont="1" applyFill="1" applyBorder="1" applyAlignment="1">
      <alignment horizontal="left"/>
    </xf>
    <xf numFmtId="171" fontId="9" fillId="2" borderId="73" xfId="8" applyNumberFormat="1" applyFont="1" applyFill="1" applyBorder="1" applyAlignment="1">
      <alignment horizontal="left" vertical="center"/>
    </xf>
    <xf numFmtId="171" fontId="9" fillId="2" borderId="74" xfId="8" applyNumberFormat="1" applyFont="1" applyFill="1" applyBorder="1" applyAlignment="1">
      <alignment horizontal="left" vertical="center"/>
    </xf>
    <xf numFmtId="171" fontId="9" fillId="2" borderId="64" xfId="8" applyNumberFormat="1" applyFont="1" applyFill="1" applyBorder="1" applyAlignment="1">
      <alignment horizontal="left" vertical="center"/>
    </xf>
    <xf numFmtId="171" fontId="9" fillId="2" borderId="11" xfId="8" applyNumberFormat="1" applyFont="1" applyFill="1" applyBorder="1" applyAlignment="1">
      <alignment horizontal="left" vertical="center"/>
    </xf>
    <xf numFmtId="171" fontId="9" fillId="2" borderId="13" xfId="8" applyNumberFormat="1" applyFont="1" applyFill="1" applyBorder="1" applyAlignment="1">
      <alignment horizontal="left" vertical="center"/>
    </xf>
    <xf numFmtId="0" fontId="35" fillId="0" borderId="20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10" fillId="7" borderId="63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10" fillId="0" borderId="3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1" fontId="10" fillId="7" borderId="4" xfId="0" applyNumberFormat="1" applyFont="1" applyFill="1" applyBorder="1" applyAlignment="1">
      <alignment vertical="center" wrapText="1"/>
    </xf>
    <xf numFmtId="171" fontId="10" fillId="7" borderId="5" xfId="0" applyNumberFormat="1" applyFont="1" applyFill="1" applyBorder="1" applyAlignment="1">
      <alignment vertical="center" wrapText="1"/>
    </xf>
    <xf numFmtId="171" fontId="10" fillId="7" borderId="6" xfId="0" applyNumberFormat="1" applyFont="1" applyFill="1" applyBorder="1" applyAlignment="1">
      <alignment vertical="center" wrapText="1"/>
    </xf>
    <xf numFmtId="166" fontId="9" fillId="8" borderId="32" xfId="1" applyFont="1" applyFill="1" applyBorder="1" applyAlignment="1" applyProtection="1">
      <alignment horizontal="center"/>
      <protection locked="0"/>
    </xf>
    <xf numFmtId="166" fontId="9" fillId="8" borderId="13" xfId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/>
    <xf numFmtId="171" fontId="10" fillId="7" borderId="32" xfId="0" applyNumberFormat="1" applyFont="1" applyFill="1" applyBorder="1" applyAlignment="1">
      <alignment vertical="center" wrapText="1"/>
    </xf>
    <xf numFmtId="171" fontId="10" fillId="7" borderId="11" xfId="0" applyNumberFormat="1" applyFont="1" applyFill="1" applyBorder="1" applyAlignment="1">
      <alignment vertical="center" wrapText="1"/>
    </xf>
    <xf numFmtId="171" fontId="10" fillId="7" borderId="13" xfId="0" applyNumberFormat="1" applyFont="1" applyFill="1" applyBorder="1" applyAlignment="1">
      <alignment vertical="center" wrapText="1"/>
    </xf>
  </cellXfs>
  <cellStyles count="18">
    <cellStyle name="Comma 2" xfId="2"/>
    <cellStyle name="Comma 3 5" xfId="5"/>
    <cellStyle name="Normal 2" xfId="3"/>
    <cellStyle name="Normal_03-ปร.4-SN" xfId="16"/>
    <cellStyle name="Normal_05-ปร.4-AC_1" xfId="14"/>
    <cellStyle name="Normal_14-056_BOQ" xfId="12"/>
    <cellStyle name="Normal_ส่วนบริการ_EE" xfId="13"/>
    <cellStyle name="เครื่องหมายจุลภาค" xfId="1" builtinId="3"/>
    <cellStyle name="เครื่องหมายจุลภาค 2" xfId="15"/>
    <cellStyle name="เครื่องหมายจุลภาค 9" xfId="9"/>
    <cellStyle name="เครื่องหมายสกุลเงิน" xfId="7" builtinId="4"/>
    <cellStyle name="เครื่องหมายสกุลเงิน [0]_PERSONAL" xfId="17"/>
    <cellStyle name="เปอร์เซ็นต์" xfId="6" builtinId="5"/>
    <cellStyle name="ปกติ" xfId="0" builtinId="0"/>
    <cellStyle name="ปกติ 2 2" xfId="8"/>
    <cellStyle name="ปกติ 4" xfId="10"/>
    <cellStyle name="ปกติ_STR BOQ" xfId="4"/>
    <cellStyle name="ปกติ_อาคารชุดพักอาศัย30" xfId="11"/>
  </cellStyles>
  <dxfs count="0"/>
  <tableStyles count="0" defaultTableStyle="TableStyleMedium2" defaultPivotStyle="PivotStyleLight16"/>
  <colors>
    <mruColors>
      <color rgb="FFFFFF99"/>
      <color rgb="FF0097CC"/>
      <color rgb="FFEC841C"/>
      <color rgb="FFF14B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19;&#3632;&#3605;&#3640;&#3657;&#3609;&#3648;&#3624;&#3619;&#3625;&#3600;&#3585;&#3636;&#3592;/BOQ_fone/45%20&#3611;&#3657;&#3634;&#3618;&#3627;&#3609;&#3629;&#3591;&#3619;&#3632;&#3648;&#3623;&#3637;&#3618;&#359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1-BOQ_&#3629;&#3634;&#3588;&#3634;&#3619;%20A-done\1-BOQ_&#3629;&#3634;&#3588;&#3634;&#3619;%20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&#3619;&#3623;&#3617;%20BOQ_AMF-250657\8-BOQ_&#3591;&#3634;&#3609;&#3626;&#3634;&#3608;&#3634;&#3619;&#3603;&#3641;&#3611;&#3650;&#3616;&#3588;&#3616;&#3634;&#3618;&#3609;&#3629;&#3585;-done\8-BOQ_&#3591;&#3634;&#3609;&#3650;&#3618;&#3608;&#3634;&#3616;&#3634;&#3618;&#3609;&#3629;&#35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1-BOQ_&#3629;&#3634;&#3588;&#3634;&#3619;%20A-done\1-BOQ_&#3629;&#3634;&#3588;&#3634;&#3619;%20A%20revis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2-BOQ_&#3629;&#3634;&#3588;&#3634;&#3619;%20B-done\2-BOQ_&#3629;&#3634;&#3588;&#3634;&#3619;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3-BOQ_&#3629;&#3634;&#3588;&#3634;&#3619;%20C-done\3-BOQ_&#3629;&#3634;&#3588;&#3634;&#3619;%20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4-BOQ_&#3629;&#3634;&#3588;&#3634;&#3619;%20D-done\4-BOQ_&#3629;&#3634;&#3588;&#3634;&#3619;%20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5-BOQ_&#3629;&#3634;&#3588;&#3634;&#3619;%20E-done\5-BOQ_&#3629;&#3634;&#3588;&#3634;&#3619;%20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6-BOQ_&#3629;&#3634;&#3588;&#3634;&#3619;%20F-done\6-BOQ_&#3629;&#3634;&#3588;&#3634;&#3619;%20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7-BOQ_&#3629;&#3634;&#3588;&#3634;&#3619;%20G-done\7-BOQ_&#3629;&#3634;&#3588;&#3634;&#3619;%20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19;&#3634;&#3594;&#3617;&#3591;&#3588;&#3621;%20&#3629;&#3637;&#3626;&#3634;&#3609;\&#3591;&#3634;&#3609;&#3617;&#3607;&#3619;.&#3629;&#3637;&#3626;&#3634;&#3609;\&#3629;&#3634;&#3588;&#3634;&#3619;&#3585;&#3636;&#3592;&#3585;&#3634;&#3619;&#3609;&#3633;&#3585;&#3624;&#3638;&#3585;&#3625;&#3634;&#3649;&#3621;&#3632;&#3609;&#3633;&#3609;&#3607;&#3609;&#3634;&#3585;&#3634;&#3619;\03_Boq+Blank%20Form\&#3619;&#3634;&#3588;&#3634;&#3612;&#3641;&#3657;&#3629;&#3629;&#3585;&#3649;&#3610;&#3610;%20&#3617;&#3607;&#3619;.&#3629;&#3637;&#3626;&#3634;&#3609;_25-09-58\8-BOQ_&#3591;&#3634;&#3609;&#3626;&#3634;&#3608;&#3634;&#3619;&#3603;&#3641;&#3611;&#3650;&#3616;&#3588;&#3616;&#3634;&#3618;&#3609;&#3629;&#3585;-done\8-BOQ_&#3591;&#3634;&#3609;&#3650;&#3618;&#3608;&#3634;&#3616;&#3634;&#3618;&#3609;&#3629;&#35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4"/>
      <sheetName val="ปร.5(ก)"/>
      <sheetName val="ปร.6"/>
      <sheetName val="Sheet1"/>
    </sheetNames>
    <sheetDataSet>
      <sheetData sheetId="0">
        <row r="10">
          <cell r="A10" t="str">
            <v xml:space="preserve">หน่วยงานเจ้าของโครงการ/งานก่อสร้าง  : มหาวิทยาลัยเทคโนโลยีราชมงคลอีสาน 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(พ)"/>
      <sheetName val="Factor-F"/>
      <sheetName val="F_อาคาร"/>
      <sheetName val="1.1.A-AR+BD"/>
      <sheetName val="1.2.A-ST+BD"/>
      <sheetName val="1.3.A-EE+BD"/>
      <sheetName val="1.4.A-COM+BD"/>
      <sheetName val="1.5.A-FPSN+BD"/>
      <sheetName val="1.6.A-AC+BD"/>
      <sheetName val="2.1.A-Int-ม่าน+BD"/>
      <sheetName val="2.2.A-LF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>
        <row r="8">
          <cell r="A8" t="str">
            <v>คำนวณราคากลาง     เมื่อวันที่           1           เดือน       กรกฎาคม           พ.ศ.   2557</v>
          </cell>
        </row>
      </sheetData>
      <sheetData sheetId="1">
        <row r="15">
          <cell r="F15">
            <v>20279340.75</v>
          </cell>
        </row>
      </sheetData>
      <sheetData sheetId="2">
        <row r="24">
          <cell r="H24">
            <v>592870.95000000007</v>
          </cell>
        </row>
      </sheetData>
      <sheetData sheetId="3"/>
      <sheetData sheetId="4"/>
      <sheetData sheetId="5"/>
      <sheetData sheetId="6">
        <row r="11">
          <cell r="B11" t="str">
            <v>งานสถาปัตยกรรม</v>
          </cell>
        </row>
      </sheetData>
      <sheetData sheetId="7">
        <row r="11">
          <cell r="B11" t="str">
            <v>งานโครงสร้าง (Structural Work)</v>
          </cell>
        </row>
        <row r="30">
          <cell r="L30">
            <v>19814395.02</v>
          </cell>
        </row>
      </sheetData>
      <sheetData sheetId="8">
        <row r="11">
          <cell r="B11" t="str">
            <v>งานระบบไฟฟ้า และสื่อสาร</v>
          </cell>
        </row>
      </sheetData>
      <sheetData sheetId="9">
        <row r="11">
          <cell r="B11" t="str">
            <v xml:space="preserve"> งานระบบลื่อสารและแจ้งเหตุเพลิงไหม้</v>
          </cell>
        </row>
      </sheetData>
      <sheetData sheetId="10">
        <row r="11">
          <cell r="B11" t="str">
            <v>งานระบบสุขาภิบาล, ระบบป้องกันอัคคีภัย</v>
          </cell>
        </row>
      </sheetData>
      <sheetData sheetId="11">
        <row r="11">
          <cell r="B11" t="str">
            <v>งานระบบปรับอากาศ และระบายอากาศ</v>
          </cell>
        </row>
      </sheetData>
      <sheetData sheetId="12">
        <row r="29">
          <cell r="L29">
            <v>1158360</v>
          </cell>
        </row>
      </sheetData>
      <sheetData sheetId="13">
        <row r="11">
          <cell r="B11" t="str">
            <v>งานครุภัณฑ์เฟอร์นิเจอร์ลอยตัว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(พ)"/>
      <sheetName val="Factor-F"/>
      <sheetName val="F_อาคาร"/>
      <sheetName val="1.1.ST-สาธารณูปโภค+BD"/>
      <sheetName val="1.2.EE-สาธารณูปโภค+BD"/>
      <sheetName val="1.3.COM-สาธารณูปโภค+BD"/>
      <sheetName val="1.4.FPSN-สาธารณูปโภค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43">
          <cell r="F43">
            <v>34377072</v>
          </cell>
        </row>
      </sheetData>
      <sheetData sheetId="2"/>
      <sheetData sheetId="3"/>
      <sheetData sheetId="4"/>
      <sheetData sheetId="5"/>
      <sheetData sheetId="6">
        <row r="27">
          <cell r="L27">
            <v>4571213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(พ)"/>
      <sheetName val="1.1.A-AR+BD"/>
      <sheetName val="1.2.A-ST+BD"/>
      <sheetName val="1.3.A-EE+BD"/>
      <sheetName val="1.4.A-COM+BD"/>
      <sheetName val="1.5.A-FPSN+BD"/>
      <sheetName val="1.6.A-AC+BD"/>
      <sheetName val="2.1.A-Int+BD"/>
      <sheetName val="2.2.A-LF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19600340.75</v>
          </cell>
        </row>
      </sheetData>
      <sheetData sheetId="2">
        <row r="14">
          <cell r="F14">
            <v>5814680</v>
          </cell>
        </row>
      </sheetData>
      <sheetData sheetId="3">
        <row r="28">
          <cell r="L28">
            <v>13369790</v>
          </cell>
        </row>
      </sheetData>
      <sheetData sheetId="4">
        <row r="29">
          <cell r="K29">
            <v>19600340.75</v>
          </cell>
        </row>
      </sheetData>
      <sheetData sheetId="5">
        <row r="32">
          <cell r="L32">
            <v>22967280.640000001</v>
          </cell>
        </row>
      </sheetData>
      <sheetData sheetId="6"/>
      <sheetData sheetId="7"/>
      <sheetData sheetId="8">
        <row r="29">
          <cell r="L29">
            <v>2059452</v>
          </cell>
        </row>
      </sheetData>
      <sheetData sheetId="9">
        <row r="29">
          <cell r="L29">
            <v>3039741</v>
          </cell>
        </row>
      </sheetData>
      <sheetData sheetId="10">
        <row r="29">
          <cell r="L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actor-F"/>
      <sheetName val="F_อาคาร"/>
      <sheetName val="1.1.B-AR+BD"/>
      <sheetName val="1.2.A-ST+BD"/>
      <sheetName val="1.3.B-EE+BD"/>
      <sheetName val="1.4.B-COM+BD"/>
      <sheetName val="1.5.B-FPSN+BD"/>
      <sheetName val="1.6.B-AC+BD"/>
      <sheetName val="1.7.B-LIFT+BD"/>
      <sheetName val="2.1.B-Int+BD"/>
      <sheetName val="2.2.B-LF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28859736.939999998</v>
          </cell>
        </row>
        <row r="27">
          <cell r="F27">
            <v>0</v>
          </cell>
        </row>
      </sheetData>
      <sheetData sheetId="2">
        <row r="14">
          <cell r="F14">
            <v>9803246</v>
          </cell>
        </row>
      </sheetData>
      <sheetData sheetId="3"/>
      <sheetData sheetId="4"/>
      <sheetData sheetId="5">
        <row r="33">
          <cell r="K33">
            <v>28859736.939999998</v>
          </cell>
        </row>
      </sheetData>
      <sheetData sheetId="6">
        <row r="31">
          <cell r="L31">
            <v>25359800.559999995</v>
          </cell>
        </row>
      </sheetData>
      <sheetData sheetId="7"/>
      <sheetData sheetId="8"/>
      <sheetData sheetId="9">
        <row r="30">
          <cell r="L30">
            <v>2633385</v>
          </cell>
        </row>
      </sheetData>
      <sheetData sheetId="10">
        <row r="29">
          <cell r="L29">
            <v>4303926</v>
          </cell>
        </row>
      </sheetData>
      <sheetData sheetId="11">
        <row r="19">
          <cell r="L19">
            <v>1800000</v>
          </cell>
        </row>
      </sheetData>
      <sheetData sheetId="12">
        <row r="29">
          <cell r="L2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actor-F"/>
      <sheetName val="F_อาคาร"/>
      <sheetName val="1.1.C-AR+BD"/>
      <sheetName val="1.2.C-ST+BD"/>
      <sheetName val="1.3.C-EE+BD"/>
      <sheetName val="1.4.C-COM+BD"/>
      <sheetName val="1.5.C-FP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5151894.25</v>
          </cell>
        </row>
        <row r="23">
          <cell r="F23">
            <v>0</v>
          </cell>
        </row>
        <row r="44">
          <cell r="F44">
            <v>0</v>
          </cell>
        </row>
      </sheetData>
      <sheetData sheetId="2"/>
      <sheetData sheetId="3"/>
      <sheetData sheetId="4"/>
      <sheetData sheetId="5">
        <row r="30">
          <cell r="K30">
            <v>5151894.25</v>
          </cell>
        </row>
      </sheetData>
      <sheetData sheetId="6">
        <row r="30">
          <cell r="L30">
            <v>7472605.0299999993</v>
          </cell>
        </row>
      </sheetData>
      <sheetData sheetId="7">
        <row r="20">
          <cell r="L20">
            <v>1028716</v>
          </cell>
        </row>
      </sheetData>
      <sheetData sheetId="8">
        <row r="29">
          <cell r="L29">
            <v>613881</v>
          </cell>
        </row>
      </sheetData>
      <sheetData sheetId="9">
        <row r="28">
          <cell r="L28">
            <v>691621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actor-F"/>
      <sheetName val="F_อาคาร"/>
      <sheetName val="1.1.D-AR+BD"/>
      <sheetName val="1.2.D-ST+BD"/>
      <sheetName val="1.3.D-EE+BD"/>
      <sheetName val="1.4.D-COM+BD"/>
      <sheetName val="1.5.D-FPSN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4636460</v>
          </cell>
        </row>
        <row r="23">
          <cell r="F23">
            <v>0</v>
          </cell>
        </row>
      </sheetData>
      <sheetData sheetId="2"/>
      <sheetData sheetId="3"/>
      <sheetData sheetId="4"/>
      <sheetData sheetId="5">
        <row r="30">
          <cell r="K30">
            <v>4636460</v>
          </cell>
        </row>
      </sheetData>
      <sheetData sheetId="6">
        <row r="30">
          <cell r="L30">
            <v>7472605.0299999993</v>
          </cell>
        </row>
      </sheetData>
      <sheetData sheetId="7">
        <row r="29">
          <cell r="L29">
            <v>724484</v>
          </cell>
        </row>
      </sheetData>
      <sheetData sheetId="8">
        <row r="29">
          <cell r="L29">
            <v>380219</v>
          </cell>
        </row>
      </sheetData>
      <sheetData sheetId="9">
        <row r="30">
          <cell r="L30">
            <v>652135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_อาคาร"/>
      <sheetName val="1.1.E-AR+BD"/>
      <sheetName val="1.2.E-ST+BD"/>
      <sheetName val="1.3.E-EE+BD"/>
      <sheetName val="1.4.E-COM+BD"/>
      <sheetName val="1.5.E-FPSN+BD"/>
      <sheetName val="1.6.E-AC+BD"/>
      <sheetName val="1.7.E-LF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2318989.75</v>
          </cell>
        </row>
        <row r="24">
          <cell r="F24">
            <v>0</v>
          </cell>
        </row>
      </sheetData>
      <sheetData sheetId="2">
        <row r="14">
          <cell r="F14">
            <v>72700</v>
          </cell>
        </row>
      </sheetData>
      <sheetData sheetId="3"/>
      <sheetData sheetId="4">
        <row r="30">
          <cell r="K30">
            <v>2318989.75</v>
          </cell>
        </row>
      </sheetData>
      <sheetData sheetId="5">
        <row r="29">
          <cell r="L29">
            <v>3848013.4699999997</v>
          </cell>
        </row>
      </sheetData>
      <sheetData sheetId="6">
        <row r="29">
          <cell r="L29">
            <v>485567</v>
          </cell>
        </row>
      </sheetData>
      <sheetData sheetId="7"/>
      <sheetData sheetId="8">
        <row r="29">
          <cell r="L29">
            <v>682169</v>
          </cell>
        </row>
      </sheetData>
      <sheetData sheetId="9">
        <row r="29">
          <cell r="L29">
            <v>7575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actor-F"/>
      <sheetName val="F_อาคาร"/>
      <sheetName val="1.1.F-AR+BD"/>
      <sheetName val="1.F.A-ST+BD"/>
      <sheetName val="1.3.F-EE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224839</v>
          </cell>
        </row>
        <row r="21">
          <cell r="F21">
            <v>0</v>
          </cell>
        </row>
      </sheetData>
      <sheetData sheetId="2"/>
      <sheetData sheetId="3"/>
      <sheetData sheetId="4"/>
      <sheetData sheetId="5">
        <row r="27">
          <cell r="K27">
            <v>224839</v>
          </cell>
        </row>
      </sheetData>
      <sheetData sheetId="6">
        <row r="30">
          <cell r="L30">
            <v>202972.59000000003</v>
          </cell>
        </row>
      </sheetData>
      <sheetData sheetId="7">
        <row r="28">
          <cell r="L28">
            <v>97385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ปร.4(พ)"/>
      <sheetName val="Factor-F"/>
      <sheetName val="F_อาคาร"/>
      <sheetName val="1.1.G-AR+BD"/>
      <sheetName val="1.2.G-ST+BD"/>
      <sheetName val="1.3.G-EE+BD"/>
      <sheetName val="1.4.G-COM+BD"/>
      <sheetName val="1.5.G-FPSN+BD"/>
      <sheetName val="1.6.G-AC+BD"/>
      <sheetName val="2.1.G-Int-ม่าน+BD"/>
      <sheetName val="2.2.G-LF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 refreshError="1"/>
      <sheetData sheetId="1" refreshError="1">
        <row r="16">
          <cell r="F16">
            <v>16141041.5</v>
          </cell>
        </row>
        <row r="24">
          <cell r="F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K31">
            <v>16141041.5</v>
          </cell>
        </row>
      </sheetData>
      <sheetData sheetId="7" refreshError="1">
        <row r="30">
          <cell r="L30">
            <v>8719981.540000001</v>
          </cell>
        </row>
      </sheetData>
      <sheetData sheetId="8" refreshError="1">
        <row r="29">
          <cell r="L29">
            <v>4976881</v>
          </cell>
        </row>
      </sheetData>
      <sheetData sheetId="9" refreshError="1">
        <row r="29">
          <cell r="L29">
            <v>7062498</v>
          </cell>
        </row>
      </sheetData>
      <sheetData sheetId="10" refreshError="1">
        <row r="30">
          <cell r="L30">
            <v>2123507</v>
          </cell>
        </row>
      </sheetData>
      <sheetData sheetId="11" refreshError="1">
        <row r="30">
          <cell r="L30">
            <v>6386114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(ก)"/>
      <sheetName val="ปร.5(ข)"/>
      <sheetName val="Factor-F"/>
      <sheetName val="F_อาคาร"/>
      <sheetName val="1.1.ST+BD"/>
      <sheetName val="1.2.EE+BD"/>
      <sheetName val="1.3.COM+BD"/>
      <sheetName val="1.4.FPSN+BD"/>
      <sheetName val="เอกสารแนบ 1-9"/>
      <sheetName val="1-สำนักดัชนี"/>
      <sheetName val="2-ราคาวัสดุ กทม."/>
      <sheetName val="3-บัญชีค่าแรง"/>
      <sheetName val="4-ไม้แบบราคาต่อหน่วย"/>
      <sheetName val="5-Earth work"/>
      <sheetName val="6-AGGREGATE"/>
      <sheetName val="7-ค่าขยายตัว+ค่ายุบตัว"/>
      <sheetName val="8-ค่าดำเนินการ+ค่าเสื่อม"/>
      <sheetName val="9-ค่าขนส่ง 29-29.99"/>
    </sheetNames>
    <sheetDataSet>
      <sheetData sheetId="0"/>
      <sheetData sheetId="1">
        <row r="16">
          <cell r="F16">
            <v>4571213</v>
          </cell>
        </row>
        <row r="17">
          <cell r="F17">
            <v>25292226</v>
          </cell>
        </row>
        <row r="18">
          <cell r="F18">
            <v>3486995</v>
          </cell>
        </row>
        <row r="19">
          <cell r="F19">
            <v>2358682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9"/>
  <sheetViews>
    <sheetView tabSelected="1" workbookViewId="0">
      <selection activeCell="D17" sqref="D17"/>
    </sheetView>
  </sheetViews>
  <sheetFormatPr defaultColWidth="0" defaultRowHeight="24" zeroHeight="1"/>
  <cols>
    <col min="1" max="1" width="8.7109375" style="1511" customWidth="1"/>
    <col min="2" max="2" width="36.42578125" style="1511" customWidth="1"/>
    <col min="3" max="3" width="20" style="1511" customWidth="1"/>
    <col min="4" max="4" width="24.28515625" style="1511" customWidth="1"/>
    <col min="5" max="5" width="16.7109375" style="1511" customWidth="1"/>
    <col min="6" max="16384" width="0" style="1511" hidden="1"/>
  </cols>
  <sheetData>
    <row r="1" spans="1:6">
      <c r="A1" s="1508"/>
      <c r="B1" s="1509" t="s">
        <v>2406</v>
      </c>
      <c r="C1" s="1509"/>
      <c r="D1" s="1510"/>
      <c r="E1" s="1510" t="s">
        <v>2407</v>
      </c>
    </row>
    <row r="2" spans="1:6">
      <c r="A2" s="1922" t="s">
        <v>2408</v>
      </c>
      <c r="B2" s="1922"/>
      <c r="C2" s="1922"/>
      <c r="D2" s="1922"/>
      <c r="E2" s="1922"/>
    </row>
    <row r="3" spans="1:6">
      <c r="A3" s="1512" t="s">
        <v>2409</v>
      </c>
      <c r="B3" s="1513"/>
      <c r="C3" s="1513"/>
      <c r="D3" s="1513"/>
      <c r="E3" s="1513"/>
      <c r="F3" s="1514"/>
    </row>
    <row r="4" spans="1:6">
      <c r="A4" s="1923" t="s">
        <v>2410</v>
      </c>
      <c r="B4" s="1924"/>
      <c r="C4" s="1924"/>
      <c r="D4" s="1924"/>
      <c r="E4" s="1924"/>
    </row>
    <row r="5" spans="1:6">
      <c r="A5" s="1515" t="str">
        <f>[1]ปร.4!A10</f>
        <v xml:space="preserve">หน่วยงานเจ้าของโครงการ/งานก่อสร้าง  : มหาวิทยาลัยเทคโนโลยีราชมงคลอีสาน </v>
      </c>
      <c r="B5" s="1516"/>
      <c r="C5" s="1516"/>
      <c r="D5" s="1516"/>
      <c r="E5" s="1516"/>
    </row>
    <row r="6" spans="1:6">
      <c r="A6" s="1516" t="s">
        <v>2411</v>
      </c>
      <c r="B6" s="1516"/>
      <c r="C6" s="1516"/>
      <c r="D6" s="1516"/>
      <c r="E6" s="1516"/>
    </row>
    <row r="7" spans="1:6">
      <c r="A7" s="1515" t="s">
        <v>2449</v>
      </c>
      <c r="B7" s="1516"/>
      <c r="C7" s="1516"/>
      <c r="D7" s="1516"/>
      <c r="E7" s="1516"/>
    </row>
    <row r="8" spans="1:6" ht="24.75" thickBot="1">
      <c r="A8" s="1517"/>
      <c r="B8" s="1517"/>
      <c r="C8" s="1517"/>
      <c r="D8" s="1517"/>
      <c r="E8" s="1518" t="s">
        <v>2412</v>
      </c>
    </row>
    <row r="9" spans="1:6" ht="24.75" thickTop="1">
      <c r="A9" s="1919" t="s">
        <v>9</v>
      </c>
      <c r="B9" s="1926" t="s">
        <v>10</v>
      </c>
      <c r="C9" s="1519"/>
      <c r="D9" s="1919" t="s">
        <v>12</v>
      </c>
      <c r="E9" s="1919" t="s">
        <v>13</v>
      </c>
    </row>
    <row r="10" spans="1:6" ht="24.75" thickBot="1">
      <c r="A10" s="1925"/>
      <c r="B10" s="1927"/>
      <c r="C10" s="1520"/>
      <c r="D10" s="1921"/>
      <c r="E10" s="1925"/>
    </row>
    <row r="11" spans="1:6" ht="24.75" thickTop="1">
      <c r="A11" s="1521">
        <v>1</v>
      </c>
      <c r="B11" s="1522" t="s">
        <v>15</v>
      </c>
      <c r="C11" s="1523"/>
      <c r="D11" s="1524"/>
      <c r="E11" s="1521"/>
    </row>
    <row r="12" spans="1:6">
      <c r="A12" s="1525"/>
      <c r="B12" s="1526" t="s">
        <v>2413</v>
      </c>
      <c r="C12" s="1527"/>
      <c r="D12" s="1528"/>
      <c r="E12" s="1529"/>
    </row>
    <row r="13" spans="1:6">
      <c r="A13" s="1525"/>
      <c r="B13" s="1526" t="s">
        <v>2414</v>
      </c>
      <c r="C13" s="1527"/>
      <c r="D13" s="1530"/>
      <c r="E13" s="1531"/>
    </row>
    <row r="14" spans="1:6">
      <c r="A14" s="1532"/>
      <c r="B14" s="1526" t="s">
        <v>2415</v>
      </c>
      <c r="C14" s="1527"/>
      <c r="D14" s="1530"/>
      <c r="E14" s="1531"/>
    </row>
    <row r="15" spans="1:6">
      <c r="A15" s="1533">
        <v>2</v>
      </c>
      <c r="B15" s="1534" t="s">
        <v>55</v>
      </c>
      <c r="C15" s="1535"/>
      <c r="D15" s="1530"/>
      <c r="E15" s="1531"/>
    </row>
    <row r="16" spans="1:6">
      <c r="A16" s="1536"/>
      <c r="B16" s="1537" t="s">
        <v>2416</v>
      </c>
      <c r="C16" s="1538"/>
      <c r="D16" s="1530"/>
      <c r="E16" s="1531"/>
    </row>
    <row r="17" spans="1:6">
      <c r="A17" s="1536"/>
      <c r="B17" s="1539" t="s">
        <v>2452</v>
      </c>
      <c r="C17" s="1540"/>
      <c r="D17" s="1530"/>
      <c r="E17" s="1531"/>
    </row>
    <row r="18" spans="1:6">
      <c r="A18" s="1667"/>
      <c r="B18" s="1668" t="s">
        <v>89</v>
      </c>
      <c r="C18" s="1540"/>
      <c r="D18" s="1530"/>
      <c r="E18" s="1531"/>
    </row>
    <row r="19" spans="1:6">
      <c r="A19" s="1667"/>
      <c r="B19" s="1668" t="s">
        <v>2470</v>
      </c>
      <c r="C19" s="1540"/>
      <c r="D19" s="1530"/>
      <c r="E19" s="1531"/>
    </row>
    <row r="20" spans="1:6">
      <c r="A20" s="1533">
        <v>3</v>
      </c>
      <c r="B20" s="1541" t="s">
        <v>58</v>
      </c>
      <c r="C20" s="1542"/>
      <c r="D20" s="1543"/>
      <c r="E20" s="1544"/>
    </row>
    <row r="21" spans="1:6" ht="24.75" thickBot="1">
      <c r="A21" s="1545"/>
      <c r="B21" s="1546" t="s">
        <v>28</v>
      </c>
      <c r="C21" s="1547"/>
      <c r="D21" s="1545"/>
      <c r="E21" s="1545"/>
    </row>
    <row r="22" spans="1:6" s="1553" customFormat="1" ht="24.75" thickTop="1">
      <c r="A22" s="1919" t="s">
        <v>60</v>
      </c>
      <c r="B22" s="1548" t="s">
        <v>59</v>
      </c>
      <c r="C22" s="1549"/>
      <c r="D22" s="1550"/>
      <c r="E22" s="1551"/>
      <c r="F22" s="1552"/>
    </row>
    <row r="23" spans="1:6" s="1553" customFormat="1" ht="24.75" thickBot="1">
      <c r="A23" s="1920"/>
      <c r="B23" s="1554" t="s">
        <v>2417</v>
      </c>
      <c r="C23" s="1555"/>
      <c r="D23" s="1556"/>
      <c r="E23" s="1557"/>
      <c r="F23" s="1552"/>
    </row>
    <row r="24" spans="1:6" s="1553" customFormat="1" ht="25.5" thickTop="1" thickBot="1">
      <c r="A24" s="1921"/>
      <c r="B24" s="1558" t="s">
        <v>2418</v>
      </c>
      <c r="C24" s="1559"/>
      <c r="D24" s="1559"/>
      <c r="E24" s="1560"/>
      <c r="F24" s="1561"/>
    </row>
    <row r="25" spans="1:6" s="1553" customFormat="1" ht="15.75" customHeight="1" thickTop="1">
      <c r="A25" s="1552"/>
      <c r="B25" s="1562"/>
      <c r="C25" s="1562"/>
      <c r="D25" s="1561"/>
      <c r="E25" s="1561"/>
      <c r="F25" s="1561"/>
    </row>
    <row r="26" spans="1:6" s="1553" customFormat="1" ht="22.5" customHeight="1">
      <c r="B26" s="1563" t="s">
        <v>2419</v>
      </c>
      <c r="C26" s="1564" t="s">
        <v>2420</v>
      </c>
      <c r="D26" s="1565">
        <f>D23/15157</f>
        <v>0</v>
      </c>
      <c r="E26" s="1566" t="s">
        <v>2421</v>
      </c>
      <c r="F26" s="1561"/>
    </row>
    <row r="27" spans="1:6" s="1553" customFormat="1" ht="18" customHeight="1">
      <c r="A27" s="1567" t="s">
        <v>82</v>
      </c>
      <c r="B27" s="1568"/>
      <c r="C27" s="1568"/>
      <c r="D27" s="359"/>
      <c r="E27" s="359"/>
      <c r="F27" s="1561"/>
    </row>
    <row r="28" spans="1:6">
      <c r="A28" s="1569"/>
      <c r="B28" s="1568"/>
      <c r="C28" s="1568"/>
      <c r="D28" s="359"/>
      <c r="E28" s="359"/>
    </row>
    <row r="29" spans="1:6">
      <c r="A29" s="1570"/>
      <c r="B29" s="1571"/>
      <c r="C29" s="1571"/>
      <c r="D29" s="1571"/>
      <c r="E29" s="1570"/>
    </row>
    <row r="30" spans="1:6">
      <c r="A30" s="1572"/>
      <c r="B30" s="1573"/>
      <c r="C30" s="1573"/>
      <c r="D30" s="1573"/>
      <c r="E30" s="1572"/>
    </row>
    <row r="31" spans="1:6">
      <c r="A31" s="1572"/>
      <c r="B31" s="1574"/>
      <c r="C31" s="1574"/>
      <c r="D31" s="1575"/>
      <c r="E31" s="1572"/>
    </row>
    <row r="32" spans="1:6">
      <c r="A32" s="1572"/>
      <c r="B32" s="1572"/>
      <c r="C32" s="1572"/>
      <c r="D32" s="1575"/>
      <c r="E32" s="1572"/>
    </row>
    <row r="33" spans="1:5">
      <c r="A33" s="1576"/>
      <c r="B33" s="1571"/>
      <c r="C33" s="1571"/>
      <c r="D33" s="1571"/>
      <c r="E33" s="1571"/>
    </row>
    <row r="34" spans="1:5">
      <c r="A34" s="1574"/>
      <c r="B34" s="1573"/>
      <c r="C34" s="1573"/>
      <c r="D34" s="1573"/>
      <c r="E34" s="1573"/>
    </row>
    <row r="35" spans="1:5">
      <c r="A35" s="1574"/>
      <c r="B35" s="1577"/>
      <c r="C35" s="1577"/>
      <c r="D35" s="1573"/>
      <c r="E35" s="1573"/>
    </row>
    <row r="36" spans="1:5"/>
    <row r="37" spans="1:5"/>
    <row r="38" spans="1:5">
      <c r="E38" s="1907"/>
    </row>
    <row r="39" spans="1:5"/>
    <row r="40" spans="1:5"/>
    <row r="41" spans="1:5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</sheetData>
  <mergeCells count="7">
    <mergeCell ref="A22:A24"/>
    <mergeCell ref="A2:E2"/>
    <mergeCell ref="A4:E4"/>
    <mergeCell ref="A9:A10"/>
    <mergeCell ref="B9:B10"/>
    <mergeCell ref="D9:D10"/>
    <mergeCell ref="E9:E10"/>
  </mergeCells>
  <pageMargins left="0.25" right="0.25" top="0.75" bottom="0.75" header="0.3" footer="0.3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9"/>
  <sheetViews>
    <sheetView showGridLines="0" view="pageBreakPreview" zoomScale="80" zoomScaleSheetLayoutView="80" workbookViewId="0">
      <selection activeCell="A8" sqref="A8:A9"/>
    </sheetView>
  </sheetViews>
  <sheetFormatPr defaultRowHeight="21.75"/>
  <cols>
    <col min="1" max="1" width="8.7109375" customWidth="1"/>
    <col min="2" max="2" width="7.42578125" customWidth="1"/>
    <col min="3" max="3" width="7.28515625" customWidth="1"/>
    <col min="4" max="4" width="54.85546875" customWidth="1"/>
    <col min="5" max="5" width="9.85546875" customWidth="1"/>
    <col min="6" max="6" width="7.5703125" bestFit="1" customWidth="1"/>
    <col min="7" max="7" width="15.7109375" customWidth="1"/>
    <col min="8" max="8" width="17.42578125" customWidth="1"/>
    <col min="9" max="9" width="13.7109375" customWidth="1"/>
    <col min="10" max="10" width="15.7109375" customWidth="1"/>
    <col min="11" max="11" width="17.42578125" customWidth="1"/>
    <col min="12" max="12" width="15" customWidth="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7"/>
      <c r="C2" s="38"/>
      <c r="D2" s="38" t="s">
        <v>92</v>
      </c>
      <c r="E2" s="39"/>
      <c r="F2" s="38"/>
      <c r="G2" s="38"/>
      <c r="H2" s="38"/>
      <c r="I2" s="37"/>
      <c r="J2" s="40"/>
      <c r="K2" s="40"/>
      <c r="L2" s="40"/>
    </row>
    <row r="3" spans="1:12">
      <c r="A3" s="41" t="s">
        <v>78</v>
      </c>
      <c r="B3" s="42"/>
      <c r="C3" s="43"/>
      <c r="D3" s="43"/>
      <c r="E3" s="44"/>
      <c r="F3" s="43"/>
      <c r="G3" s="43"/>
      <c r="H3" s="43"/>
      <c r="I3" s="43"/>
      <c r="J3" s="45"/>
      <c r="K3" s="45"/>
      <c r="L3" s="45"/>
    </row>
    <row r="4" spans="1:12">
      <c r="A4" s="41" t="s">
        <v>44</v>
      </c>
      <c r="B4" s="42"/>
      <c r="C4" s="43"/>
      <c r="D4" s="43" t="s">
        <v>79</v>
      </c>
      <c r="E4" s="44"/>
      <c r="F4" s="46"/>
      <c r="I4" s="47" t="s">
        <v>31</v>
      </c>
      <c r="J4" s="45"/>
      <c r="K4" s="45"/>
      <c r="L4" s="45"/>
    </row>
    <row r="5" spans="1:12">
      <c r="A5" s="41" t="s">
        <v>80</v>
      </c>
      <c r="B5" s="42"/>
      <c r="C5" s="43"/>
      <c r="D5" s="43"/>
      <c r="E5" s="44"/>
      <c r="F5" s="46"/>
      <c r="G5" s="43"/>
      <c r="H5" s="43"/>
      <c r="I5" s="43"/>
      <c r="J5" s="45"/>
      <c r="K5" s="45"/>
      <c r="L5" s="45"/>
    </row>
    <row r="6" spans="1:12">
      <c r="A6" s="41" t="s">
        <v>42</v>
      </c>
      <c r="B6" s="42"/>
      <c r="C6" s="43"/>
      <c r="D6" s="43" t="s">
        <v>81</v>
      </c>
      <c r="E6" s="44" t="s">
        <v>28</v>
      </c>
      <c r="F6" s="43"/>
      <c r="G6" s="48" t="s">
        <v>32</v>
      </c>
      <c r="H6" s="49"/>
      <c r="I6" s="48" t="s">
        <v>33</v>
      </c>
      <c r="J6" s="41"/>
      <c r="K6" s="126" t="s">
        <v>65</v>
      </c>
      <c r="L6" s="50"/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51" t="s">
        <v>45</v>
      </c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4">
        <v>5</v>
      </c>
      <c r="B10" s="1994" t="s">
        <v>91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f>A10+0.1</f>
        <v>5.0999999999999996</v>
      </c>
      <c r="B11" s="133" t="s">
        <v>164</v>
      </c>
      <c r="C11" s="54"/>
      <c r="D11" s="55"/>
      <c r="E11" s="56"/>
      <c r="F11" s="57"/>
      <c r="G11" s="112"/>
      <c r="H11" s="118"/>
      <c r="I11" s="123"/>
      <c r="J11" s="124"/>
      <c r="K11" s="57"/>
      <c r="L11" s="58"/>
    </row>
    <row r="12" spans="1:12" ht="24">
      <c r="A12" s="132"/>
      <c r="B12" s="133"/>
      <c r="C12" s="61" t="s">
        <v>165</v>
      </c>
      <c r="D12" s="62"/>
      <c r="E12" s="63"/>
      <c r="F12" s="64"/>
      <c r="G12" s="113"/>
      <c r="H12" s="119"/>
      <c r="I12" s="113"/>
      <c r="J12" s="120"/>
      <c r="K12" s="65"/>
      <c r="L12" s="66"/>
    </row>
    <row r="13" spans="1:12" ht="24">
      <c r="A13" s="132">
        <v>5.2</v>
      </c>
      <c r="B13" s="133" t="s">
        <v>162</v>
      </c>
      <c r="C13" s="61"/>
      <c r="D13" s="62"/>
      <c r="E13" s="63"/>
      <c r="F13" s="64"/>
      <c r="G13" s="113"/>
      <c r="H13" s="120"/>
      <c r="I13" s="113"/>
      <c r="J13" s="120"/>
      <c r="K13" s="65"/>
      <c r="L13" s="66"/>
    </row>
    <row r="14" spans="1:12" ht="24">
      <c r="A14" s="132"/>
      <c r="B14" s="133"/>
      <c r="C14" s="61" t="s">
        <v>163</v>
      </c>
      <c r="D14" s="67"/>
      <c r="E14" s="56"/>
      <c r="F14" s="57"/>
      <c r="G14" s="114"/>
      <c r="H14" s="121"/>
      <c r="I14" s="114"/>
      <c r="J14" s="121"/>
      <c r="K14" s="68"/>
      <c r="L14" s="58"/>
    </row>
    <row r="15" spans="1:12" ht="24">
      <c r="A15" s="132">
        <v>5.3</v>
      </c>
      <c r="B15" s="133" t="s">
        <v>166</v>
      </c>
      <c r="C15" s="61"/>
      <c r="D15" s="67"/>
      <c r="E15" s="56"/>
      <c r="F15" s="57"/>
      <c r="G15" s="114"/>
      <c r="H15" s="121"/>
      <c r="I15" s="114"/>
      <c r="J15" s="121"/>
      <c r="K15" s="68"/>
      <c r="L15" s="58"/>
    </row>
    <row r="16" spans="1:12" ht="24">
      <c r="A16" s="132">
        <v>5.4</v>
      </c>
      <c r="B16" s="133" t="s">
        <v>167</v>
      </c>
      <c r="C16" s="61"/>
      <c r="D16" s="67"/>
      <c r="E16" s="56"/>
      <c r="F16" s="57"/>
      <c r="G16" s="114"/>
      <c r="H16" s="121"/>
      <c r="I16" s="114"/>
      <c r="J16" s="121"/>
      <c r="K16" s="68"/>
      <c r="L16" s="58"/>
    </row>
    <row r="17" spans="1:12" ht="24">
      <c r="A17" s="132">
        <v>5.5</v>
      </c>
      <c r="B17" s="133" t="s">
        <v>168</v>
      </c>
      <c r="C17" s="61"/>
      <c r="D17" s="67"/>
      <c r="E17" s="56"/>
      <c r="F17" s="57"/>
      <c r="G17" s="114"/>
      <c r="H17" s="121"/>
      <c r="I17" s="114"/>
      <c r="J17" s="121"/>
      <c r="K17" s="68"/>
      <c r="L17" s="58"/>
    </row>
    <row r="18" spans="1:12" ht="24">
      <c r="A18" s="59"/>
      <c r="B18" s="60"/>
      <c r="C18" s="61"/>
      <c r="D18" s="67"/>
      <c r="E18" s="56"/>
      <c r="F18" s="57"/>
      <c r="G18" s="114"/>
      <c r="H18" s="121"/>
      <c r="I18" s="114"/>
      <c r="J18" s="121"/>
      <c r="K18" s="68"/>
      <c r="L18" s="58"/>
    </row>
    <row r="19" spans="1:12" ht="24">
      <c r="A19" s="59"/>
      <c r="B19" s="60"/>
      <c r="C19" s="61"/>
      <c r="D19" s="67"/>
      <c r="E19" s="56"/>
      <c r="F19" s="57"/>
      <c r="G19" s="114"/>
      <c r="H19" s="121"/>
      <c r="I19" s="114"/>
      <c r="J19" s="121"/>
      <c r="K19" s="68"/>
      <c r="L19" s="58"/>
    </row>
    <row r="20" spans="1:12" ht="24">
      <c r="A20" s="59"/>
      <c r="B20" s="60"/>
      <c r="C20" s="61"/>
      <c r="D20" s="67"/>
      <c r="E20" s="56"/>
      <c r="F20" s="57"/>
      <c r="G20" s="114"/>
      <c r="H20" s="121"/>
      <c r="I20" s="114"/>
      <c r="J20" s="121"/>
      <c r="K20" s="68"/>
      <c r="L20" s="58"/>
    </row>
    <row r="21" spans="1:12" ht="24">
      <c r="A21" s="59"/>
      <c r="B21" s="60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2" ht="24">
      <c r="A22" s="59"/>
      <c r="B22" s="60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2" ht="24">
      <c r="A23" s="59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2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2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2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2" ht="24.75" thickTop="1">
      <c r="A30" s="70"/>
      <c r="B30" s="1981" t="s">
        <v>69</v>
      </c>
      <c r="C30" s="1982"/>
      <c r="D30" s="1983"/>
      <c r="E30" s="71"/>
      <c r="F30" s="72"/>
      <c r="G30" s="115"/>
      <c r="H30" s="122"/>
      <c r="I30" s="115"/>
      <c r="J30" s="122"/>
      <c r="K30" s="73"/>
      <c r="L30" s="74"/>
    </row>
    <row r="31" spans="1:12" ht="24">
      <c r="A31" s="132">
        <v>5.0999999999999996</v>
      </c>
      <c r="B31" s="133" t="s">
        <v>164</v>
      </c>
      <c r="C31" s="54"/>
      <c r="D31" s="137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52"/>
      <c r="B32" s="133"/>
      <c r="C32" s="61" t="s">
        <v>165</v>
      </c>
      <c r="D32" s="55"/>
      <c r="E32" s="56"/>
      <c r="F32" s="57"/>
      <c r="G32" s="112"/>
      <c r="H32" s="118"/>
      <c r="I32" s="123"/>
      <c r="J32" s="124"/>
      <c r="K32" s="57"/>
      <c r="L32" s="58"/>
    </row>
    <row r="33" spans="1:12" ht="24">
      <c r="A33" s="59"/>
      <c r="B33" s="60"/>
      <c r="C33" s="61"/>
      <c r="D33" s="62"/>
      <c r="E33" s="63"/>
      <c r="F33" s="64"/>
      <c r="G33" s="113"/>
      <c r="H33" s="119"/>
      <c r="I33" s="113"/>
      <c r="J33" s="120"/>
      <c r="K33" s="65"/>
      <c r="L33" s="66"/>
    </row>
    <row r="34" spans="1:12" ht="24">
      <c r="A34" s="59"/>
      <c r="B34" s="60"/>
      <c r="C34" s="61"/>
      <c r="D34" s="62"/>
      <c r="E34" s="63"/>
      <c r="F34" s="64"/>
      <c r="G34" s="113"/>
      <c r="H34" s="120"/>
      <c r="I34" s="113"/>
      <c r="J34" s="120"/>
      <c r="K34" s="65"/>
      <c r="L34" s="66"/>
    </row>
    <row r="35" spans="1:12" ht="24">
      <c r="A35" s="59"/>
      <c r="B35" s="60"/>
      <c r="C35" s="61"/>
      <c r="D35" s="67"/>
      <c r="E35" s="56"/>
      <c r="F35" s="57"/>
      <c r="G35" s="114"/>
      <c r="H35" s="121"/>
      <c r="I35" s="114"/>
      <c r="J35" s="121"/>
      <c r="K35" s="68"/>
      <c r="L35" s="58"/>
    </row>
    <row r="36" spans="1:12" ht="24">
      <c r="A36" s="59"/>
      <c r="B36" s="60"/>
      <c r="C36" s="61"/>
      <c r="D36" s="67"/>
      <c r="E36" s="56"/>
      <c r="F36" s="57"/>
      <c r="G36" s="114"/>
      <c r="H36" s="121"/>
      <c r="I36" s="114"/>
      <c r="J36" s="121"/>
      <c r="K36" s="68"/>
      <c r="L36" s="58"/>
    </row>
    <row r="37" spans="1:12" ht="24">
      <c r="A37" s="59"/>
      <c r="B37" s="60"/>
      <c r="C37" s="61"/>
      <c r="D37" s="67"/>
      <c r="E37" s="56"/>
      <c r="F37" s="57"/>
      <c r="G37" s="114"/>
      <c r="H37" s="121"/>
      <c r="I37" s="114"/>
      <c r="J37" s="121"/>
      <c r="K37" s="68"/>
      <c r="L37" s="58"/>
    </row>
    <row r="38" spans="1:12" ht="24">
      <c r="A38" s="59"/>
      <c r="B38" s="60"/>
      <c r="C38" s="61"/>
      <c r="D38" s="67"/>
      <c r="E38" s="56"/>
      <c r="F38" s="57"/>
      <c r="G38" s="114"/>
      <c r="H38" s="121"/>
      <c r="I38" s="114"/>
      <c r="J38" s="121"/>
      <c r="K38" s="68"/>
      <c r="L38" s="58"/>
    </row>
    <row r="39" spans="1:12" ht="24">
      <c r="A39" s="59"/>
      <c r="B39" s="60"/>
      <c r="C39" s="61"/>
      <c r="D39" s="67"/>
      <c r="E39" s="56"/>
      <c r="F39" s="57"/>
      <c r="G39" s="114"/>
      <c r="H39" s="121"/>
      <c r="I39" s="114"/>
      <c r="J39" s="121"/>
      <c r="K39" s="68"/>
      <c r="L39" s="58"/>
    </row>
    <row r="40" spans="1:12" ht="24">
      <c r="A40" s="59"/>
      <c r="B40" s="60"/>
      <c r="C40" s="61"/>
      <c r="D40" s="67"/>
      <c r="E40" s="56"/>
      <c r="F40" s="57"/>
      <c r="G40" s="114"/>
      <c r="H40" s="121"/>
      <c r="I40" s="114"/>
      <c r="J40" s="121"/>
      <c r="K40" s="68"/>
      <c r="L40" s="58"/>
    </row>
    <row r="41" spans="1:12" ht="24">
      <c r="A41" s="59"/>
      <c r="B41" s="60"/>
      <c r="C41" s="61"/>
      <c r="D41" s="67"/>
      <c r="E41" s="56"/>
      <c r="F41" s="57"/>
      <c r="G41" s="114"/>
      <c r="H41" s="121"/>
      <c r="I41" s="114"/>
      <c r="J41" s="121"/>
      <c r="K41" s="68"/>
      <c r="L41" s="58"/>
    </row>
    <row r="42" spans="1:12" ht="24">
      <c r="A42" s="59"/>
      <c r="B42" s="60"/>
      <c r="C42" s="61"/>
      <c r="D42" s="67"/>
      <c r="E42" s="56"/>
      <c r="F42" s="57"/>
      <c r="G42" s="114"/>
      <c r="H42" s="121"/>
      <c r="I42" s="114"/>
      <c r="J42" s="121"/>
      <c r="K42" s="68"/>
      <c r="L42" s="58"/>
    </row>
    <row r="43" spans="1:12" ht="24">
      <c r="A43" s="59"/>
      <c r="B43" s="60"/>
      <c r="C43" s="61"/>
      <c r="D43" s="67"/>
      <c r="E43" s="56"/>
      <c r="F43" s="57"/>
      <c r="G43" s="114"/>
      <c r="H43" s="121"/>
      <c r="I43" s="114"/>
      <c r="J43" s="121"/>
      <c r="K43" s="68"/>
      <c r="L43" s="58"/>
    </row>
    <row r="44" spans="1:12" ht="24">
      <c r="A44" s="59"/>
      <c r="B44" s="60"/>
      <c r="C44" s="61"/>
      <c r="D44" s="67"/>
      <c r="E44" s="56"/>
      <c r="F44" s="57"/>
      <c r="G44" s="114"/>
      <c r="H44" s="121"/>
      <c r="I44" s="114"/>
      <c r="J44" s="121"/>
      <c r="K44" s="68"/>
      <c r="L44" s="58"/>
    </row>
    <row r="45" spans="1:12" ht="24">
      <c r="A45" s="59"/>
      <c r="B45" s="60"/>
      <c r="C45" s="61"/>
      <c r="D45" s="67"/>
      <c r="E45" s="56"/>
      <c r="F45" s="57"/>
      <c r="G45" s="114"/>
      <c r="H45" s="121"/>
      <c r="I45" s="114"/>
      <c r="J45" s="121"/>
      <c r="K45" s="68"/>
      <c r="L45" s="58"/>
    </row>
    <row r="46" spans="1:12" ht="24">
      <c r="A46" s="69"/>
      <c r="B46" s="60"/>
      <c r="C46" s="61"/>
      <c r="D46" s="67"/>
      <c r="E46" s="56"/>
      <c r="F46" s="57"/>
      <c r="G46" s="114"/>
      <c r="H46" s="121"/>
      <c r="I46" s="114"/>
      <c r="J46" s="121"/>
      <c r="K46" s="68"/>
      <c r="L46" s="58"/>
    </row>
    <row r="47" spans="1:12" ht="24">
      <c r="A47" s="69"/>
      <c r="B47" s="60"/>
      <c r="C47" s="61"/>
      <c r="D47" s="67"/>
      <c r="E47" s="56"/>
      <c r="F47" s="57"/>
      <c r="G47" s="114"/>
      <c r="H47" s="121"/>
      <c r="I47" s="114"/>
      <c r="J47" s="121"/>
      <c r="K47" s="68"/>
      <c r="L47" s="58"/>
    </row>
    <row r="48" spans="1:12" ht="24">
      <c r="A48" s="69"/>
      <c r="B48" s="60"/>
      <c r="C48" s="61"/>
      <c r="D48" s="67"/>
      <c r="E48" s="56"/>
      <c r="F48" s="57"/>
      <c r="G48" s="114"/>
      <c r="H48" s="121"/>
      <c r="I48" s="114"/>
      <c r="J48" s="121"/>
      <c r="K48" s="68"/>
      <c r="L48" s="58"/>
    </row>
    <row r="49" spans="1:12" ht="24">
      <c r="A49" s="69"/>
      <c r="B49" s="60"/>
      <c r="C49" s="61"/>
      <c r="D49" s="67"/>
      <c r="E49" s="56"/>
      <c r="F49" s="57"/>
      <c r="G49" s="114"/>
      <c r="H49" s="121"/>
      <c r="I49" s="114"/>
      <c r="J49" s="121"/>
      <c r="K49" s="68"/>
      <c r="L49" s="58"/>
    </row>
    <row r="50" spans="1:12" ht="24.75" thickBot="1">
      <c r="A50" s="69"/>
      <c r="B50" s="60"/>
      <c r="C50" s="61"/>
      <c r="D50" s="67"/>
      <c r="E50" s="56"/>
      <c r="F50" s="57"/>
      <c r="G50" s="114"/>
      <c r="H50" s="121"/>
      <c r="I50" s="114"/>
      <c r="J50" s="121"/>
      <c r="K50" s="68"/>
      <c r="L50" s="58"/>
    </row>
    <row r="51" spans="1:12" ht="24.75" thickTop="1">
      <c r="A51" s="70"/>
      <c r="B51" s="1981" t="s">
        <v>69</v>
      </c>
      <c r="C51" s="1982"/>
      <c r="D51" s="1983"/>
      <c r="E51" s="71"/>
      <c r="F51" s="72"/>
      <c r="G51" s="115"/>
      <c r="H51" s="122"/>
      <c r="I51" s="115"/>
      <c r="J51" s="122"/>
      <c r="K51" s="73"/>
      <c r="L51" s="74"/>
    </row>
    <row r="52" spans="1:12" ht="24">
      <c r="A52" s="132">
        <v>5.2</v>
      </c>
      <c r="B52" s="133" t="s">
        <v>162</v>
      </c>
      <c r="C52" s="61"/>
      <c r="D52" s="137"/>
      <c r="E52" s="105"/>
      <c r="F52" s="106"/>
      <c r="G52" s="111"/>
      <c r="H52" s="117"/>
      <c r="I52" s="111"/>
      <c r="J52" s="117"/>
      <c r="K52" s="63"/>
      <c r="L52" s="107"/>
    </row>
    <row r="53" spans="1:12" ht="24">
      <c r="A53" s="52"/>
      <c r="B53" s="133"/>
      <c r="C53" s="61" t="s">
        <v>163</v>
      </c>
      <c r="D53" s="55"/>
      <c r="E53" s="56"/>
      <c r="F53" s="57"/>
      <c r="G53" s="112"/>
      <c r="H53" s="118"/>
      <c r="I53" s="123"/>
      <c r="J53" s="124"/>
      <c r="K53" s="57"/>
      <c r="L53" s="58"/>
    </row>
    <row r="54" spans="1:12" ht="24">
      <c r="A54" s="59"/>
      <c r="B54" s="60"/>
      <c r="C54" s="61"/>
      <c r="D54" s="62"/>
      <c r="E54" s="63"/>
      <c r="F54" s="64"/>
      <c r="G54" s="113"/>
      <c r="H54" s="119"/>
      <c r="I54" s="113"/>
      <c r="J54" s="120"/>
      <c r="K54" s="65"/>
      <c r="L54" s="66"/>
    </row>
    <row r="55" spans="1:12" ht="24">
      <c r="A55" s="59"/>
      <c r="B55" s="60"/>
      <c r="C55" s="61"/>
      <c r="D55" s="62"/>
      <c r="E55" s="63"/>
      <c r="F55" s="64"/>
      <c r="G55" s="113"/>
      <c r="H55" s="120"/>
      <c r="I55" s="113"/>
      <c r="J55" s="120"/>
      <c r="K55" s="65"/>
      <c r="L55" s="66"/>
    </row>
    <row r="56" spans="1:12" ht="24">
      <c r="A56" s="59"/>
      <c r="B56" s="60"/>
      <c r="C56" s="61"/>
      <c r="D56" s="67"/>
      <c r="E56" s="56"/>
      <c r="F56" s="57"/>
      <c r="G56" s="114"/>
      <c r="H56" s="121"/>
      <c r="I56" s="114"/>
      <c r="J56" s="121"/>
      <c r="K56" s="68"/>
      <c r="L56" s="58"/>
    </row>
    <row r="57" spans="1:12" ht="24">
      <c r="A57" s="59"/>
      <c r="B57" s="60"/>
      <c r="C57" s="61"/>
      <c r="D57" s="67"/>
      <c r="E57" s="56"/>
      <c r="F57" s="57"/>
      <c r="G57" s="114"/>
      <c r="H57" s="121"/>
      <c r="I57" s="114"/>
      <c r="J57" s="121"/>
      <c r="K57" s="68"/>
      <c r="L57" s="58"/>
    </row>
    <row r="58" spans="1:12" ht="24">
      <c r="A58" s="59"/>
      <c r="B58" s="60"/>
      <c r="C58" s="61"/>
      <c r="D58" s="67"/>
      <c r="E58" s="56"/>
      <c r="F58" s="57"/>
      <c r="G58" s="114"/>
      <c r="H58" s="121"/>
      <c r="I58" s="114"/>
      <c r="J58" s="121"/>
      <c r="K58" s="68"/>
      <c r="L58" s="58"/>
    </row>
    <row r="59" spans="1:12" ht="24">
      <c r="A59" s="59"/>
      <c r="B59" s="60"/>
      <c r="C59" s="61"/>
      <c r="D59" s="67"/>
      <c r="E59" s="56"/>
      <c r="F59" s="57"/>
      <c r="G59" s="114"/>
      <c r="H59" s="121"/>
      <c r="I59" s="114"/>
      <c r="J59" s="121"/>
      <c r="K59" s="68"/>
      <c r="L59" s="58"/>
    </row>
    <row r="60" spans="1:12" ht="24">
      <c r="A60" s="59"/>
      <c r="B60" s="60"/>
      <c r="C60" s="61"/>
      <c r="D60" s="67"/>
      <c r="E60" s="56"/>
      <c r="F60" s="57"/>
      <c r="G60" s="114"/>
      <c r="H60" s="121"/>
      <c r="I60" s="114"/>
      <c r="J60" s="121"/>
      <c r="K60" s="68"/>
      <c r="L60" s="58"/>
    </row>
    <row r="61" spans="1:12" ht="24">
      <c r="A61" s="59"/>
      <c r="B61" s="60"/>
      <c r="C61" s="61"/>
      <c r="D61" s="67"/>
      <c r="E61" s="56"/>
      <c r="F61" s="57"/>
      <c r="G61" s="114"/>
      <c r="H61" s="121"/>
      <c r="I61" s="114"/>
      <c r="J61" s="121"/>
      <c r="K61" s="68"/>
      <c r="L61" s="58"/>
    </row>
    <row r="62" spans="1:12" ht="24">
      <c r="A62" s="59"/>
      <c r="B62" s="60"/>
      <c r="C62" s="61"/>
      <c r="D62" s="67"/>
      <c r="E62" s="56"/>
      <c r="F62" s="57"/>
      <c r="G62" s="114"/>
      <c r="H62" s="121"/>
      <c r="I62" s="114"/>
      <c r="J62" s="121"/>
      <c r="K62" s="68"/>
      <c r="L62" s="58"/>
    </row>
    <row r="63" spans="1:12" ht="24">
      <c r="A63" s="59"/>
      <c r="B63" s="60"/>
      <c r="C63" s="61"/>
      <c r="D63" s="67"/>
      <c r="E63" s="56"/>
      <c r="F63" s="57"/>
      <c r="G63" s="114"/>
      <c r="H63" s="121"/>
      <c r="I63" s="114"/>
      <c r="J63" s="121"/>
      <c r="K63" s="68"/>
      <c r="L63" s="58"/>
    </row>
    <row r="64" spans="1:12" ht="24">
      <c r="A64" s="59"/>
      <c r="B64" s="60"/>
      <c r="C64" s="61"/>
      <c r="D64" s="67"/>
      <c r="E64" s="56"/>
      <c r="F64" s="57"/>
      <c r="G64" s="114"/>
      <c r="H64" s="121"/>
      <c r="I64" s="114"/>
      <c r="J64" s="121"/>
      <c r="K64" s="68"/>
      <c r="L64" s="58"/>
    </row>
    <row r="65" spans="1:12" ht="24">
      <c r="A65" s="59"/>
      <c r="B65" s="60"/>
      <c r="C65" s="61"/>
      <c r="D65" s="67"/>
      <c r="E65" s="56"/>
      <c r="F65" s="57"/>
      <c r="G65" s="114"/>
      <c r="H65" s="121"/>
      <c r="I65" s="114"/>
      <c r="J65" s="121"/>
      <c r="K65" s="68"/>
      <c r="L65" s="58"/>
    </row>
    <row r="66" spans="1:12" ht="24">
      <c r="A66" s="59"/>
      <c r="B66" s="60"/>
      <c r="C66" s="61"/>
      <c r="D66" s="67"/>
      <c r="E66" s="56"/>
      <c r="F66" s="57"/>
      <c r="G66" s="114"/>
      <c r="H66" s="121"/>
      <c r="I66" s="114"/>
      <c r="J66" s="121"/>
      <c r="K66" s="68"/>
      <c r="L66" s="58"/>
    </row>
    <row r="67" spans="1:12" ht="24">
      <c r="A67" s="69"/>
      <c r="B67" s="60"/>
      <c r="C67" s="61"/>
      <c r="D67" s="67"/>
      <c r="E67" s="56"/>
      <c r="F67" s="57"/>
      <c r="G67" s="114"/>
      <c r="H67" s="121"/>
      <c r="I67" s="114"/>
      <c r="J67" s="121"/>
      <c r="K67" s="68"/>
      <c r="L67" s="58"/>
    </row>
    <row r="68" spans="1:12" ht="24">
      <c r="A68" s="69"/>
      <c r="B68" s="60"/>
      <c r="C68" s="61"/>
      <c r="D68" s="67"/>
      <c r="E68" s="56"/>
      <c r="F68" s="57"/>
      <c r="G68" s="114"/>
      <c r="H68" s="121"/>
      <c r="I68" s="114"/>
      <c r="J68" s="121"/>
      <c r="K68" s="68"/>
      <c r="L68" s="58"/>
    </row>
    <row r="69" spans="1:12" ht="24">
      <c r="A69" s="69"/>
      <c r="B69" s="60"/>
      <c r="C69" s="61"/>
      <c r="D69" s="67"/>
      <c r="E69" s="56"/>
      <c r="F69" s="57"/>
      <c r="G69" s="114"/>
      <c r="H69" s="121"/>
      <c r="I69" s="114"/>
      <c r="J69" s="121"/>
      <c r="K69" s="68"/>
      <c r="L69" s="58"/>
    </row>
    <row r="70" spans="1:12" ht="24">
      <c r="A70" s="69"/>
      <c r="B70" s="60"/>
      <c r="C70" s="61"/>
      <c r="D70" s="67"/>
      <c r="E70" s="56"/>
      <c r="F70" s="57"/>
      <c r="G70" s="114"/>
      <c r="H70" s="121"/>
      <c r="I70" s="114"/>
      <c r="J70" s="121"/>
      <c r="K70" s="68"/>
      <c r="L70" s="58"/>
    </row>
    <row r="71" spans="1:12" ht="24.75" thickBot="1">
      <c r="A71" s="69"/>
      <c r="B71" s="60"/>
      <c r="C71" s="61"/>
      <c r="D71" s="67"/>
      <c r="E71" s="56"/>
      <c r="F71" s="57"/>
      <c r="G71" s="114"/>
      <c r="H71" s="121"/>
      <c r="I71" s="114"/>
      <c r="J71" s="121"/>
      <c r="K71" s="68"/>
      <c r="L71" s="58"/>
    </row>
    <row r="72" spans="1:12" ht="24.75" thickTop="1">
      <c r="A72" s="70"/>
      <c r="B72" s="1981" t="s">
        <v>69</v>
      </c>
      <c r="C72" s="1982"/>
      <c r="D72" s="1983"/>
      <c r="E72" s="71"/>
      <c r="F72" s="72"/>
      <c r="G72" s="115"/>
      <c r="H72" s="122"/>
      <c r="I72" s="115"/>
      <c r="J72" s="122"/>
      <c r="K72" s="73"/>
      <c r="L72" s="74"/>
    </row>
    <row r="73" spans="1:12" ht="24">
      <c r="A73" s="132">
        <v>5.3</v>
      </c>
      <c r="B73" s="133" t="s">
        <v>166</v>
      </c>
      <c r="C73" s="136"/>
      <c r="D73" s="137"/>
      <c r="E73" s="105"/>
      <c r="F73" s="106"/>
      <c r="G73" s="111"/>
      <c r="H73" s="117"/>
      <c r="I73" s="111"/>
      <c r="J73" s="117"/>
      <c r="K73" s="63"/>
      <c r="L73" s="107"/>
    </row>
    <row r="74" spans="1:12" ht="24">
      <c r="A74" s="52"/>
      <c r="B74" s="53"/>
      <c r="C74" s="54"/>
      <c r="D74" s="55"/>
      <c r="E74" s="56"/>
      <c r="F74" s="57"/>
      <c r="G74" s="112"/>
      <c r="H74" s="118"/>
      <c r="I74" s="123"/>
      <c r="J74" s="124"/>
      <c r="K74" s="57"/>
      <c r="L74" s="58"/>
    </row>
    <row r="75" spans="1:12" ht="24">
      <c r="A75" s="59"/>
      <c r="B75" s="60"/>
      <c r="C75" s="61"/>
      <c r="D75" s="62"/>
      <c r="E75" s="63"/>
      <c r="F75" s="64"/>
      <c r="G75" s="113"/>
      <c r="H75" s="119"/>
      <c r="I75" s="113"/>
      <c r="J75" s="120"/>
      <c r="K75" s="65"/>
      <c r="L75" s="66"/>
    </row>
    <row r="76" spans="1:12" ht="24">
      <c r="A76" s="59"/>
      <c r="B76" s="60"/>
      <c r="C76" s="61"/>
      <c r="D76" s="62"/>
      <c r="E76" s="63"/>
      <c r="F76" s="64"/>
      <c r="G76" s="113"/>
      <c r="H76" s="120"/>
      <c r="I76" s="113"/>
      <c r="J76" s="120"/>
      <c r="K76" s="65"/>
      <c r="L76" s="66"/>
    </row>
    <row r="77" spans="1:12" ht="24">
      <c r="A77" s="59"/>
      <c r="B77" s="60"/>
      <c r="C77" s="61"/>
      <c r="D77" s="67"/>
      <c r="E77" s="56"/>
      <c r="F77" s="57"/>
      <c r="G77" s="114"/>
      <c r="H77" s="121"/>
      <c r="I77" s="114"/>
      <c r="J77" s="121"/>
      <c r="K77" s="68"/>
      <c r="L77" s="58"/>
    </row>
    <row r="78" spans="1:12" ht="24">
      <c r="A78" s="59"/>
      <c r="B78" s="60"/>
      <c r="C78" s="61"/>
      <c r="D78" s="67"/>
      <c r="E78" s="56"/>
      <c r="F78" s="57"/>
      <c r="G78" s="114"/>
      <c r="H78" s="121"/>
      <c r="I78" s="114"/>
      <c r="J78" s="121"/>
      <c r="K78" s="68"/>
      <c r="L78" s="58"/>
    </row>
    <row r="79" spans="1:12" ht="24">
      <c r="A79" s="59"/>
      <c r="B79" s="60"/>
      <c r="C79" s="61"/>
      <c r="D79" s="67"/>
      <c r="E79" s="56"/>
      <c r="F79" s="57"/>
      <c r="G79" s="114"/>
      <c r="H79" s="121"/>
      <c r="I79" s="114"/>
      <c r="J79" s="121"/>
      <c r="K79" s="68"/>
      <c r="L79" s="58"/>
    </row>
    <row r="80" spans="1:12" ht="24">
      <c r="A80" s="59"/>
      <c r="B80" s="60"/>
      <c r="C80" s="61"/>
      <c r="D80" s="67"/>
      <c r="E80" s="56"/>
      <c r="F80" s="57"/>
      <c r="G80" s="114"/>
      <c r="H80" s="121"/>
      <c r="I80" s="114"/>
      <c r="J80" s="121"/>
      <c r="K80" s="68"/>
      <c r="L80" s="58"/>
    </row>
    <row r="81" spans="1:12" ht="24">
      <c r="A81" s="59"/>
      <c r="B81" s="60"/>
      <c r="C81" s="61"/>
      <c r="D81" s="67"/>
      <c r="E81" s="56"/>
      <c r="F81" s="57"/>
      <c r="G81" s="114"/>
      <c r="H81" s="121"/>
      <c r="I81" s="114"/>
      <c r="J81" s="121"/>
      <c r="K81" s="68"/>
      <c r="L81" s="58"/>
    </row>
    <row r="82" spans="1:12" ht="24">
      <c r="A82" s="59"/>
      <c r="B82" s="60"/>
      <c r="C82" s="61"/>
      <c r="D82" s="67"/>
      <c r="E82" s="56"/>
      <c r="F82" s="57"/>
      <c r="G82" s="114"/>
      <c r="H82" s="121"/>
      <c r="I82" s="114"/>
      <c r="J82" s="121"/>
      <c r="K82" s="68"/>
      <c r="L82" s="58"/>
    </row>
    <row r="83" spans="1:12" ht="24">
      <c r="A83" s="59"/>
      <c r="B83" s="60"/>
      <c r="C83" s="61"/>
      <c r="D83" s="67"/>
      <c r="E83" s="56"/>
      <c r="F83" s="57"/>
      <c r="G83" s="114"/>
      <c r="H83" s="121"/>
      <c r="I83" s="114"/>
      <c r="J83" s="121"/>
      <c r="K83" s="68"/>
      <c r="L83" s="58"/>
    </row>
    <row r="84" spans="1:12" ht="24">
      <c r="A84" s="59"/>
      <c r="B84" s="60"/>
      <c r="C84" s="61"/>
      <c r="D84" s="67"/>
      <c r="E84" s="56"/>
      <c r="F84" s="57"/>
      <c r="G84" s="114"/>
      <c r="H84" s="121"/>
      <c r="I84" s="114"/>
      <c r="J84" s="121"/>
      <c r="K84" s="68"/>
      <c r="L84" s="58"/>
    </row>
    <row r="85" spans="1:12" ht="24">
      <c r="A85" s="59"/>
      <c r="B85" s="60"/>
      <c r="C85" s="61"/>
      <c r="D85" s="67"/>
      <c r="E85" s="56"/>
      <c r="F85" s="57"/>
      <c r="G85" s="114"/>
      <c r="H85" s="121"/>
      <c r="I85" s="114"/>
      <c r="J85" s="121"/>
      <c r="K85" s="68"/>
      <c r="L85" s="58"/>
    </row>
    <row r="86" spans="1:12" ht="24">
      <c r="A86" s="59"/>
      <c r="B86" s="60"/>
      <c r="C86" s="61"/>
      <c r="D86" s="67"/>
      <c r="E86" s="56"/>
      <c r="F86" s="57"/>
      <c r="G86" s="114"/>
      <c r="H86" s="121"/>
      <c r="I86" s="114"/>
      <c r="J86" s="121"/>
      <c r="K86" s="68"/>
      <c r="L86" s="58"/>
    </row>
    <row r="87" spans="1:12" ht="24">
      <c r="A87" s="59"/>
      <c r="B87" s="60"/>
      <c r="C87" s="61"/>
      <c r="D87" s="67"/>
      <c r="E87" s="56"/>
      <c r="F87" s="57"/>
      <c r="G87" s="114"/>
      <c r="H87" s="121"/>
      <c r="I87" s="114"/>
      <c r="J87" s="121"/>
      <c r="K87" s="68"/>
      <c r="L87" s="58"/>
    </row>
    <row r="88" spans="1:12" ht="24">
      <c r="A88" s="69"/>
      <c r="B88" s="60"/>
      <c r="C88" s="61"/>
      <c r="D88" s="67"/>
      <c r="E88" s="56"/>
      <c r="F88" s="57"/>
      <c r="G88" s="114"/>
      <c r="H88" s="121"/>
      <c r="I88" s="114"/>
      <c r="J88" s="121"/>
      <c r="K88" s="68"/>
      <c r="L88" s="58"/>
    </row>
    <row r="89" spans="1:12" ht="24">
      <c r="A89" s="69"/>
      <c r="B89" s="60"/>
      <c r="C89" s="61"/>
      <c r="D89" s="67"/>
      <c r="E89" s="56"/>
      <c r="F89" s="57"/>
      <c r="G89" s="114"/>
      <c r="H89" s="121"/>
      <c r="I89" s="114"/>
      <c r="J89" s="121"/>
      <c r="K89" s="68"/>
      <c r="L89" s="58"/>
    </row>
    <row r="90" spans="1:12" ht="24">
      <c r="A90" s="69"/>
      <c r="B90" s="60"/>
      <c r="C90" s="61"/>
      <c r="D90" s="67"/>
      <c r="E90" s="56"/>
      <c r="F90" s="57"/>
      <c r="G90" s="114"/>
      <c r="H90" s="121"/>
      <c r="I90" s="114"/>
      <c r="J90" s="121"/>
      <c r="K90" s="68"/>
      <c r="L90" s="58"/>
    </row>
    <row r="91" spans="1:12" ht="24">
      <c r="A91" s="69"/>
      <c r="B91" s="60"/>
      <c r="C91" s="61"/>
      <c r="D91" s="67"/>
      <c r="E91" s="56"/>
      <c r="F91" s="57"/>
      <c r="G91" s="114"/>
      <c r="H91" s="121"/>
      <c r="I91" s="114"/>
      <c r="J91" s="121"/>
      <c r="K91" s="68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70"/>
      <c r="B93" s="1981" t="s">
        <v>69</v>
      </c>
      <c r="C93" s="1982"/>
      <c r="D93" s="1983"/>
      <c r="E93" s="71"/>
      <c r="F93" s="72"/>
      <c r="G93" s="115"/>
      <c r="H93" s="122"/>
      <c r="I93" s="115"/>
      <c r="J93" s="122"/>
      <c r="K93" s="73"/>
      <c r="L93" s="74"/>
    </row>
    <row r="94" spans="1:12" ht="24">
      <c r="A94" s="132">
        <v>5.4</v>
      </c>
      <c r="B94" s="133" t="s">
        <v>167</v>
      </c>
      <c r="C94" s="136"/>
      <c r="D94" s="137"/>
      <c r="E94" s="105"/>
      <c r="F94" s="106"/>
      <c r="G94" s="111"/>
      <c r="H94" s="117"/>
      <c r="I94" s="111"/>
      <c r="J94" s="117"/>
      <c r="K94" s="63"/>
      <c r="L94" s="107"/>
    </row>
    <row r="95" spans="1:12" ht="24">
      <c r="A95" s="52"/>
      <c r="B95" s="53"/>
      <c r="C95" s="54"/>
      <c r="D95" s="55"/>
      <c r="E95" s="56"/>
      <c r="F95" s="57"/>
      <c r="G95" s="112"/>
      <c r="H95" s="118"/>
      <c r="I95" s="123"/>
      <c r="J95" s="124"/>
      <c r="K95" s="57"/>
      <c r="L95" s="58"/>
    </row>
    <row r="96" spans="1:12" ht="24">
      <c r="A96" s="59"/>
      <c r="B96" s="60"/>
      <c r="C96" s="61"/>
      <c r="D96" s="62"/>
      <c r="E96" s="63"/>
      <c r="F96" s="64"/>
      <c r="G96" s="113"/>
      <c r="H96" s="119"/>
      <c r="I96" s="113"/>
      <c r="J96" s="120"/>
      <c r="K96" s="65"/>
      <c r="L96" s="66"/>
    </row>
    <row r="97" spans="1:12" ht="24">
      <c r="A97" s="59"/>
      <c r="B97" s="60"/>
      <c r="C97" s="61"/>
      <c r="D97" s="62"/>
      <c r="E97" s="63"/>
      <c r="F97" s="64"/>
      <c r="G97" s="113"/>
      <c r="H97" s="120"/>
      <c r="I97" s="113"/>
      <c r="J97" s="120"/>
      <c r="K97" s="65"/>
      <c r="L97" s="66"/>
    </row>
    <row r="98" spans="1:12" ht="24">
      <c r="A98" s="59"/>
      <c r="B98" s="60"/>
      <c r="C98" s="61"/>
      <c r="D98" s="67"/>
      <c r="E98" s="56"/>
      <c r="F98" s="57"/>
      <c r="G98" s="114"/>
      <c r="H98" s="121"/>
      <c r="I98" s="114"/>
      <c r="J98" s="121"/>
      <c r="K98" s="68"/>
      <c r="L98" s="58"/>
    </row>
    <row r="99" spans="1:12" ht="24">
      <c r="A99" s="59"/>
      <c r="B99" s="60"/>
      <c r="C99" s="61"/>
      <c r="D99" s="67"/>
      <c r="E99" s="56"/>
      <c r="F99" s="57"/>
      <c r="G99" s="114"/>
      <c r="H99" s="121"/>
      <c r="I99" s="114"/>
      <c r="J99" s="121"/>
      <c r="K99" s="68"/>
      <c r="L99" s="58"/>
    </row>
    <row r="100" spans="1:12" ht="24">
      <c r="A100" s="59"/>
      <c r="B100" s="60"/>
      <c r="C100" s="61"/>
      <c r="D100" s="67"/>
      <c r="E100" s="56"/>
      <c r="F100" s="57"/>
      <c r="G100" s="114"/>
      <c r="H100" s="121"/>
      <c r="I100" s="114"/>
      <c r="J100" s="121"/>
      <c r="K100" s="68"/>
      <c r="L100" s="58"/>
    </row>
    <row r="101" spans="1:12" ht="24">
      <c r="A101" s="59"/>
      <c r="B101" s="60"/>
      <c r="C101" s="61"/>
      <c r="D101" s="67"/>
      <c r="E101" s="56"/>
      <c r="F101" s="57"/>
      <c r="G101" s="114"/>
      <c r="H101" s="121"/>
      <c r="I101" s="114"/>
      <c r="J101" s="121"/>
      <c r="K101" s="68"/>
      <c r="L101" s="58"/>
    </row>
    <row r="102" spans="1:12" ht="24">
      <c r="A102" s="59"/>
      <c r="B102" s="60"/>
      <c r="C102" s="61"/>
      <c r="D102" s="67"/>
      <c r="E102" s="56"/>
      <c r="F102" s="57"/>
      <c r="G102" s="114"/>
      <c r="H102" s="121"/>
      <c r="I102" s="114"/>
      <c r="J102" s="121"/>
      <c r="K102" s="68"/>
      <c r="L102" s="58"/>
    </row>
    <row r="103" spans="1:12" ht="24">
      <c r="A103" s="59"/>
      <c r="B103" s="60"/>
      <c r="C103" s="61"/>
      <c r="D103" s="67"/>
      <c r="E103" s="56"/>
      <c r="F103" s="57"/>
      <c r="G103" s="114"/>
      <c r="H103" s="121"/>
      <c r="I103" s="114"/>
      <c r="J103" s="121"/>
      <c r="K103" s="68"/>
      <c r="L103" s="58"/>
    </row>
    <row r="104" spans="1:12" ht="24">
      <c r="A104" s="59"/>
      <c r="B104" s="60"/>
      <c r="C104" s="61"/>
      <c r="D104" s="67"/>
      <c r="E104" s="56"/>
      <c r="F104" s="57"/>
      <c r="G104" s="114"/>
      <c r="H104" s="121"/>
      <c r="I104" s="114"/>
      <c r="J104" s="121"/>
      <c r="K104" s="68"/>
      <c r="L104" s="58"/>
    </row>
    <row r="105" spans="1:12" ht="24">
      <c r="A105" s="59"/>
      <c r="B105" s="60"/>
      <c r="C105" s="61"/>
      <c r="D105" s="67"/>
      <c r="E105" s="56"/>
      <c r="F105" s="57"/>
      <c r="G105" s="114"/>
      <c r="H105" s="121"/>
      <c r="I105" s="114"/>
      <c r="J105" s="121"/>
      <c r="K105" s="68"/>
      <c r="L105" s="58"/>
    </row>
    <row r="106" spans="1:12" ht="24">
      <c r="A106" s="59"/>
      <c r="B106" s="60"/>
      <c r="C106" s="61"/>
      <c r="D106" s="67"/>
      <c r="E106" s="56"/>
      <c r="F106" s="57"/>
      <c r="G106" s="114"/>
      <c r="H106" s="121"/>
      <c r="I106" s="114"/>
      <c r="J106" s="121"/>
      <c r="K106" s="68"/>
      <c r="L106" s="58"/>
    </row>
    <row r="107" spans="1:12" ht="24">
      <c r="A107" s="59"/>
      <c r="B107" s="60"/>
      <c r="C107" s="61"/>
      <c r="D107" s="67"/>
      <c r="E107" s="56"/>
      <c r="F107" s="57"/>
      <c r="G107" s="114"/>
      <c r="H107" s="121"/>
      <c r="I107" s="114"/>
      <c r="J107" s="121"/>
      <c r="K107" s="68"/>
      <c r="L107" s="58"/>
    </row>
    <row r="108" spans="1:12" ht="24">
      <c r="A108" s="59"/>
      <c r="B108" s="60"/>
      <c r="C108" s="61"/>
      <c r="D108" s="67"/>
      <c r="E108" s="56"/>
      <c r="F108" s="57"/>
      <c r="G108" s="114"/>
      <c r="H108" s="121"/>
      <c r="I108" s="114"/>
      <c r="J108" s="121"/>
      <c r="K108" s="68"/>
      <c r="L108" s="58"/>
    </row>
    <row r="109" spans="1:12" ht="24">
      <c r="A109" s="69"/>
      <c r="B109" s="60"/>
      <c r="C109" s="61"/>
      <c r="D109" s="67"/>
      <c r="E109" s="56"/>
      <c r="F109" s="57"/>
      <c r="G109" s="114"/>
      <c r="H109" s="121"/>
      <c r="I109" s="114"/>
      <c r="J109" s="121"/>
      <c r="K109" s="68"/>
      <c r="L109" s="58"/>
    </row>
    <row r="110" spans="1:12" ht="24">
      <c r="A110" s="69"/>
      <c r="B110" s="60"/>
      <c r="C110" s="61"/>
      <c r="D110" s="67"/>
      <c r="E110" s="56"/>
      <c r="F110" s="57"/>
      <c r="G110" s="114"/>
      <c r="H110" s="121"/>
      <c r="I110" s="114"/>
      <c r="J110" s="121"/>
      <c r="K110" s="68"/>
      <c r="L110" s="58"/>
    </row>
    <row r="111" spans="1:12" ht="24">
      <c r="A111" s="69"/>
      <c r="B111" s="60"/>
      <c r="C111" s="61"/>
      <c r="D111" s="67"/>
      <c r="E111" s="56"/>
      <c r="F111" s="57"/>
      <c r="G111" s="114"/>
      <c r="H111" s="121"/>
      <c r="I111" s="114"/>
      <c r="J111" s="121"/>
      <c r="K111" s="68"/>
      <c r="L111" s="58"/>
    </row>
    <row r="112" spans="1:12" ht="24">
      <c r="A112" s="69"/>
      <c r="B112" s="60"/>
      <c r="C112" s="61"/>
      <c r="D112" s="67"/>
      <c r="E112" s="56"/>
      <c r="F112" s="57"/>
      <c r="G112" s="114"/>
      <c r="H112" s="121"/>
      <c r="I112" s="114"/>
      <c r="J112" s="121"/>
      <c r="K112" s="68"/>
      <c r="L112" s="58"/>
    </row>
    <row r="113" spans="1:12" ht="24.75" thickBot="1">
      <c r="A113" s="69"/>
      <c r="B113" s="60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12" ht="24.75" thickTop="1">
      <c r="A114" s="70"/>
      <c r="B114" s="1981" t="s">
        <v>69</v>
      </c>
      <c r="C114" s="1982"/>
      <c r="D114" s="1983"/>
      <c r="E114" s="71"/>
      <c r="F114" s="72"/>
      <c r="G114" s="115"/>
      <c r="H114" s="122"/>
      <c r="I114" s="115"/>
      <c r="J114" s="122"/>
      <c r="K114" s="73"/>
      <c r="L114" s="74"/>
    </row>
    <row r="115" spans="1:12" ht="24">
      <c r="A115" s="132">
        <v>5.5</v>
      </c>
      <c r="B115" s="133" t="s">
        <v>168</v>
      </c>
      <c r="C115" s="136"/>
      <c r="D115" s="137"/>
      <c r="E115" s="105"/>
      <c r="F115" s="106"/>
      <c r="G115" s="111"/>
      <c r="H115" s="117"/>
      <c r="I115" s="111"/>
      <c r="J115" s="117"/>
      <c r="K115" s="63"/>
      <c r="L115" s="107"/>
    </row>
    <row r="116" spans="1:12" ht="24">
      <c r="A116" s="52"/>
      <c r="B116" s="53"/>
      <c r="C116" s="54"/>
      <c r="D116" s="55"/>
      <c r="E116" s="56"/>
      <c r="F116" s="57"/>
      <c r="G116" s="112"/>
      <c r="H116" s="118"/>
      <c r="I116" s="123"/>
      <c r="J116" s="124"/>
      <c r="K116" s="57"/>
      <c r="L116" s="58"/>
    </row>
    <row r="117" spans="1:12" ht="24">
      <c r="A117" s="59"/>
      <c r="B117" s="60"/>
      <c r="C117" s="61"/>
      <c r="D117" s="62"/>
      <c r="E117" s="63"/>
      <c r="F117" s="64"/>
      <c r="G117" s="113"/>
      <c r="H117" s="119"/>
      <c r="I117" s="113"/>
      <c r="J117" s="120"/>
      <c r="K117" s="65"/>
      <c r="L117" s="66"/>
    </row>
    <row r="118" spans="1:12" ht="24">
      <c r="A118" s="59"/>
      <c r="B118" s="60"/>
      <c r="C118" s="61"/>
      <c r="D118" s="62"/>
      <c r="E118" s="63"/>
      <c r="F118" s="64"/>
      <c r="G118" s="113"/>
      <c r="H118" s="120"/>
      <c r="I118" s="113"/>
      <c r="J118" s="120"/>
      <c r="K118" s="65"/>
      <c r="L118" s="66"/>
    </row>
    <row r="119" spans="1:12" ht="24">
      <c r="A119" s="59"/>
      <c r="B119" s="60"/>
      <c r="C119" s="61"/>
      <c r="D119" s="67"/>
      <c r="E119" s="56"/>
      <c r="F119" s="57"/>
      <c r="G119" s="114"/>
      <c r="H119" s="121"/>
      <c r="I119" s="114"/>
      <c r="J119" s="121"/>
      <c r="K119" s="68"/>
      <c r="L119" s="58"/>
    </row>
    <row r="120" spans="1:12" ht="24">
      <c r="A120" s="59"/>
      <c r="B120" s="60"/>
      <c r="C120" s="61"/>
      <c r="D120" s="67"/>
      <c r="E120" s="56"/>
      <c r="F120" s="57"/>
      <c r="G120" s="114"/>
      <c r="H120" s="121"/>
      <c r="I120" s="114"/>
      <c r="J120" s="121"/>
      <c r="K120" s="68"/>
      <c r="L120" s="58"/>
    </row>
    <row r="121" spans="1:12" ht="24">
      <c r="A121" s="59"/>
      <c r="B121" s="60"/>
      <c r="C121" s="61"/>
      <c r="D121" s="67"/>
      <c r="E121" s="56"/>
      <c r="F121" s="57"/>
      <c r="G121" s="114"/>
      <c r="H121" s="121"/>
      <c r="I121" s="114"/>
      <c r="J121" s="121"/>
      <c r="K121" s="68"/>
      <c r="L121" s="58"/>
    </row>
    <row r="122" spans="1:12" ht="24">
      <c r="A122" s="59"/>
      <c r="B122" s="60"/>
      <c r="C122" s="61"/>
      <c r="D122" s="67"/>
      <c r="E122" s="56"/>
      <c r="F122" s="57"/>
      <c r="G122" s="114"/>
      <c r="H122" s="121"/>
      <c r="I122" s="114"/>
      <c r="J122" s="121"/>
      <c r="K122" s="68"/>
      <c r="L122" s="58"/>
    </row>
    <row r="123" spans="1:12" ht="24">
      <c r="A123" s="59"/>
      <c r="B123" s="60"/>
      <c r="C123" s="61"/>
      <c r="D123" s="67"/>
      <c r="E123" s="56"/>
      <c r="F123" s="57"/>
      <c r="G123" s="114"/>
      <c r="H123" s="121"/>
      <c r="I123" s="114"/>
      <c r="J123" s="121"/>
      <c r="K123" s="68"/>
      <c r="L123" s="58"/>
    </row>
    <row r="124" spans="1:12" ht="24">
      <c r="A124" s="59"/>
      <c r="B124" s="60"/>
      <c r="C124" s="61"/>
      <c r="D124" s="67"/>
      <c r="E124" s="56"/>
      <c r="F124" s="57"/>
      <c r="G124" s="114"/>
      <c r="H124" s="121"/>
      <c r="I124" s="114"/>
      <c r="J124" s="121"/>
      <c r="K124" s="68"/>
      <c r="L124" s="58"/>
    </row>
    <row r="125" spans="1:12" ht="24">
      <c r="A125" s="59"/>
      <c r="B125" s="60"/>
      <c r="C125" s="61"/>
      <c r="D125" s="67"/>
      <c r="E125" s="56"/>
      <c r="F125" s="57"/>
      <c r="G125" s="114"/>
      <c r="H125" s="121"/>
      <c r="I125" s="114"/>
      <c r="J125" s="121"/>
      <c r="K125" s="68"/>
      <c r="L125" s="58"/>
    </row>
    <row r="126" spans="1:12" ht="24">
      <c r="A126" s="59"/>
      <c r="B126" s="60"/>
      <c r="C126" s="61"/>
      <c r="D126" s="67"/>
      <c r="E126" s="56"/>
      <c r="F126" s="57"/>
      <c r="G126" s="114"/>
      <c r="H126" s="121"/>
      <c r="I126" s="114"/>
      <c r="J126" s="121"/>
      <c r="K126" s="68"/>
      <c r="L126" s="58"/>
    </row>
    <row r="127" spans="1:12" ht="24">
      <c r="A127" s="59"/>
      <c r="B127" s="60"/>
      <c r="C127" s="61"/>
      <c r="D127" s="67"/>
      <c r="E127" s="56"/>
      <c r="F127" s="57"/>
      <c r="G127" s="114"/>
      <c r="H127" s="121"/>
      <c r="I127" s="114"/>
      <c r="J127" s="121"/>
      <c r="K127" s="68"/>
      <c r="L127" s="58"/>
    </row>
    <row r="128" spans="1:12" ht="24">
      <c r="A128" s="59"/>
      <c r="B128" s="60"/>
      <c r="C128" s="61"/>
      <c r="D128" s="67"/>
      <c r="E128" s="56"/>
      <c r="F128" s="57"/>
      <c r="G128" s="114"/>
      <c r="H128" s="121"/>
      <c r="I128" s="114"/>
      <c r="J128" s="121"/>
      <c r="K128" s="68"/>
      <c r="L128" s="58"/>
    </row>
    <row r="129" spans="1:12" ht="24">
      <c r="A129" s="59"/>
      <c r="B129" s="60"/>
      <c r="C129" s="61"/>
      <c r="D129" s="67"/>
      <c r="E129" s="56"/>
      <c r="F129" s="57"/>
      <c r="G129" s="114"/>
      <c r="H129" s="121"/>
      <c r="I129" s="114"/>
      <c r="J129" s="121"/>
      <c r="K129" s="68"/>
      <c r="L129" s="58"/>
    </row>
    <row r="130" spans="1:12" ht="24">
      <c r="A130" s="69"/>
      <c r="B130" s="60"/>
      <c r="C130" s="61"/>
      <c r="D130" s="67"/>
      <c r="E130" s="56"/>
      <c r="F130" s="57"/>
      <c r="G130" s="114"/>
      <c r="H130" s="121"/>
      <c r="I130" s="114"/>
      <c r="J130" s="121"/>
      <c r="K130" s="68"/>
      <c r="L130" s="58"/>
    </row>
    <row r="131" spans="1:12" ht="24">
      <c r="A131" s="69"/>
      <c r="B131" s="60"/>
      <c r="C131" s="61"/>
      <c r="D131" s="67"/>
      <c r="E131" s="56"/>
      <c r="F131" s="57"/>
      <c r="G131" s="114"/>
      <c r="H131" s="121"/>
      <c r="I131" s="114"/>
      <c r="J131" s="121"/>
      <c r="K131" s="68"/>
      <c r="L131" s="58"/>
    </row>
    <row r="132" spans="1:12" ht="24">
      <c r="A132" s="69"/>
      <c r="B132" s="60"/>
      <c r="C132" s="61"/>
      <c r="D132" s="67"/>
      <c r="E132" s="56"/>
      <c r="F132" s="57"/>
      <c r="G132" s="114"/>
      <c r="H132" s="121"/>
      <c r="I132" s="114"/>
      <c r="J132" s="121"/>
      <c r="K132" s="68"/>
      <c r="L132" s="58"/>
    </row>
    <row r="133" spans="1:12" ht="24">
      <c r="A133" s="69"/>
      <c r="B133" s="60"/>
      <c r="C133" s="61"/>
      <c r="D133" s="67"/>
      <c r="E133" s="56"/>
      <c r="F133" s="57"/>
      <c r="G133" s="114"/>
      <c r="H133" s="121"/>
      <c r="I133" s="114"/>
      <c r="J133" s="121"/>
      <c r="K133" s="68"/>
      <c r="L133" s="58"/>
    </row>
    <row r="134" spans="1:12" ht="24.75" thickBot="1">
      <c r="A134" s="69"/>
      <c r="B134" s="60"/>
      <c r="C134" s="61"/>
      <c r="D134" s="67"/>
      <c r="E134" s="56"/>
      <c r="F134" s="57"/>
      <c r="G134" s="114"/>
      <c r="H134" s="121"/>
      <c r="I134" s="114"/>
      <c r="J134" s="121"/>
      <c r="K134" s="68"/>
      <c r="L134" s="58"/>
    </row>
    <row r="135" spans="1:12" ht="24.75" thickTop="1">
      <c r="A135" s="70"/>
      <c r="B135" s="1981" t="s">
        <v>69</v>
      </c>
      <c r="C135" s="1982"/>
      <c r="D135" s="1983"/>
      <c r="E135" s="71"/>
      <c r="F135" s="72"/>
      <c r="G135" s="115"/>
      <c r="H135" s="122"/>
      <c r="I135" s="115"/>
      <c r="J135" s="122"/>
      <c r="K135" s="73"/>
      <c r="L135" s="74"/>
    </row>
    <row r="136" spans="1:12" ht="24">
      <c r="A136" s="104"/>
      <c r="B136" s="135"/>
      <c r="C136" s="136"/>
      <c r="D136" s="137"/>
      <c r="E136" s="105"/>
      <c r="F136" s="106"/>
      <c r="G136" s="111"/>
      <c r="H136" s="117"/>
      <c r="I136" s="111"/>
      <c r="J136" s="117"/>
      <c r="K136" s="63"/>
      <c r="L136" s="107"/>
    </row>
    <row r="137" spans="1:12" ht="24">
      <c r="A137" s="52"/>
      <c r="B137" s="53"/>
      <c r="C137" s="54"/>
      <c r="D137" s="55"/>
      <c r="E137" s="56"/>
      <c r="F137" s="57"/>
      <c r="G137" s="112"/>
      <c r="H137" s="118"/>
      <c r="I137" s="123"/>
      <c r="J137" s="124"/>
      <c r="K137" s="57"/>
      <c r="L137" s="58"/>
    </row>
    <row r="138" spans="1:12" ht="24">
      <c r="A138" s="59"/>
      <c r="B138" s="60"/>
      <c r="C138" s="61"/>
      <c r="D138" s="62"/>
      <c r="E138" s="63"/>
      <c r="F138" s="64"/>
      <c r="G138" s="113"/>
      <c r="H138" s="119"/>
      <c r="I138" s="113"/>
      <c r="J138" s="120"/>
      <c r="K138" s="65"/>
      <c r="L138" s="66"/>
    </row>
    <row r="139" spans="1:12" ht="24">
      <c r="A139" s="59"/>
      <c r="B139" s="60"/>
      <c r="C139" s="61"/>
      <c r="D139" s="62"/>
      <c r="E139" s="63"/>
      <c r="F139" s="64"/>
      <c r="G139" s="113"/>
      <c r="H139" s="120"/>
      <c r="I139" s="113"/>
      <c r="J139" s="120"/>
      <c r="K139" s="65"/>
      <c r="L139" s="66"/>
    </row>
    <row r="140" spans="1:12" ht="24">
      <c r="A140" s="59"/>
      <c r="B140" s="60"/>
      <c r="C140" s="61"/>
      <c r="D140" s="67"/>
      <c r="E140" s="56"/>
      <c r="F140" s="57"/>
      <c r="G140" s="114"/>
      <c r="H140" s="121"/>
      <c r="I140" s="114"/>
      <c r="J140" s="121"/>
      <c r="K140" s="68"/>
      <c r="L140" s="58"/>
    </row>
    <row r="141" spans="1:12" ht="24">
      <c r="A141" s="59"/>
      <c r="B141" s="60"/>
      <c r="C141" s="61"/>
      <c r="D141" s="67"/>
      <c r="E141" s="56"/>
      <c r="F141" s="57"/>
      <c r="G141" s="114"/>
      <c r="H141" s="121"/>
      <c r="I141" s="114"/>
      <c r="J141" s="121"/>
      <c r="K141" s="68"/>
      <c r="L141" s="58"/>
    </row>
    <row r="142" spans="1:12" ht="24">
      <c r="A142" s="59"/>
      <c r="B142" s="60"/>
      <c r="C142" s="61"/>
      <c r="D142" s="67"/>
      <c r="E142" s="56"/>
      <c r="F142" s="57"/>
      <c r="G142" s="114"/>
      <c r="H142" s="121"/>
      <c r="I142" s="114"/>
      <c r="J142" s="121"/>
      <c r="K142" s="68"/>
      <c r="L142" s="58"/>
    </row>
    <row r="143" spans="1:12" ht="24">
      <c r="A143" s="59"/>
      <c r="B143" s="60"/>
      <c r="C143" s="61"/>
      <c r="D143" s="67"/>
      <c r="E143" s="56"/>
      <c r="F143" s="57"/>
      <c r="G143" s="114"/>
      <c r="H143" s="121"/>
      <c r="I143" s="114"/>
      <c r="J143" s="121"/>
      <c r="K143" s="68"/>
      <c r="L143" s="58"/>
    </row>
    <row r="144" spans="1:12" ht="24">
      <c r="A144" s="59"/>
      <c r="B144" s="60"/>
      <c r="C144" s="61"/>
      <c r="D144" s="67"/>
      <c r="E144" s="56"/>
      <c r="F144" s="57"/>
      <c r="G144" s="114"/>
      <c r="H144" s="121"/>
      <c r="I144" s="114"/>
      <c r="J144" s="121"/>
      <c r="K144" s="68"/>
      <c r="L144" s="58"/>
    </row>
    <row r="145" spans="1:12" ht="24">
      <c r="A145" s="59"/>
      <c r="B145" s="60"/>
      <c r="C145" s="61"/>
      <c r="D145" s="67"/>
      <c r="E145" s="56"/>
      <c r="F145" s="57"/>
      <c r="G145" s="114"/>
      <c r="H145" s="121"/>
      <c r="I145" s="114"/>
      <c r="J145" s="121"/>
      <c r="K145" s="68"/>
      <c r="L145" s="58"/>
    </row>
    <row r="146" spans="1:12" ht="24">
      <c r="A146" s="59"/>
      <c r="B146" s="60"/>
      <c r="C146" s="61"/>
      <c r="D146" s="67"/>
      <c r="E146" s="56"/>
      <c r="F146" s="57"/>
      <c r="G146" s="114"/>
      <c r="H146" s="121"/>
      <c r="I146" s="114"/>
      <c r="J146" s="121"/>
      <c r="K146" s="68"/>
      <c r="L146" s="58"/>
    </row>
    <row r="147" spans="1:12" ht="24">
      <c r="A147" s="59"/>
      <c r="B147" s="60"/>
      <c r="C147" s="61"/>
      <c r="D147" s="67"/>
      <c r="E147" s="56"/>
      <c r="F147" s="57"/>
      <c r="G147" s="114"/>
      <c r="H147" s="121"/>
      <c r="I147" s="114"/>
      <c r="J147" s="121"/>
      <c r="K147" s="68"/>
      <c r="L147" s="58"/>
    </row>
    <row r="148" spans="1:12" ht="24">
      <c r="A148" s="59"/>
      <c r="B148" s="60"/>
      <c r="C148" s="61"/>
      <c r="D148" s="67"/>
      <c r="E148" s="56"/>
      <c r="F148" s="57"/>
      <c r="G148" s="114"/>
      <c r="H148" s="121"/>
      <c r="I148" s="114"/>
      <c r="J148" s="121"/>
      <c r="K148" s="68"/>
      <c r="L148" s="58"/>
    </row>
    <row r="149" spans="1:12" ht="24">
      <c r="A149" s="59"/>
      <c r="B149" s="60"/>
      <c r="C149" s="61"/>
      <c r="D149" s="67"/>
      <c r="E149" s="56"/>
      <c r="F149" s="57"/>
      <c r="G149" s="114"/>
      <c r="H149" s="121"/>
      <c r="I149" s="114"/>
      <c r="J149" s="121"/>
      <c r="K149" s="68"/>
      <c r="L149" s="58"/>
    </row>
    <row r="150" spans="1:12" ht="24">
      <c r="A150" s="59"/>
      <c r="B150" s="60"/>
      <c r="C150" s="61"/>
      <c r="D150" s="67"/>
      <c r="E150" s="56"/>
      <c r="F150" s="57"/>
      <c r="G150" s="114"/>
      <c r="H150" s="121"/>
      <c r="I150" s="114"/>
      <c r="J150" s="121"/>
      <c r="K150" s="68"/>
      <c r="L150" s="58"/>
    </row>
    <row r="151" spans="1:12" ht="24">
      <c r="A151" s="69"/>
      <c r="B151" s="60"/>
      <c r="C151" s="61"/>
      <c r="D151" s="67"/>
      <c r="E151" s="56"/>
      <c r="F151" s="57"/>
      <c r="G151" s="114"/>
      <c r="H151" s="121"/>
      <c r="I151" s="114"/>
      <c r="J151" s="121"/>
      <c r="K151" s="68"/>
      <c r="L151" s="58"/>
    </row>
    <row r="152" spans="1:12" ht="24">
      <c r="A152" s="69"/>
      <c r="B152" s="60"/>
      <c r="C152" s="61"/>
      <c r="D152" s="67"/>
      <c r="E152" s="56"/>
      <c r="F152" s="57"/>
      <c r="G152" s="114"/>
      <c r="H152" s="121"/>
      <c r="I152" s="114"/>
      <c r="J152" s="121"/>
      <c r="K152" s="68"/>
      <c r="L152" s="58"/>
    </row>
    <row r="153" spans="1:12" ht="24">
      <c r="A153" s="69"/>
      <c r="B153" s="60"/>
      <c r="C153" s="61"/>
      <c r="D153" s="67"/>
      <c r="E153" s="56"/>
      <c r="F153" s="57"/>
      <c r="G153" s="114"/>
      <c r="H153" s="121"/>
      <c r="I153" s="114"/>
      <c r="J153" s="121"/>
      <c r="K153" s="68"/>
      <c r="L153" s="58"/>
    </row>
    <row r="154" spans="1:12" ht="24">
      <c r="A154" s="69"/>
      <c r="B154" s="60"/>
      <c r="C154" s="61"/>
      <c r="D154" s="67"/>
      <c r="E154" s="56"/>
      <c r="F154" s="57"/>
      <c r="G154" s="114"/>
      <c r="H154" s="121"/>
      <c r="I154" s="114"/>
      <c r="J154" s="121"/>
      <c r="K154" s="68"/>
      <c r="L154" s="58"/>
    </row>
    <row r="155" spans="1:12" ht="24.75" thickBot="1">
      <c r="A155" s="69"/>
      <c r="B155" s="60"/>
      <c r="C155" s="61"/>
      <c r="D155" s="67"/>
      <c r="E155" s="56"/>
      <c r="F155" s="57"/>
      <c r="G155" s="114"/>
      <c r="H155" s="121"/>
      <c r="I155" s="114"/>
      <c r="J155" s="121"/>
      <c r="K155" s="68"/>
      <c r="L155" s="58"/>
    </row>
    <row r="156" spans="1:12" ht="24.75" thickTop="1">
      <c r="A156" s="70"/>
      <c r="B156" s="1981" t="s">
        <v>69</v>
      </c>
      <c r="C156" s="1982"/>
      <c r="D156" s="1983"/>
      <c r="E156" s="71"/>
      <c r="F156" s="72"/>
      <c r="G156" s="115"/>
      <c r="H156" s="122"/>
      <c r="I156" s="115"/>
      <c r="J156" s="122"/>
      <c r="K156" s="73"/>
      <c r="L156" s="74"/>
    </row>
    <row r="157" spans="1:12" ht="24">
      <c r="A157" s="104"/>
      <c r="B157" s="135"/>
      <c r="C157" s="136"/>
      <c r="D157" s="137"/>
      <c r="E157" s="105"/>
      <c r="F157" s="106"/>
      <c r="G157" s="111"/>
      <c r="H157" s="117"/>
      <c r="I157" s="111"/>
      <c r="J157" s="117"/>
      <c r="K157" s="63"/>
      <c r="L157" s="107"/>
    </row>
    <row r="158" spans="1:12" ht="24">
      <c r="A158" s="52"/>
      <c r="B158" s="53"/>
      <c r="C158" s="54"/>
      <c r="D158" s="55"/>
      <c r="E158" s="56"/>
      <c r="F158" s="57"/>
      <c r="G158" s="112"/>
      <c r="H158" s="118"/>
      <c r="I158" s="123"/>
      <c r="J158" s="124"/>
      <c r="K158" s="57"/>
      <c r="L158" s="58"/>
    </row>
    <row r="159" spans="1:12" ht="24">
      <c r="A159" s="59"/>
      <c r="B159" s="60"/>
      <c r="C159" s="61"/>
      <c r="D159" s="62"/>
      <c r="E159" s="63"/>
      <c r="F159" s="64"/>
      <c r="G159" s="113"/>
      <c r="H159" s="119"/>
      <c r="I159" s="113"/>
      <c r="J159" s="120"/>
      <c r="K159" s="65"/>
      <c r="L159" s="66"/>
    </row>
    <row r="160" spans="1:12" ht="24">
      <c r="A160" s="59"/>
      <c r="B160" s="60"/>
      <c r="C160" s="61"/>
      <c r="D160" s="62"/>
      <c r="E160" s="63"/>
      <c r="F160" s="64"/>
      <c r="G160" s="113"/>
      <c r="H160" s="120"/>
      <c r="I160" s="113"/>
      <c r="J160" s="120"/>
      <c r="K160" s="65"/>
      <c r="L160" s="66"/>
    </row>
    <row r="161" spans="1:12" ht="24">
      <c r="A161" s="59"/>
      <c r="B161" s="60"/>
      <c r="C161" s="61"/>
      <c r="D161" s="67"/>
      <c r="E161" s="56"/>
      <c r="F161" s="57"/>
      <c r="G161" s="114"/>
      <c r="H161" s="121"/>
      <c r="I161" s="114"/>
      <c r="J161" s="121"/>
      <c r="K161" s="68"/>
      <c r="L161" s="58"/>
    </row>
    <row r="162" spans="1:12" ht="24">
      <c r="A162" s="59"/>
      <c r="B162" s="60"/>
      <c r="C162" s="61"/>
      <c r="D162" s="67"/>
      <c r="E162" s="56"/>
      <c r="F162" s="57"/>
      <c r="G162" s="114"/>
      <c r="H162" s="121"/>
      <c r="I162" s="114"/>
      <c r="J162" s="121"/>
      <c r="K162" s="68"/>
      <c r="L162" s="58"/>
    </row>
    <row r="163" spans="1:12" ht="24">
      <c r="A163" s="59"/>
      <c r="B163" s="60"/>
      <c r="C163" s="61"/>
      <c r="D163" s="67"/>
      <c r="E163" s="56"/>
      <c r="F163" s="57"/>
      <c r="G163" s="114"/>
      <c r="H163" s="121"/>
      <c r="I163" s="114"/>
      <c r="J163" s="121"/>
      <c r="K163" s="68"/>
      <c r="L163" s="58"/>
    </row>
    <row r="164" spans="1:12" ht="24">
      <c r="A164" s="59"/>
      <c r="B164" s="60"/>
      <c r="C164" s="61"/>
      <c r="D164" s="67"/>
      <c r="E164" s="56"/>
      <c r="F164" s="57"/>
      <c r="G164" s="114"/>
      <c r="H164" s="121"/>
      <c r="I164" s="114"/>
      <c r="J164" s="121"/>
      <c r="K164" s="68"/>
      <c r="L164" s="58"/>
    </row>
    <row r="165" spans="1:12" ht="24">
      <c r="A165" s="59"/>
      <c r="B165" s="60"/>
      <c r="C165" s="61"/>
      <c r="D165" s="67"/>
      <c r="E165" s="56"/>
      <c r="F165" s="57"/>
      <c r="G165" s="114"/>
      <c r="H165" s="121"/>
      <c r="I165" s="114"/>
      <c r="J165" s="121"/>
      <c r="K165" s="68"/>
      <c r="L165" s="58"/>
    </row>
    <row r="166" spans="1:12" ht="24">
      <c r="A166" s="59"/>
      <c r="B166" s="60"/>
      <c r="C166" s="61"/>
      <c r="D166" s="67"/>
      <c r="E166" s="56"/>
      <c r="F166" s="57"/>
      <c r="G166" s="114"/>
      <c r="H166" s="121"/>
      <c r="I166" s="114"/>
      <c r="J166" s="121"/>
      <c r="K166" s="68"/>
      <c r="L166" s="58"/>
    </row>
    <row r="167" spans="1:12" ht="24">
      <c r="A167" s="59"/>
      <c r="B167" s="60"/>
      <c r="C167" s="61"/>
      <c r="D167" s="67"/>
      <c r="E167" s="56"/>
      <c r="F167" s="57"/>
      <c r="G167" s="114"/>
      <c r="H167" s="121"/>
      <c r="I167" s="114"/>
      <c r="J167" s="121"/>
      <c r="K167" s="68"/>
      <c r="L167" s="58"/>
    </row>
    <row r="168" spans="1:12" ht="24">
      <c r="A168" s="59"/>
      <c r="B168" s="60"/>
      <c r="C168" s="61"/>
      <c r="D168" s="67"/>
      <c r="E168" s="56"/>
      <c r="F168" s="57"/>
      <c r="G168" s="114"/>
      <c r="H168" s="121"/>
      <c r="I168" s="114"/>
      <c r="J168" s="121"/>
      <c r="K168" s="68"/>
      <c r="L168" s="58"/>
    </row>
    <row r="169" spans="1:12" ht="24">
      <c r="A169" s="59"/>
      <c r="B169" s="60"/>
      <c r="C169" s="61"/>
      <c r="D169" s="67"/>
      <c r="E169" s="56"/>
      <c r="F169" s="57"/>
      <c r="G169" s="114"/>
      <c r="H169" s="121"/>
      <c r="I169" s="114"/>
      <c r="J169" s="121"/>
      <c r="K169" s="68"/>
      <c r="L169" s="58"/>
    </row>
    <row r="170" spans="1:12" ht="24">
      <c r="A170" s="59"/>
      <c r="B170" s="60"/>
      <c r="C170" s="61"/>
      <c r="D170" s="67"/>
      <c r="E170" s="56"/>
      <c r="F170" s="57"/>
      <c r="G170" s="114"/>
      <c r="H170" s="121"/>
      <c r="I170" s="114"/>
      <c r="J170" s="121"/>
      <c r="K170" s="68"/>
      <c r="L170" s="58"/>
    </row>
    <row r="171" spans="1:12" ht="24">
      <c r="A171" s="59"/>
      <c r="B171" s="60"/>
      <c r="C171" s="61"/>
      <c r="D171" s="67"/>
      <c r="E171" s="56"/>
      <c r="F171" s="57"/>
      <c r="G171" s="114"/>
      <c r="H171" s="121"/>
      <c r="I171" s="114"/>
      <c r="J171" s="121"/>
      <c r="K171" s="68"/>
      <c r="L171" s="58"/>
    </row>
    <row r="172" spans="1:12" ht="24">
      <c r="A172" s="69"/>
      <c r="B172" s="60"/>
      <c r="C172" s="61"/>
      <c r="D172" s="67"/>
      <c r="E172" s="56"/>
      <c r="F172" s="57"/>
      <c r="G172" s="114"/>
      <c r="H172" s="121"/>
      <c r="I172" s="114"/>
      <c r="J172" s="121"/>
      <c r="K172" s="68"/>
      <c r="L172" s="58"/>
    </row>
    <row r="173" spans="1:12" ht="24">
      <c r="A173" s="69"/>
      <c r="B173" s="60"/>
      <c r="C173" s="61"/>
      <c r="D173" s="67"/>
      <c r="E173" s="56"/>
      <c r="F173" s="57"/>
      <c r="G173" s="114"/>
      <c r="H173" s="121"/>
      <c r="I173" s="114"/>
      <c r="J173" s="121"/>
      <c r="K173" s="68"/>
      <c r="L173" s="58"/>
    </row>
    <row r="174" spans="1:12" ht="24">
      <c r="A174" s="69"/>
      <c r="B174" s="60"/>
      <c r="C174" s="61"/>
      <c r="D174" s="67"/>
      <c r="E174" s="56"/>
      <c r="F174" s="57"/>
      <c r="G174" s="114"/>
      <c r="H174" s="121"/>
      <c r="I174" s="114"/>
      <c r="J174" s="121"/>
      <c r="K174" s="68"/>
      <c r="L174" s="58"/>
    </row>
    <row r="175" spans="1:12" ht="24">
      <c r="A175" s="69"/>
      <c r="B175" s="60"/>
      <c r="C175" s="61"/>
      <c r="D175" s="67"/>
      <c r="E175" s="56"/>
      <c r="F175" s="57"/>
      <c r="G175" s="114"/>
      <c r="H175" s="121"/>
      <c r="I175" s="114"/>
      <c r="J175" s="121"/>
      <c r="K175" s="68"/>
      <c r="L175" s="58"/>
    </row>
    <row r="176" spans="1:12" ht="24.75" thickBot="1">
      <c r="A176" s="69"/>
      <c r="B176" s="60"/>
      <c r="C176" s="61"/>
      <c r="D176" s="67"/>
      <c r="E176" s="56"/>
      <c r="F176" s="57"/>
      <c r="G176" s="114"/>
      <c r="H176" s="121"/>
      <c r="I176" s="114"/>
      <c r="J176" s="121"/>
      <c r="K176" s="68"/>
      <c r="L176" s="58"/>
    </row>
    <row r="177" spans="1:12" ht="24.75" thickTop="1">
      <c r="A177" s="70"/>
      <c r="B177" s="1981" t="s">
        <v>69</v>
      </c>
      <c r="C177" s="1982"/>
      <c r="D177" s="1983"/>
      <c r="E177" s="71"/>
      <c r="F177" s="72"/>
      <c r="G177" s="115"/>
      <c r="H177" s="122"/>
      <c r="I177" s="115"/>
      <c r="J177" s="122"/>
      <c r="K177" s="73"/>
      <c r="L177" s="74"/>
    </row>
    <row r="178" spans="1:12" ht="24">
      <c r="A178" s="104"/>
      <c r="B178" s="135"/>
      <c r="C178" s="136"/>
      <c r="D178" s="137"/>
      <c r="E178" s="105"/>
      <c r="F178" s="106"/>
      <c r="G178" s="111"/>
      <c r="H178" s="117"/>
      <c r="I178" s="111"/>
      <c r="J178" s="117"/>
      <c r="K178" s="63"/>
      <c r="L178" s="107"/>
    </row>
    <row r="179" spans="1:12" ht="24">
      <c r="A179" s="52"/>
      <c r="B179" s="53"/>
      <c r="C179" s="54"/>
      <c r="D179" s="55"/>
      <c r="E179" s="56"/>
      <c r="F179" s="57"/>
      <c r="G179" s="112"/>
      <c r="H179" s="118"/>
      <c r="I179" s="123"/>
      <c r="J179" s="124"/>
      <c r="K179" s="57"/>
      <c r="L179" s="58"/>
    </row>
    <row r="180" spans="1:12" ht="24">
      <c r="A180" s="59"/>
      <c r="B180" s="60"/>
      <c r="C180" s="61"/>
      <c r="D180" s="62"/>
      <c r="E180" s="63"/>
      <c r="F180" s="64"/>
      <c r="G180" s="113"/>
      <c r="H180" s="119"/>
      <c r="I180" s="113"/>
      <c r="J180" s="120"/>
      <c r="K180" s="65"/>
      <c r="L180" s="66"/>
    </row>
    <row r="181" spans="1:12" ht="24">
      <c r="A181" s="59"/>
      <c r="B181" s="60"/>
      <c r="C181" s="61"/>
      <c r="D181" s="62"/>
      <c r="E181" s="63"/>
      <c r="F181" s="64"/>
      <c r="G181" s="113"/>
      <c r="H181" s="120"/>
      <c r="I181" s="113"/>
      <c r="J181" s="120"/>
      <c r="K181" s="65"/>
      <c r="L181" s="66"/>
    </row>
    <row r="182" spans="1:12" ht="24">
      <c r="A182" s="59"/>
      <c r="B182" s="60"/>
      <c r="C182" s="61"/>
      <c r="D182" s="67"/>
      <c r="E182" s="56"/>
      <c r="F182" s="57"/>
      <c r="G182" s="114"/>
      <c r="H182" s="121"/>
      <c r="I182" s="114"/>
      <c r="J182" s="121"/>
      <c r="K182" s="68"/>
      <c r="L182" s="58"/>
    </row>
    <row r="183" spans="1:12" ht="24">
      <c r="A183" s="59"/>
      <c r="B183" s="60"/>
      <c r="C183" s="61"/>
      <c r="D183" s="67"/>
      <c r="E183" s="56"/>
      <c r="F183" s="57"/>
      <c r="G183" s="114"/>
      <c r="H183" s="121"/>
      <c r="I183" s="114"/>
      <c r="J183" s="121"/>
      <c r="K183" s="68"/>
      <c r="L183" s="58"/>
    </row>
    <row r="184" spans="1:12" ht="24">
      <c r="A184" s="59"/>
      <c r="B184" s="60"/>
      <c r="C184" s="61"/>
      <c r="D184" s="67"/>
      <c r="E184" s="56"/>
      <c r="F184" s="57"/>
      <c r="G184" s="114"/>
      <c r="H184" s="121"/>
      <c r="I184" s="114"/>
      <c r="J184" s="121"/>
      <c r="K184" s="68"/>
      <c r="L184" s="58"/>
    </row>
    <row r="185" spans="1:12" ht="24">
      <c r="A185" s="59"/>
      <c r="B185" s="60"/>
      <c r="C185" s="61"/>
      <c r="D185" s="67"/>
      <c r="E185" s="56"/>
      <c r="F185" s="57"/>
      <c r="G185" s="114"/>
      <c r="H185" s="121"/>
      <c r="I185" s="114"/>
      <c r="J185" s="121"/>
      <c r="K185" s="68"/>
      <c r="L185" s="58"/>
    </row>
    <row r="186" spans="1:12" ht="24">
      <c r="A186" s="59"/>
      <c r="B186" s="60"/>
      <c r="C186" s="61"/>
      <c r="D186" s="67"/>
      <c r="E186" s="56"/>
      <c r="F186" s="57"/>
      <c r="G186" s="114"/>
      <c r="H186" s="121"/>
      <c r="I186" s="114"/>
      <c r="J186" s="121"/>
      <c r="K186" s="68"/>
      <c r="L186" s="58"/>
    </row>
    <row r="187" spans="1:12" ht="24">
      <c r="A187" s="59"/>
      <c r="B187" s="60"/>
      <c r="C187" s="61"/>
      <c r="D187" s="67"/>
      <c r="E187" s="56"/>
      <c r="F187" s="57"/>
      <c r="G187" s="114"/>
      <c r="H187" s="121"/>
      <c r="I187" s="114"/>
      <c r="J187" s="121"/>
      <c r="K187" s="68"/>
      <c r="L187" s="58"/>
    </row>
    <row r="188" spans="1:12" ht="24">
      <c r="A188" s="59"/>
      <c r="B188" s="60"/>
      <c r="C188" s="61"/>
      <c r="D188" s="67"/>
      <c r="E188" s="56"/>
      <c r="F188" s="57"/>
      <c r="G188" s="114"/>
      <c r="H188" s="121"/>
      <c r="I188" s="114"/>
      <c r="J188" s="121"/>
      <c r="K188" s="68"/>
      <c r="L188" s="58"/>
    </row>
    <row r="189" spans="1:12" ht="24">
      <c r="A189" s="59"/>
      <c r="B189" s="60"/>
      <c r="C189" s="61"/>
      <c r="D189" s="67"/>
      <c r="E189" s="56"/>
      <c r="F189" s="57"/>
      <c r="G189" s="114"/>
      <c r="H189" s="121"/>
      <c r="I189" s="114"/>
      <c r="J189" s="121"/>
      <c r="K189" s="68"/>
      <c r="L189" s="58"/>
    </row>
    <row r="190" spans="1:12" ht="24">
      <c r="A190" s="59"/>
      <c r="B190" s="60"/>
      <c r="C190" s="61"/>
      <c r="D190" s="67"/>
      <c r="E190" s="56"/>
      <c r="F190" s="57"/>
      <c r="G190" s="114"/>
      <c r="H190" s="121"/>
      <c r="I190" s="114"/>
      <c r="J190" s="121"/>
      <c r="K190" s="68"/>
      <c r="L190" s="58"/>
    </row>
    <row r="191" spans="1:12" ht="24">
      <c r="A191" s="59"/>
      <c r="B191" s="60"/>
      <c r="C191" s="61"/>
      <c r="D191" s="67"/>
      <c r="E191" s="56"/>
      <c r="F191" s="57"/>
      <c r="G191" s="114"/>
      <c r="H191" s="121"/>
      <c r="I191" s="114"/>
      <c r="J191" s="121"/>
      <c r="K191" s="68"/>
      <c r="L191" s="58"/>
    </row>
    <row r="192" spans="1:12" ht="24">
      <c r="A192" s="59"/>
      <c r="B192" s="60"/>
      <c r="C192" s="61"/>
      <c r="D192" s="67"/>
      <c r="E192" s="56"/>
      <c r="F192" s="57"/>
      <c r="G192" s="114"/>
      <c r="H192" s="121"/>
      <c r="I192" s="114"/>
      <c r="J192" s="121"/>
      <c r="K192" s="68"/>
      <c r="L192" s="58"/>
    </row>
    <row r="193" spans="1:12" ht="24">
      <c r="A193" s="69"/>
      <c r="B193" s="60"/>
      <c r="C193" s="61"/>
      <c r="D193" s="67"/>
      <c r="E193" s="56"/>
      <c r="F193" s="57"/>
      <c r="G193" s="114"/>
      <c r="H193" s="121"/>
      <c r="I193" s="114"/>
      <c r="J193" s="121"/>
      <c r="K193" s="68"/>
      <c r="L193" s="58"/>
    </row>
    <row r="194" spans="1:12" ht="24">
      <c r="A194" s="69"/>
      <c r="B194" s="60"/>
      <c r="C194" s="61"/>
      <c r="D194" s="67"/>
      <c r="E194" s="56"/>
      <c r="F194" s="57"/>
      <c r="G194" s="114"/>
      <c r="H194" s="121"/>
      <c r="I194" s="114"/>
      <c r="J194" s="121"/>
      <c r="K194" s="68"/>
      <c r="L194" s="58"/>
    </row>
    <row r="195" spans="1:12" ht="24">
      <c r="A195" s="69"/>
      <c r="B195" s="60"/>
      <c r="C195" s="61"/>
      <c r="D195" s="67"/>
      <c r="E195" s="56"/>
      <c r="F195" s="57"/>
      <c r="G195" s="114"/>
      <c r="H195" s="121"/>
      <c r="I195" s="114"/>
      <c r="J195" s="121"/>
      <c r="K195" s="68"/>
      <c r="L195" s="58"/>
    </row>
    <row r="196" spans="1:12" ht="24">
      <c r="A196" s="69"/>
      <c r="B196" s="60"/>
      <c r="C196" s="61"/>
      <c r="D196" s="67"/>
      <c r="E196" s="56"/>
      <c r="F196" s="57"/>
      <c r="G196" s="114"/>
      <c r="H196" s="121"/>
      <c r="I196" s="114"/>
      <c r="J196" s="121"/>
      <c r="K196" s="68"/>
      <c r="L196" s="58"/>
    </row>
    <row r="197" spans="1:12" ht="24.75" thickBot="1">
      <c r="A197" s="69"/>
      <c r="B197" s="60"/>
      <c r="C197" s="61"/>
      <c r="D197" s="67"/>
      <c r="E197" s="56"/>
      <c r="F197" s="57"/>
      <c r="G197" s="114"/>
      <c r="H197" s="121"/>
      <c r="I197" s="114"/>
      <c r="J197" s="121"/>
      <c r="K197" s="68"/>
      <c r="L197" s="58"/>
    </row>
    <row r="198" spans="1:12" ht="24.75" thickTop="1">
      <c r="A198" s="70"/>
      <c r="B198" s="1981" t="s">
        <v>69</v>
      </c>
      <c r="C198" s="1982"/>
      <c r="D198" s="1983"/>
      <c r="E198" s="71"/>
      <c r="F198" s="72"/>
      <c r="G198" s="115"/>
      <c r="H198" s="122"/>
      <c r="I198" s="115"/>
      <c r="J198" s="122"/>
      <c r="K198" s="73"/>
      <c r="L198" s="74"/>
    </row>
    <row r="199" spans="1:12" ht="24">
      <c r="A199" s="104"/>
      <c r="B199" s="135"/>
      <c r="C199" s="136"/>
      <c r="D199" s="137"/>
      <c r="E199" s="105"/>
      <c r="F199" s="106"/>
      <c r="G199" s="111"/>
      <c r="H199" s="117"/>
      <c r="I199" s="111"/>
      <c r="J199" s="117"/>
      <c r="K199" s="63"/>
      <c r="L199" s="107"/>
    </row>
    <row r="200" spans="1:12" ht="24">
      <c r="A200" s="52"/>
      <c r="B200" s="53"/>
      <c r="C200" s="54"/>
      <c r="D200" s="55"/>
      <c r="E200" s="56"/>
      <c r="F200" s="57"/>
      <c r="G200" s="112"/>
      <c r="H200" s="118"/>
      <c r="I200" s="123"/>
      <c r="J200" s="124"/>
      <c r="K200" s="57"/>
      <c r="L200" s="58"/>
    </row>
    <row r="201" spans="1:12" ht="24">
      <c r="A201" s="59"/>
      <c r="B201" s="60"/>
      <c r="C201" s="61"/>
      <c r="D201" s="62"/>
      <c r="E201" s="63"/>
      <c r="F201" s="64"/>
      <c r="G201" s="113"/>
      <c r="H201" s="119"/>
      <c r="I201" s="113"/>
      <c r="J201" s="120"/>
      <c r="K201" s="65"/>
      <c r="L201" s="66"/>
    </row>
    <row r="202" spans="1:12" ht="24">
      <c r="A202" s="59"/>
      <c r="B202" s="60"/>
      <c r="C202" s="61"/>
      <c r="D202" s="62"/>
      <c r="E202" s="63"/>
      <c r="F202" s="64"/>
      <c r="G202" s="113"/>
      <c r="H202" s="120"/>
      <c r="I202" s="113"/>
      <c r="J202" s="120"/>
      <c r="K202" s="65"/>
      <c r="L202" s="66"/>
    </row>
    <row r="203" spans="1:12" ht="24">
      <c r="A203" s="59"/>
      <c r="B203" s="60"/>
      <c r="C203" s="61"/>
      <c r="D203" s="67"/>
      <c r="E203" s="56"/>
      <c r="F203" s="57"/>
      <c r="G203" s="114"/>
      <c r="H203" s="121"/>
      <c r="I203" s="114"/>
      <c r="J203" s="121"/>
      <c r="K203" s="68"/>
      <c r="L203" s="58"/>
    </row>
    <row r="204" spans="1:12" ht="24">
      <c r="A204" s="59"/>
      <c r="B204" s="60"/>
      <c r="C204" s="61"/>
      <c r="D204" s="67"/>
      <c r="E204" s="56"/>
      <c r="F204" s="57"/>
      <c r="G204" s="114"/>
      <c r="H204" s="121"/>
      <c r="I204" s="114"/>
      <c r="J204" s="121"/>
      <c r="K204" s="68"/>
      <c r="L204" s="58"/>
    </row>
    <row r="205" spans="1:12" ht="24">
      <c r="A205" s="59"/>
      <c r="B205" s="60"/>
      <c r="C205" s="61"/>
      <c r="D205" s="67"/>
      <c r="E205" s="56"/>
      <c r="F205" s="57"/>
      <c r="G205" s="114"/>
      <c r="H205" s="121"/>
      <c r="I205" s="114"/>
      <c r="J205" s="121"/>
      <c r="K205" s="68"/>
      <c r="L205" s="58"/>
    </row>
    <row r="206" spans="1:12" ht="24">
      <c r="A206" s="59"/>
      <c r="B206" s="60"/>
      <c r="C206" s="61"/>
      <c r="D206" s="67"/>
      <c r="E206" s="56"/>
      <c r="F206" s="57"/>
      <c r="G206" s="114"/>
      <c r="H206" s="121"/>
      <c r="I206" s="114"/>
      <c r="J206" s="121"/>
      <c r="K206" s="68"/>
      <c r="L206" s="58"/>
    </row>
    <row r="207" spans="1:12" ht="24">
      <c r="A207" s="59"/>
      <c r="B207" s="60"/>
      <c r="C207" s="61"/>
      <c r="D207" s="67"/>
      <c r="E207" s="56"/>
      <c r="F207" s="57"/>
      <c r="G207" s="114"/>
      <c r="H207" s="121"/>
      <c r="I207" s="114"/>
      <c r="J207" s="121"/>
      <c r="K207" s="68"/>
      <c r="L207" s="58"/>
    </row>
    <row r="208" spans="1:12" ht="24">
      <c r="A208" s="59"/>
      <c r="B208" s="60"/>
      <c r="C208" s="61"/>
      <c r="D208" s="67"/>
      <c r="E208" s="56"/>
      <c r="F208" s="57"/>
      <c r="G208" s="114"/>
      <c r="H208" s="121"/>
      <c r="I208" s="114"/>
      <c r="J208" s="121"/>
      <c r="K208" s="68"/>
      <c r="L208" s="58"/>
    </row>
    <row r="209" spans="1:12" ht="24">
      <c r="A209" s="59"/>
      <c r="B209" s="60"/>
      <c r="C209" s="61"/>
      <c r="D209" s="67"/>
      <c r="E209" s="56"/>
      <c r="F209" s="57"/>
      <c r="G209" s="114"/>
      <c r="H209" s="121"/>
      <c r="I209" s="114"/>
      <c r="J209" s="121"/>
      <c r="K209" s="68"/>
      <c r="L209" s="58"/>
    </row>
    <row r="210" spans="1:12" ht="24">
      <c r="A210" s="59"/>
      <c r="B210" s="60"/>
      <c r="C210" s="61"/>
      <c r="D210" s="67"/>
      <c r="E210" s="56"/>
      <c r="F210" s="57"/>
      <c r="G210" s="114"/>
      <c r="H210" s="121"/>
      <c r="I210" s="114"/>
      <c r="J210" s="121"/>
      <c r="K210" s="68"/>
      <c r="L210" s="58"/>
    </row>
    <row r="211" spans="1:12" ht="24">
      <c r="A211" s="59"/>
      <c r="B211" s="60"/>
      <c r="C211" s="61"/>
      <c r="D211" s="67"/>
      <c r="E211" s="56"/>
      <c r="F211" s="57"/>
      <c r="G211" s="114"/>
      <c r="H211" s="121"/>
      <c r="I211" s="114"/>
      <c r="J211" s="121"/>
      <c r="K211" s="68"/>
      <c r="L211" s="58"/>
    </row>
    <row r="212" spans="1:12" ht="24">
      <c r="A212" s="59"/>
      <c r="B212" s="60"/>
      <c r="C212" s="61"/>
      <c r="D212" s="67"/>
      <c r="E212" s="56"/>
      <c r="F212" s="57"/>
      <c r="G212" s="114"/>
      <c r="H212" s="121"/>
      <c r="I212" s="114"/>
      <c r="J212" s="121"/>
      <c r="K212" s="68"/>
      <c r="L212" s="58"/>
    </row>
    <row r="213" spans="1:12" ht="24">
      <c r="A213" s="59"/>
      <c r="B213" s="60"/>
      <c r="C213" s="61"/>
      <c r="D213" s="67"/>
      <c r="E213" s="56"/>
      <c r="F213" s="57"/>
      <c r="G213" s="114"/>
      <c r="H213" s="121"/>
      <c r="I213" s="114"/>
      <c r="J213" s="121"/>
      <c r="K213" s="68"/>
      <c r="L213" s="58"/>
    </row>
    <row r="214" spans="1:12" ht="24">
      <c r="A214" s="69"/>
      <c r="B214" s="60"/>
      <c r="C214" s="61"/>
      <c r="D214" s="67"/>
      <c r="E214" s="56"/>
      <c r="F214" s="57"/>
      <c r="G214" s="114"/>
      <c r="H214" s="121"/>
      <c r="I214" s="114"/>
      <c r="J214" s="121"/>
      <c r="K214" s="68"/>
      <c r="L214" s="58"/>
    </row>
    <row r="215" spans="1:12" ht="24">
      <c r="A215" s="69"/>
      <c r="B215" s="60"/>
      <c r="C215" s="61"/>
      <c r="D215" s="67"/>
      <c r="E215" s="56"/>
      <c r="F215" s="57"/>
      <c r="G215" s="114"/>
      <c r="H215" s="121"/>
      <c r="I215" s="114"/>
      <c r="J215" s="121"/>
      <c r="K215" s="68"/>
      <c r="L215" s="58"/>
    </row>
    <row r="216" spans="1:12" ht="24">
      <c r="A216" s="69"/>
      <c r="B216" s="60"/>
      <c r="C216" s="61"/>
      <c r="D216" s="67"/>
      <c r="E216" s="56"/>
      <c r="F216" s="57"/>
      <c r="G216" s="114"/>
      <c r="H216" s="121"/>
      <c r="I216" s="114"/>
      <c r="J216" s="121"/>
      <c r="K216" s="68"/>
      <c r="L216" s="58"/>
    </row>
    <row r="217" spans="1:12" ht="24">
      <c r="A217" s="69"/>
      <c r="B217" s="60"/>
      <c r="C217" s="61"/>
      <c r="D217" s="67"/>
      <c r="E217" s="56"/>
      <c r="F217" s="57"/>
      <c r="G217" s="114"/>
      <c r="H217" s="121"/>
      <c r="I217" s="114"/>
      <c r="J217" s="121"/>
      <c r="K217" s="68"/>
      <c r="L217" s="58"/>
    </row>
    <row r="218" spans="1:12" ht="24.75" thickBot="1">
      <c r="A218" s="69"/>
      <c r="B218" s="60"/>
      <c r="C218" s="61"/>
      <c r="D218" s="67"/>
      <c r="E218" s="56"/>
      <c r="F218" s="57"/>
      <c r="G218" s="114"/>
      <c r="H218" s="121"/>
      <c r="I218" s="114"/>
      <c r="J218" s="121"/>
      <c r="K218" s="68"/>
      <c r="L218" s="58"/>
    </row>
    <row r="219" spans="1:12" ht="24.75" thickTop="1">
      <c r="A219" s="70"/>
      <c r="B219" s="1981" t="s">
        <v>69</v>
      </c>
      <c r="C219" s="1982"/>
      <c r="D219" s="1983"/>
      <c r="E219" s="71"/>
      <c r="F219" s="72"/>
      <c r="G219" s="115"/>
      <c r="H219" s="122"/>
      <c r="I219" s="115"/>
      <c r="J219" s="122"/>
      <c r="K219" s="73"/>
      <c r="L219" s="74"/>
    </row>
  </sheetData>
  <mergeCells count="18">
    <mergeCell ref="B198:D198"/>
    <mergeCell ref="B219:D219"/>
    <mergeCell ref="B135:D135"/>
    <mergeCell ref="B156:D156"/>
    <mergeCell ref="B177:D177"/>
    <mergeCell ref="L8:L9"/>
    <mergeCell ref="B10:D10"/>
    <mergeCell ref="B30:D30"/>
    <mergeCell ref="B51:D51"/>
    <mergeCell ref="I8:J8"/>
    <mergeCell ref="E8:E9"/>
    <mergeCell ref="F8:F9"/>
    <mergeCell ref="G8:H8"/>
    <mergeCell ref="B72:D72"/>
    <mergeCell ref="B93:D93"/>
    <mergeCell ref="B114:D114"/>
    <mergeCell ref="A8:A9"/>
    <mergeCell ref="B8:D9"/>
  </mergeCells>
  <pageMargins left="0.31496062992125984" right="0.15748031496062992" top="0.43307086614173229" bottom="0.35433070866141736" header="0.43307086614173229" footer="0.15748031496062992"/>
  <pageSetup paperSize="9" scale="80" orientation="landscape" r:id="rId1"/>
  <headerFooter>
    <oddHeader xml:space="preserve">&amp;Rแผ่นที่ &amp;P ใน &amp;N แผ่น          </oddHeader>
    <oddFooter xml:space="preserve">&amp;Rงานระบบปรับอากาศ และระบายอากาศ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31"/>
  <sheetViews>
    <sheetView showGridLines="0" view="pageBreakPreview" topLeftCell="A7" zoomScale="90" zoomScaleNormal="90" zoomScaleSheetLayoutView="90" workbookViewId="0">
      <selection activeCell="G12" sqref="G12"/>
    </sheetView>
  </sheetViews>
  <sheetFormatPr defaultRowHeight="21.75"/>
  <cols>
    <col min="1" max="1" width="12.5703125" customWidth="1"/>
    <col min="2" max="2" width="11.28515625" customWidth="1"/>
    <col min="3" max="3" width="16.28515625" customWidth="1"/>
    <col min="4" max="4" width="3.5703125" customWidth="1"/>
    <col min="5" max="5" width="38.140625" customWidth="1"/>
    <col min="6" max="6" width="23.140625" customWidth="1"/>
    <col min="7" max="7" width="16.140625" customWidth="1"/>
    <col min="8" max="8" width="31" customWidth="1"/>
    <col min="9" max="9" width="22.7109375" customWidth="1"/>
  </cols>
  <sheetData>
    <row r="1" spans="1:9">
      <c r="A1" s="2"/>
      <c r="B1" s="2"/>
      <c r="C1" s="2"/>
      <c r="D1" s="2"/>
      <c r="E1" s="2"/>
      <c r="F1" s="2"/>
      <c r="G1" s="2"/>
      <c r="H1" s="2038" t="s">
        <v>63</v>
      </c>
      <c r="I1" s="2038"/>
    </row>
    <row r="2" spans="1:9" ht="23.25">
      <c r="A2" s="1958" t="s">
        <v>62</v>
      </c>
      <c r="B2" s="1958"/>
      <c r="C2" s="1958"/>
      <c r="D2" s="1958"/>
      <c r="E2" s="1958"/>
      <c r="F2" s="1958"/>
      <c r="G2" s="1958"/>
      <c r="H2" s="1958"/>
      <c r="I2" s="1958"/>
    </row>
    <row r="3" spans="1:9" ht="23.25">
      <c r="A3" s="1958" t="s">
        <v>64</v>
      </c>
      <c r="B3" s="1958"/>
      <c r="C3" s="1958"/>
      <c r="D3" s="1958"/>
      <c r="E3" s="1958"/>
      <c r="F3" s="1958"/>
      <c r="G3" s="1958"/>
      <c r="H3" s="1958"/>
      <c r="I3" s="1958"/>
    </row>
    <row r="4" spans="1:9">
      <c r="A4" s="12" t="s">
        <v>4</v>
      </c>
      <c r="B4" s="12"/>
      <c r="C4" s="10"/>
      <c r="D4" s="128" t="s">
        <v>73</v>
      </c>
      <c r="E4" s="12"/>
      <c r="F4" s="12"/>
      <c r="G4" s="12"/>
      <c r="H4" s="26"/>
      <c r="I4" s="26"/>
    </row>
    <row r="5" spans="1:9">
      <c r="A5" s="5" t="s">
        <v>5</v>
      </c>
      <c r="B5" s="5"/>
      <c r="C5" s="6"/>
      <c r="D5" s="23" t="s">
        <v>74</v>
      </c>
      <c r="E5" s="5"/>
      <c r="F5" s="5"/>
      <c r="G5" s="129" t="s">
        <v>75</v>
      </c>
      <c r="H5" s="27"/>
      <c r="I5" s="27"/>
    </row>
    <row r="6" spans="1:9">
      <c r="A6" s="5" t="s">
        <v>48</v>
      </c>
      <c r="B6" s="5"/>
      <c r="C6" s="28"/>
      <c r="D6" s="130" t="s">
        <v>76</v>
      </c>
      <c r="E6" s="29"/>
      <c r="F6" s="29"/>
      <c r="G6" s="29"/>
      <c r="H6" s="27"/>
      <c r="I6" s="27"/>
    </row>
    <row r="7" spans="1:9" ht="24">
      <c r="A7" s="23" t="s">
        <v>82</v>
      </c>
      <c r="B7" s="89"/>
      <c r="C7" s="90"/>
      <c r="D7" s="2048" t="s">
        <v>77</v>
      </c>
      <c r="E7" s="2048"/>
      <c r="F7" s="95" t="s">
        <v>32</v>
      </c>
      <c r="G7" s="95" t="s">
        <v>33</v>
      </c>
      <c r="H7" s="96" t="s">
        <v>65</v>
      </c>
      <c r="I7" s="27"/>
    </row>
    <row r="8" spans="1:9" ht="16.5" customHeight="1" thickBot="1">
      <c r="A8" s="91"/>
      <c r="B8" s="92"/>
      <c r="C8" s="93"/>
      <c r="D8" s="93"/>
      <c r="E8" s="94"/>
      <c r="F8" s="93"/>
      <c r="G8" s="98"/>
      <c r="H8" s="35"/>
      <c r="I8" s="97" t="s">
        <v>45</v>
      </c>
    </row>
    <row r="9" spans="1:9" ht="22.5" thickTop="1">
      <c r="A9" s="2039" t="s">
        <v>9</v>
      </c>
      <c r="B9" s="2040" t="s">
        <v>10</v>
      </c>
      <c r="C9" s="2041"/>
      <c r="D9" s="2041"/>
      <c r="E9" s="2042"/>
      <c r="F9" s="2035" t="s">
        <v>34</v>
      </c>
      <c r="G9" s="2035" t="s">
        <v>35</v>
      </c>
      <c r="H9" s="99" t="s">
        <v>66</v>
      </c>
      <c r="I9" s="2046" t="s">
        <v>13</v>
      </c>
    </row>
    <row r="10" spans="1:9" ht="22.5" thickBot="1">
      <c r="A10" s="2036"/>
      <c r="B10" s="2043"/>
      <c r="C10" s="2044"/>
      <c r="D10" s="2044"/>
      <c r="E10" s="2045"/>
      <c r="F10" s="2036"/>
      <c r="G10" s="2036"/>
      <c r="H10" s="100" t="s">
        <v>67</v>
      </c>
      <c r="I10" s="2047"/>
    </row>
    <row r="11" spans="1:9" ht="22.5" thickTop="1">
      <c r="A11" s="9"/>
      <c r="B11" s="12"/>
      <c r="C11" s="12"/>
      <c r="D11" s="16"/>
      <c r="E11" s="76"/>
      <c r="F11" s="75"/>
      <c r="G11" s="76"/>
      <c r="H11" s="14"/>
      <c r="I11" s="11"/>
    </row>
    <row r="12" spans="1:9">
      <c r="A12" s="4"/>
      <c r="B12" s="77"/>
      <c r="C12" s="23"/>
      <c r="D12" s="5"/>
      <c r="E12" s="10"/>
      <c r="F12" s="78"/>
      <c r="G12" s="79"/>
      <c r="H12" s="14"/>
      <c r="I12" s="11"/>
    </row>
    <row r="13" spans="1:9">
      <c r="A13" s="4"/>
      <c r="B13" s="77"/>
      <c r="C13" s="23"/>
      <c r="D13" s="18"/>
      <c r="E13" s="7"/>
      <c r="F13" s="80"/>
      <c r="G13" s="79"/>
      <c r="H13" s="14"/>
      <c r="I13" s="11"/>
    </row>
    <row r="14" spans="1:9">
      <c r="A14" s="4"/>
      <c r="B14" s="5"/>
      <c r="C14" s="5"/>
      <c r="D14" s="6"/>
      <c r="E14" s="7"/>
      <c r="F14" s="75"/>
      <c r="G14" s="10"/>
      <c r="H14" s="14"/>
      <c r="I14" s="11"/>
    </row>
    <row r="15" spans="1:9">
      <c r="A15" s="9"/>
      <c r="B15" s="12"/>
      <c r="C15" s="5"/>
      <c r="D15" s="10"/>
      <c r="E15" s="10"/>
      <c r="F15" s="75"/>
      <c r="G15" s="10"/>
      <c r="H15" s="14"/>
      <c r="I15" s="11"/>
    </row>
    <row r="16" spans="1:9">
      <c r="A16" s="9"/>
      <c r="B16" s="12"/>
      <c r="C16" s="5"/>
      <c r="D16" s="10"/>
      <c r="E16" s="10"/>
      <c r="F16" s="75"/>
      <c r="G16" s="10"/>
      <c r="H16" s="14"/>
      <c r="I16" s="11"/>
    </row>
    <row r="17" spans="1:9">
      <c r="A17" s="9"/>
      <c r="B17" s="12"/>
      <c r="C17" s="5"/>
      <c r="D17" s="10"/>
      <c r="E17" s="10"/>
      <c r="F17" s="75"/>
      <c r="G17" s="10"/>
      <c r="H17" s="14"/>
      <c r="I17" s="11"/>
    </row>
    <row r="18" spans="1:9">
      <c r="A18" s="9"/>
      <c r="B18" s="12"/>
      <c r="C18" s="5"/>
      <c r="D18" s="10"/>
      <c r="E18" s="10"/>
      <c r="F18" s="75"/>
      <c r="G18" s="10"/>
      <c r="H18" s="14"/>
      <c r="I18" s="11"/>
    </row>
    <row r="19" spans="1:9">
      <c r="A19" s="9"/>
      <c r="B19" s="12"/>
      <c r="C19" s="5"/>
      <c r="D19" s="10"/>
      <c r="E19" s="10"/>
      <c r="F19" s="75"/>
      <c r="G19" s="10"/>
      <c r="H19" s="14"/>
      <c r="I19" s="11"/>
    </row>
    <row r="20" spans="1:9">
      <c r="A20" s="9"/>
      <c r="B20" s="12"/>
      <c r="C20" s="5"/>
      <c r="D20" s="10"/>
      <c r="E20" s="10"/>
      <c r="F20" s="75"/>
      <c r="G20" s="10"/>
      <c r="H20" s="14"/>
      <c r="I20" s="11"/>
    </row>
    <row r="21" spans="1:9">
      <c r="A21" s="9"/>
      <c r="B21" s="12"/>
      <c r="C21" s="5"/>
      <c r="D21" s="10"/>
      <c r="E21" s="10"/>
      <c r="F21" s="75"/>
      <c r="G21" s="10"/>
      <c r="H21" s="14"/>
      <c r="I21" s="11"/>
    </row>
    <row r="22" spans="1:9">
      <c r="A22" s="9"/>
      <c r="B22" s="12"/>
      <c r="C22" s="5"/>
      <c r="D22" s="10"/>
      <c r="E22" s="10"/>
      <c r="F22" s="75"/>
      <c r="G22" s="10"/>
      <c r="H22" s="14"/>
      <c r="I22" s="11"/>
    </row>
    <row r="23" spans="1:9">
      <c r="A23" s="9"/>
      <c r="B23" s="10"/>
      <c r="C23" s="5"/>
      <c r="D23" s="12"/>
      <c r="E23" s="12"/>
      <c r="F23" s="19"/>
      <c r="G23" s="12"/>
      <c r="H23" s="8"/>
      <c r="I23" s="11"/>
    </row>
    <row r="24" spans="1:9">
      <c r="A24" s="9"/>
      <c r="B24" s="10"/>
      <c r="C24" s="5"/>
      <c r="D24" s="5"/>
      <c r="E24" s="12"/>
      <c r="F24" s="19"/>
      <c r="G24" s="20"/>
      <c r="H24" s="14"/>
      <c r="I24" s="11"/>
    </row>
    <row r="25" spans="1:9">
      <c r="A25" s="9"/>
      <c r="B25" s="10"/>
      <c r="C25" s="5"/>
      <c r="D25" s="5"/>
      <c r="E25" s="12"/>
      <c r="F25" s="19"/>
      <c r="G25" s="20"/>
      <c r="H25" s="14"/>
      <c r="I25" s="11"/>
    </row>
    <row r="26" spans="1:9">
      <c r="A26" s="4"/>
      <c r="B26" s="81"/>
      <c r="C26" s="5"/>
      <c r="D26" s="5"/>
      <c r="E26" s="13"/>
      <c r="F26" s="17"/>
      <c r="G26" s="13"/>
      <c r="H26" s="14"/>
      <c r="I26" s="15"/>
    </row>
    <row r="27" spans="1:9">
      <c r="A27" s="4"/>
      <c r="B27" s="81"/>
      <c r="C27" s="5"/>
      <c r="D27" s="5"/>
      <c r="E27" s="13"/>
      <c r="F27" s="17"/>
      <c r="G27" s="13"/>
      <c r="H27" s="14"/>
      <c r="I27" s="15"/>
    </row>
    <row r="28" spans="1:9">
      <c r="A28" s="19"/>
      <c r="B28" s="12"/>
      <c r="C28" s="12"/>
      <c r="D28" s="5"/>
      <c r="E28" s="13"/>
      <c r="F28" s="21"/>
      <c r="G28" s="22"/>
      <c r="H28" s="11"/>
      <c r="I28" s="11"/>
    </row>
    <row r="29" spans="1:9" ht="22.5" thickBot="1">
      <c r="A29" s="82"/>
      <c r="B29" s="18"/>
      <c r="C29" s="18"/>
      <c r="D29" s="83"/>
      <c r="E29" s="83"/>
      <c r="F29" s="84"/>
      <c r="G29" s="87"/>
      <c r="H29" s="85"/>
      <c r="I29" s="85"/>
    </row>
    <row r="30" spans="1:9" ht="23.25" thickTop="1" thickBot="1">
      <c r="A30" s="101"/>
      <c r="B30" s="2037" t="s">
        <v>68</v>
      </c>
      <c r="C30" s="2037"/>
      <c r="D30" s="2037"/>
      <c r="E30" s="2037"/>
      <c r="F30" s="2033"/>
      <c r="G30" s="2034"/>
      <c r="H30" s="86"/>
      <c r="I30" s="102"/>
    </row>
    <row r="31" spans="1:9" ht="22.5" thickTop="1"/>
  </sheetData>
  <mergeCells count="11">
    <mergeCell ref="F30:G30"/>
    <mergeCell ref="A3:I3"/>
    <mergeCell ref="G9:G10"/>
    <mergeCell ref="B30:E30"/>
    <mergeCell ref="H1:I1"/>
    <mergeCell ref="A2:I2"/>
    <mergeCell ref="A9:A10"/>
    <mergeCell ref="B9:E10"/>
    <mergeCell ref="F9:F10"/>
    <mergeCell ref="I9:I10"/>
    <mergeCell ref="D7:E7"/>
  </mergeCells>
  <pageMargins left="0.47244094488188981" right="0.15748031496062992" top="0.35433070866141736" bottom="0.35433070866141736" header="0.19685039370078741" footer="0.15748031496062992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topLeftCell="A4" workbookViewId="0">
      <selection activeCell="C12" sqref="C12"/>
    </sheetView>
  </sheetViews>
  <sheetFormatPr defaultRowHeight="18" customHeight="1"/>
  <cols>
    <col min="1" max="1" width="9.85546875" style="3" customWidth="1"/>
    <col min="2" max="2" width="10.28515625" style="25" customWidth="1"/>
    <col min="3" max="3" width="68.140625" style="3" customWidth="1"/>
    <col min="4" max="4" width="21.7109375" style="3" customWidth="1"/>
    <col min="5" max="5" width="21.85546875" style="3" customWidth="1"/>
    <col min="6" max="6" width="18.28515625" style="3" customWidth="1"/>
    <col min="7" max="16384" width="9.140625" style="3"/>
  </cols>
  <sheetData>
    <row r="1" spans="1:7" ht="27" customHeight="1">
      <c r="A1" s="1958" t="s">
        <v>1</v>
      </c>
      <c r="B1" s="1958"/>
      <c r="C1" s="1958"/>
      <c r="D1" s="1958"/>
      <c r="E1" s="1958"/>
      <c r="F1" s="1958"/>
      <c r="G1" s="2"/>
    </row>
    <row r="2" spans="1:7" ht="17.25" customHeight="1" thickBot="1">
      <c r="A2" s="1"/>
      <c r="B2" s="24"/>
      <c r="C2" s="2"/>
      <c r="D2" s="2"/>
      <c r="E2" s="2"/>
      <c r="F2" s="237"/>
    </row>
    <row r="3" spans="1:7" s="247" customFormat="1" ht="24.95" customHeight="1" thickTop="1">
      <c r="A3" s="2049" t="s">
        <v>9</v>
      </c>
      <c r="B3" s="2051" t="s">
        <v>10</v>
      </c>
      <c r="C3" s="2052"/>
      <c r="D3" s="2055" t="s">
        <v>399</v>
      </c>
      <c r="E3" s="2049" t="s">
        <v>400</v>
      </c>
      <c r="F3" s="2055" t="s">
        <v>13</v>
      </c>
    </row>
    <row r="4" spans="1:7" s="247" customFormat="1" ht="24.95" customHeight="1" thickBot="1">
      <c r="A4" s="2050"/>
      <c r="B4" s="2053"/>
      <c r="C4" s="2054"/>
      <c r="D4" s="2056"/>
      <c r="E4" s="2050"/>
      <c r="F4" s="2056"/>
    </row>
    <row r="5" spans="1:7" s="247" customFormat="1" ht="24.95" customHeight="1" thickTop="1">
      <c r="A5" s="263">
        <v>1</v>
      </c>
      <c r="B5" s="264" t="s">
        <v>391</v>
      </c>
      <c r="C5" s="265"/>
      <c r="D5" s="266">
        <f>'[10]ปร.5(ก)'!$F$32</f>
        <v>0</v>
      </c>
      <c r="E5" s="267">
        <f>'[10]1.2.A-ST+BD'!$L$30</f>
        <v>19814395.02</v>
      </c>
      <c r="F5" s="268"/>
    </row>
    <row r="6" spans="1:7" s="247" customFormat="1" ht="24.95" customHeight="1">
      <c r="A6" s="269">
        <v>2</v>
      </c>
      <c r="B6" s="270" t="s">
        <v>392</v>
      </c>
      <c r="C6" s="23"/>
      <c r="D6" s="271">
        <f>'[3]ปร.5(ก)'!$F$44</f>
        <v>0</v>
      </c>
      <c r="E6" s="272">
        <f>'[3]1.2.A-ST+BD'!$L$31</f>
        <v>25359800.559999995</v>
      </c>
      <c r="F6" s="273"/>
    </row>
    <row r="7" spans="1:7" s="247" customFormat="1" ht="24.95" customHeight="1">
      <c r="A7" s="274">
        <v>3</v>
      </c>
      <c r="B7" s="275" t="s">
        <v>393</v>
      </c>
      <c r="C7" s="128"/>
      <c r="D7" s="271">
        <f>'[4]ปร.5(ก)'!$F$44</f>
        <v>0</v>
      </c>
      <c r="E7" s="272">
        <f>'[4]1.2.C-ST+BD'!$L$30</f>
        <v>7472605.0299999993</v>
      </c>
      <c r="F7" s="276"/>
    </row>
    <row r="8" spans="1:7" s="247" customFormat="1" ht="24.95" customHeight="1">
      <c r="A8" s="274">
        <v>4</v>
      </c>
      <c r="B8" s="275" t="s">
        <v>394</v>
      </c>
      <c r="C8" s="128"/>
      <c r="D8" s="271">
        <f>'[5]ปร.5(ก)'!$F$44</f>
        <v>0</v>
      </c>
      <c r="E8" s="272">
        <f>'[5]1.2.D-ST+BD'!$L$30</f>
        <v>7472605.0299999993</v>
      </c>
      <c r="F8" s="276"/>
    </row>
    <row r="9" spans="1:7" s="247" customFormat="1" ht="24.95" customHeight="1">
      <c r="A9" s="274">
        <v>5</v>
      </c>
      <c r="B9" s="275" t="s">
        <v>395</v>
      </c>
      <c r="C9" s="128"/>
      <c r="D9" s="271">
        <f>'[6]ปร.5(ก)'!$F$45</f>
        <v>0</v>
      </c>
      <c r="E9" s="272">
        <f>'[6]1.2.E-ST+BD'!$L$29</f>
        <v>3848013.4699999997</v>
      </c>
      <c r="F9" s="276"/>
    </row>
    <row r="10" spans="1:7" s="247" customFormat="1" ht="24.95" customHeight="1">
      <c r="A10" s="274">
        <v>6</v>
      </c>
      <c r="B10" s="275" t="s">
        <v>396</v>
      </c>
      <c r="C10" s="128"/>
      <c r="D10" s="277">
        <f>'[7]ปร.5(ก)'!$F$42</f>
        <v>0</v>
      </c>
      <c r="E10" s="272">
        <f>'[7]1.F.A-ST+BD'!$L$30</f>
        <v>202972.59000000003</v>
      </c>
      <c r="F10" s="276"/>
    </row>
    <row r="11" spans="1:7" s="247" customFormat="1" ht="24.95" customHeight="1">
      <c r="A11" s="274">
        <v>7</v>
      </c>
      <c r="B11" s="275" t="s">
        <v>397</v>
      </c>
      <c r="C11" s="128"/>
      <c r="D11" s="277" t="e">
        <f>'[8]ปร.5(ก)'!$F$42</f>
        <v>#REF!</v>
      </c>
      <c r="E11" s="278">
        <f>'[8]1.2.G-ST+BD'!$L$30</f>
        <v>8719981.540000001</v>
      </c>
      <c r="F11" s="276"/>
    </row>
    <row r="12" spans="1:7" s="247" customFormat="1" ht="24.95" customHeight="1">
      <c r="A12" s="274">
        <v>8</v>
      </c>
      <c r="B12" s="275" t="s">
        <v>398</v>
      </c>
      <c r="C12" s="128"/>
      <c r="D12" s="279">
        <f>'[11]ปร.5(ก)'!$F$43</f>
        <v>34377072</v>
      </c>
      <c r="E12" s="278" t="e">
        <f>#REF!</f>
        <v>#REF!</v>
      </c>
      <c r="F12" s="276"/>
    </row>
    <row r="13" spans="1:7" s="247" customFormat="1" ht="24.95" customHeight="1">
      <c r="A13" s="274">
        <v>9</v>
      </c>
      <c r="B13" s="275" t="s">
        <v>58</v>
      </c>
      <c r="C13" s="280"/>
      <c r="D13" s="279">
        <v>13369790</v>
      </c>
      <c r="E13" s="281" t="s">
        <v>134</v>
      </c>
      <c r="F13" s="276"/>
    </row>
    <row r="14" spans="1:7" s="247" customFormat="1" ht="24.95" customHeight="1">
      <c r="A14" s="274"/>
      <c r="B14" s="282"/>
      <c r="C14" s="280"/>
      <c r="D14" s="279"/>
      <c r="E14" s="281"/>
      <c r="F14" s="276"/>
    </row>
    <row r="15" spans="1:7" s="247" customFormat="1" ht="24.95" customHeight="1">
      <c r="A15" s="274"/>
      <c r="B15" s="127"/>
      <c r="C15" s="280"/>
      <c r="D15" s="279"/>
      <c r="E15" s="281"/>
      <c r="F15" s="276"/>
    </row>
    <row r="16" spans="1:7" s="247" customFormat="1" ht="24.95" customHeight="1">
      <c r="A16" s="283"/>
      <c r="B16" s="284"/>
      <c r="C16" s="30"/>
      <c r="D16" s="285"/>
      <c r="E16" s="286"/>
      <c r="F16" s="287"/>
    </row>
    <row r="17" spans="1:6" s="240" customFormat="1" ht="24.95" customHeight="1">
      <c r="A17" s="288"/>
      <c r="B17" s="238"/>
      <c r="C17" s="289" t="s">
        <v>69</v>
      </c>
      <c r="D17" s="290" t="e">
        <f>SUM(D5:D16)</f>
        <v>#REF!</v>
      </c>
      <c r="E17" s="290" t="e">
        <f>SUM(E5:E16)</f>
        <v>#REF!</v>
      </c>
      <c r="F17" s="291"/>
    </row>
    <row r="20" spans="1:6" ht="18" customHeight="1">
      <c r="D20" s="262" t="e">
        <f>SUM(D5:D12)</f>
        <v>#REF!</v>
      </c>
      <c r="E20" s="261" t="e">
        <f>D17*1.10936</f>
        <v>#REF!</v>
      </c>
    </row>
    <row r="22" spans="1:6" ht="20.25" customHeight="1"/>
  </sheetData>
  <mergeCells count="6">
    <mergeCell ref="A1:F1"/>
    <mergeCell ref="A3:A4"/>
    <mergeCell ref="B3:C4"/>
    <mergeCell ref="D3:D4"/>
    <mergeCell ref="E3:E4"/>
    <mergeCell ref="F3:F4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6"/>
  <sheetViews>
    <sheetView showGridLines="0" view="pageBreakPreview" topLeftCell="A16" zoomScaleNormal="90" zoomScaleSheetLayoutView="100" workbookViewId="0">
      <selection activeCell="G25" sqref="G25"/>
    </sheetView>
  </sheetViews>
  <sheetFormatPr defaultRowHeight="24"/>
  <cols>
    <col min="1" max="1" width="16.28515625" style="1579" customWidth="1"/>
    <col min="2" max="2" width="7.140625" style="1579" customWidth="1"/>
    <col min="3" max="3" width="17.42578125" style="1579" customWidth="1"/>
    <col min="4" max="4" width="24.5703125" style="1579" customWidth="1"/>
    <col min="5" max="5" width="27.28515625" style="1579" customWidth="1"/>
    <col min="6" max="6" width="23.42578125" style="1579" customWidth="1"/>
    <col min="7" max="7" width="32.85546875" style="1579" customWidth="1"/>
    <col min="8" max="36" width="28" style="1579" customWidth="1"/>
    <col min="37" max="37" width="10.140625" style="1579" hidden="1" customWidth="1"/>
    <col min="38" max="38" width="10.5703125" style="1579" hidden="1" customWidth="1"/>
    <col min="39" max="16384" width="9.140625" style="1579"/>
  </cols>
  <sheetData>
    <row r="1" spans="1:38">
      <c r="A1" s="1759"/>
      <c r="B1" s="1760"/>
      <c r="C1" s="1759"/>
      <c r="D1" s="1759"/>
      <c r="E1" s="1759"/>
      <c r="F1" s="1759"/>
      <c r="G1" s="1761" t="s">
        <v>61</v>
      </c>
      <c r="H1" s="1762" t="s">
        <v>489</v>
      </c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  <c r="V1" s="1762"/>
      <c r="W1" s="1762"/>
      <c r="X1" s="1762"/>
      <c r="Y1" s="1762"/>
      <c r="Z1" s="1762"/>
      <c r="AA1" s="1762"/>
      <c r="AB1" s="1762"/>
      <c r="AC1" s="1762"/>
      <c r="AD1" s="1762"/>
      <c r="AE1" s="1762"/>
      <c r="AF1" s="1762"/>
      <c r="AG1" s="1762"/>
      <c r="AH1" s="1762"/>
      <c r="AI1" s="1762"/>
      <c r="AJ1" s="1762"/>
    </row>
    <row r="2" spans="1:38">
      <c r="A2" s="1943" t="s">
        <v>56</v>
      </c>
      <c r="B2" s="1943"/>
      <c r="C2" s="1943"/>
      <c r="D2" s="1943"/>
      <c r="E2" s="1943"/>
      <c r="F2" s="1943"/>
      <c r="G2" s="1943"/>
      <c r="H2" s="1943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747"/>
      <c r="V2" s="1747"/>
      <c r="W2" s="1747"/>
      <c r="X2" s="1747"/>
      <c r="Y2" s="1747"/>
      <c r="Z2" s="1747"/>
      <c r="AA2" s="1747"/>
      <c r="AB2" s="1747"/>
      <c r="AC2" s="1747"/>
      <c r="AD2" s="1747"/>
      <c r="AE2" s="1747"/>
      <c r="AF2" s="1747"/>
      <c r="AG2" s="1747"/>
      <c r="AH2" s="1747"/>
      <c r="AI2" s="1747"/>
      <c r="AJ2" s="1747"/>
    </row>
    <row r="3" spans="1:38">
      <c r="A3" s="1716" t="s">
        <v>57</v>
      </c>
      <c r="B3" s="1763"/>
      <c r="C3" s="1749"/>
      <c r="D3" s="1749" t="s">
        <v>484</v>
      </c>
      <c r="E3" s="1749"/>
      <c r="F3" s="1523"/>
      <c r="G3" s="1764"/>
      <c r="H3" s="1764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</row>
    <row r="4" spans="1:38">
      <c r="A4" s="1696" t="s">
        <v>5</v>
      </c>
      <c r="B4" s="1766"/>
      <c r="C4" s="1641"/>
      <c r="D4" s="1641" t="s">
        <v>478</v>
      </c>
      <c r="E4" s="1751"/>
      <c r="F4" s="1696"/>
      <c r="G4" s="1767"/>
      <c r="H4" s="1768" t="s">
        <v>490</v>
      </c>
      <c r="I4" s="1769"/>
      <c r="J4" s="1769"/>
      <c r="K4" s="1769"/>
      <c r="L4" s="1769"/>
      <c r="M4" s="1769"/>
      <c r="N4" s="1769"/>
      <c r="O4" s="1769"/>
      <c r="P4" s="1769"/>
      <c r="Q4" s="1769"/>
      <c r="R4" s="1769"/>
      <c r="S4" s="1769"/>
      <c r="T4" s="1769"/>
      <c r="U4" s="1769"/>
      <c r="V4" s="1769"/>
      <c r="W4" s="1769"/>
      <c r="X4" s="1769"/>
      <c r="Y4" s="1769"/>
      <c r="Z4" s="1769"/>
      <c r="AA4" s="1769"/>
      <c r="AB4" s="1769"/>
      <c r="AC4" s="1769"/>
      <c r="AD4" s="1769"/>
      <c r="AE4" s="1769"/>
      <c r="AF4" s="1769"/>
      <c r="AG4" s="1769"/>
      <c r="AH4" s="1769"/>
      <c r="AI4" s="1769"/>
      <c r="AJ4" s="1769"/>
    </row>
    <row r="5" spans="1:38">
      <c r="A5" s="1696" t="s">
        <v>6</v>
      </c>
      <c r="B5" s="1766"/>
      <c r="C5" s="1696"/>
      <c r="D5" s="1696" t="s">
        <v>476</v>
      </c>
      <c r="E5" s="1696"/>
      <c r="F5" s="1770"/>
      <c r="G5" s="1771"/>
      <c r="H5" s="1772"/>
      <c r="I5" s="1773"/>
      <c r="J5" s="1773"/>
      <c r="K5" s="1773"/>
      <c r="L5" s="1773"/>
      <c r="M5" s="1773"/>
      <c r="N5" s="1773"/>
      <c r="O5" s="1773"/>
      <c r="P5" s="1773"/>
      <c r="Q5" s="1773"/>
      <c r="R5" s="1773"/>
      <c r="S5" s="1773"/>
      <c r="T5" s="1773"/>
      <c r="U5" s="1773"/>
      <c r="V5" s="1773"/>
      <c r="W5" s="1773"/>
      <c r="X5" s="1773"/>
      <c r="Y5" s="1773"/>
      <c r="Z5" s="1773"/>
      <c r="AA5" s="1773"/>
      <c r="AB5" s="1773"/>
      <c r="AC5" s="1773"/>
      <c r="AD5" s="1773"/>
      <c r="AE5" s="1773"/>
      <c r="AF5" s="1773"/>
      <c r="AG5" s="1773"/>
      <c r="AH5" s="1773"/>
      <c r="AI5" s="1773"/>
      <c r="AJ5" s="1773"/>
    </row>
    <row r="6" spans="1:38">
      <c r="A6" s="1696" t="s">
        <v>7</v>
      </c>
      <c r="B6" s="1766"/>
      <c r="C6" s="1696"/>
      <c r="D6" s="1754" t="s">
        <v>479</v>
      </c>
      <c r="E6" s="1696"/>
      <c r="F6" s="1774"/>
      <c r="G6" s="1767"/>
      <c r="H6" s="1767"/>
      <c r="I6" s="1765"/>
      <c r="J6" s="1765"/>
      <c r="K6" s="1765"/>
      <c r="L6" s="1765"/>
      <c r="M6" s="1765"/>
      <c r="N6" s="1765"/>
      <c r="O6" s="1765"/>
      <c r="P6" s="1765"/>
      <c r="Q6" s="1765"/>
      <c r="R6" s="1765"/>
      <c r="S6" s="1765"/>
      <c r="T6" s="1765"/>
      <c r="U6" s="1765"/>
      <c r="V6" s="1765"/>
      <c r="W6" s="1765"/>
      <c r="X6" s="1765"/>
      <c r="Y6" s="1765"/>
      <c r="Z6" s="1765"/>
      <c r="AA6" s="1765"/>
      <c r="AB6" s="1765"/>
      <c r="AC6" s="1765"/>
      <c r="AD6" s="1765"/>
      <c r="AE6" s="1765"/>
      <c r="AF6" s="1765"/>
      <c r="AG6" s="1765"/>
      <c r="AH6" s="1765"/>
      <c r="AI6" s="1765"/>
      <c r="AJ6" s="1765"/>
    </row>
    <row r="7" spans="1:38">
      <c r="A7" s="1696" t="s">
        <v>475</v>
      </c>
      <c r="B7" s="1766"/>
      <c r="C7" s="1775"/>
      <c r="D7" s="1696" t="s">
        <v>185</v>
      </c>
      <c r="E7" s="1775"/>
      <c r="F7" s="1776"/>
      <c r="G7" s="1767"/>
      <c r="H7" s="1767"/>
      <c r="I7" s="1765"/>
      <c r="J7" s="1765"/>
      <c r="K7" s="1765"/>
      <c r="L7" s="1765"/>
      <c r="M7" s="1765"/>
      <c r="N7" s="1765"/>
      <c r="O7" s="1765"/>
      <c r="P7" s="1765"/>
      <c r="Q7" s="1765"/>
      <c r="R7" s="1765"/>
      <c r="S7" s="1765"/>
      <c r="T7" s="1765"/>
      <c r="U7" s="1765"/>
      <c r="V7" s="1765"/>
      <c r="W7" s="1765"/>
      <c r="X7" s="1765"/>
      <c r="Y7" s="1765"/>
      <c r="Z7" s="1765"/>
      <c r="AA7" s="1765"/>
      <c r="AB7" s="1765"/>
      <c r="AC7" s="1765"/>
      <c r="AD7" s="1765"/>
      <c r="AE7" s="1765"/>
      <c r="AF7" s="1765"/>
      <c r="AG7" s="1765"/>
      <c r="AH7" s="1765"/>
      <c r="AI7" s="1765"/>
      <c r="AJ7" s="1765"/>
    </row>
    <row r="8" spans="1:38">
      <c r="A8" s="1641" t="s">
        <v>455</v>
      </c>
      <c r="B8" s="1641"/>
      <c r="C8" s="1777"/>
      <c r="D8" s="1777" t="s">
        <v>486</v>
      </c>
      <c r="E8" s="1777"/>
      <c r="F8" s="1775"/>
      <c r="G8" s="1767"/>
      <c r="H8" s="2062" t="s">
        <v>491</v>
      </c>
      <c r="I8" s="1778"/>
      <c r="J8" s="1778"/>
      <c r="K8" s="1778"/>
      <c r="L8" s="1778"/>
      <c r="M8" s="1778"/>
      <c r="N8" s="1778"/>
      <c r="O8" s="1778"/>
      <c r="P8" s="1778"/>
      <c r="Q8" s="1778"/>
      <c r="R8" s="1778"/>
      <c r="S8" s="1778"/>
      <c r="T8" s="1778"/>
      <c r="U8" s="1778"/>
      <c r="V8" s="1778"/>
      <c r="W8" s="1778"/>
      <c r="X8" s="1778"/>
      <c r="Y8" s="1778"/>
      <c r="Z8" s="1778"/>
      <c r="AA8" s="1778"/>
      <c r="AB8" s="1778"/>
      <c r="AC8" s="1778"/>
      <c r="AD8" s="1778"/>
      <c r="AE8" s="1778"/>
      <c r="AF8" s="1778"/>
      <c r="AG8" s="1778"/>
      <c r="AH8" s="1778"/>
      <c r="AI8" s="1778"/>
      <c r="AJ8" s="1778"/>
    </row>
    <row r="9" spans="1:38" ht="7.5" customHeight="1" thickBot="1">
      <c r="A9" s="1570"/>
      <c r="B9" s="1779"/>
      <c r="C9" s="1780"/>
      <c r="D9" s="1780"/>
      <c r="E9" s="1780"/>
      <c r="F9" s="1781"/>
      <c r="G9" s="1782"/>
      <c r="H9" s="2063"/>
      <c r="I9" s="1778"/>
      <c r="J9" s="1778"/>
      <c r="K9" s="1778"/>
      <c r="L9" s="1778"/>
      <c r="M9" s="1778"/>
      <c r="N9" s="1778"/>
      <c r="O9" s="1778"/>
      <c r="P9" s="1778"/>
      <c r="Q9" s="1778"/>
      <c r="R9" s="1778"/>
      <c r="S9" s="1778"/>
      <c r="T9" s="1778"/>
      <c r="U9" s="1778"/>
      <c r="V9" s="1778"/>
      <c r="W9" s="1778"/>
      <c r="X9" s="1778"/>
      <c r="Y9" s="1778"/>
      <c r="Z9" s="1778"/>
      <c r="AA9" s="1778"/>
      <c r="AB9" s="1778"/>
      <c r="AC9" s="1778"/>
      <c r="AD9" s="1778"/>
      <c r="AE9" s="1778"/>
      <c r="AF9" s="1778"/>
      <c r="AG9" s="1778"/>
      <c r="AH9" s="1778"/>
      <c r="AI9" s="1778"/>
      <c r="AJ9" s="1778"/>
    </row>
    <row r="10" spans="1:38" ht="19.5" customHeight="1" thickTop="1">
      <c r="A10" s="1945" t="s">
        <v>9</v>
      </c>
      <c r="B10" s="1947" t="s">
        <v>10</v>
      </c>
      <c r="C10" s="1948"/>
      <c r="D10" s="1948"/>
      <c r="E10" s="1948"/>
      <c r="F10" s="1949"/>
      <c r="G10" s="1953" t="s">
        <v>12</v>
      </c>
      <c r="H10" s="1953" t="s">
        <v>13</v>
      </c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8"/>
      <c r="V10" s="1748"/>
      <c r="W10" s="1748"/>
      <c r="X10" s="1748"/>
      <c r="Y10" s="1748"/>
      <c r="Z10" s="1748"/>
      <c r="AA10" s="1748"/>
      <c r="AB10" s="1748"/>
      <c r="AC10" s="1748"/>
      <c r="AD10" s="1748"/>
      <c r="AE10" s="1748"/>
      <c r="AF10" s="1748"/>
      <c r="AG10" s="1748"/>
      <c r="AH10" s="1748"/>
      <c r="AI10" s="1748"/>
      <c r="AJ10" s="1748"/>
    </row>
    <row r="11" spans="1:38" ht="18" customHeight="1" thickBot="1">
      <c r="A11" s="1946"/>
      <c r="B11" s="1950"/>
      <c r="C11" s="1951"/>
      <c r="D11" s="1951"/>
      <c r="E11" s="1951"/>
      <c r="F11" s="1952"/>
      <c r="G11" s="1954"/>
      <c r="H11" s="1954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8"/>
      <c r="V11" s="1748"/>
      <c r="W11" s="1748"/>
      <c r="X11" s="1748"/>
      <c r="Y11" s="1748"/>
      <c r="Z11" s="1748"/>
      <c r="AA11" s="1748"/>
      <c r="AB11" s="1748"/>
      <c r="AC11" s="1748"/>
      <c r="AD11" s="1748"/>
      <c r="AE11" s="1748"/>
      <c r="AF11" s="1748"/>
      <c r="AG11" s="1748"/>
      <c r="AH11" s="1748"/>
      <c r="AI11" s="1748"/>
      <c r="AJ11" s="1748"/>
    </row>
    <row r="12" spans="1:38" ht="24.75" thickTop="1">
      <c r="A12" s="1783" t="s">
        <v>14</v>
      </c>
      <c r="B12" s="2057" t="s">
        <v>15</v>
      </c>
      <c r="C12" s="2058"/>
      <c r="D12" s="2058"/>
      <c r="E12" s="2058"/>
      <c r="F12" s="2059"/>
      <c r="G12" s="1784"/>
      <c r="H12" s="1784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1748"/>
      <c r="T12" s="1748"/>
      <c r="U12" s="1748"/>
      <c r="V12" s="1748"/>
      <c r="W12" s="1748"/>
      <c r="X12" s="1748"/>
      <c r="Y12" s="1748"/>
      <c r="Z12" s="1748"/>
      <c r="AA12" s="1748"/>
      <c r="AB12" s="1748"/>
      <c r="AC12" s="1748"/>
      <c r="AD12" s="1748"/>
      <c r="AE12" s="1748"/>
      <c r="AF12" s="1748"/>
      <c r="AG12" s="1748"/>
      <c r="AH12" s="1748"/>
      <c r="AI12" s="1748"/>
      <c r="AJ12" s="1748"/>
    </row>
    <row r="13" spans="1:38">
      <c r="A13" s="1785"/>
      <c r="B13" s="1786" t="s">
        <v>16</v>
      </c>
      <c r="C13" s="1751" t="s">
        <v>17</v>
      </c>
      <c r="D13" s="1751"/>
      <c r="E13" s="1751"/>
      <c r="F13" s="1787"/>
      <c r="G13" s="1788"/>
      <c r="H13" s="1789"/>
      <c r="I13" s="1790"/>
      <c r="J13" s="1790"/>
      <c r="K13" s="1790"/>
      <c r="L13" s="1790"/>
      <c r="M13" s="1790"/>
      <c r="N13" s="1790"/>
      <c r="O13" s="1790"/>
      <c r="P13" s="1790"/>
      <c r="Q13" s="1790"/>
      <c r="R13" s="1790"/>
      <c r="S13" s="1790"/>
      <c r="T13" s="1790"/>
      <c r="U13" s="1790"/>
      <c r="V13" s="1790"/>
      <c r="W13" s="1790"/>
      <c r="X13" s="1790"/>
      <c r="Y13" s="1790"/>
      <c r="Z13" s="1790"/>
      <c r="AA13" s="1790"/>
      <c r="AB13" s="1790"/>
      <c r="AC13" s="1790"/>
      <c r="AD13" s="1790"/>
      <c r="AE13" s="1790"/>
      <c r="AF13" s="1790"/>
      <c r="AG13" s="1790"/>
      <c r="AH13" s="1790"/>
      <c r="AI13" s="1790"/>
      <c r="AJ13" s="1790"/>
    </row>
    <row r="14" spans="1:38">
      <c r="A14" s="1640"/>
      <c r="B14" s="1791" t="s">
        <v>72</v>
      </c>
      <c r="C14" s="1641" t="s">
        <v>492</v>
      </c>
      <c r="D14" s="1722"/>
      <c r="E14" s="1722"/>
      <c r="F14" s="1749"/>
      <c r="G14" s="1792"/>
      <c r="H14" s="1793"/>
      <c r="I14" s="1790"/>
      <c r="J14" s="1790"/>
      <c r="K14" s="1790"/>
      <c r="L14" s="1790"/>
      <c r="M14" s="1790"/>
      <c r="N14" s="1790"/>
      <c r="O14" s="1790"/>
      <c r="P14" s="1790"/>
      <c r="Q14" s="1790"/>
      <c r="R14" s="1790"/>
      <c r="S14" s="1790"/>
      <c r="T14" s="1790"/>
      <c r="U14" s="1790"/>
      <c r="V14" s="1790"/>
      <c r="W14" s="1790"/>
      <c r="X14" s="1790"/>
      <c r="Y14" s="1790"/>
      <c r="Z14" s="1790"/>
      <c r="AA14" s="1790"/>
      <c r="AB14" s="1790"/>
      <c r="AC14" s="1790"/>
      <c r="AD14" s="1790"/>
      <c r="AE14" s="1790"/>
      <c r="AF14" s="1790"/>
      <c r="AG14" s="1790"/>
      <c r="AH14" s="1790"/>
      <c r="AI14" s="1790"/>
      <c r="AJ14" s="1790"/>
      <c r="AK14" s="1794">
        <v>12157</v>
      </c>
      <c r="AL14" s="1795">
        <f>G14/AK14</f>
        <v>0</v>
      </c>
    </row>
    <row r="15" spans="1:38">
      <c r="A15" s="1640"/>
      <c r="B15" s="1791" t="s">
        <v>72</v>
      </c>
      <c r="C15" s="1641" t="s">
        <v>29</v>
      </c>
      <c r="D15" s="1722"/>
      <c r="E15" s="1722"/>
      <c r="F15" s="1749"/>
      <c r="G15" s="1792"/>
      <c r="H15" s="1793"/>
      <c r="I15" s="1790"/>
      <c r="J15" s="1790"/>
      <c r="K15" s="1790"/>
      <c r="L15" s="1790"/>
      <c r="M15" s="1790"/>
      <c r="N15" s="1790"/>
      <c r="O15" s="1790"/>
      <c r="P15" s="1790"/>
      <c r="Q15" s="1790"/>
      <c r="R15" s="1790"/>
      <c r="S15" s="1790"/>
      <c r="T15" s="1790"/>
      <c r="U15" s="1790"/>
      <c r="V15" s="1790"/>
      <c r="W15" s="1790"/>
      <c r="X15" s="1790"/>
      <c r="Y15" s="1790"/>
      <c r="Z15" s="1790"/>
      <c r="AA15" s="1790"/>
      <c r="AB15" s="1790"/>
      <c r="AC15" s="1790"/>
      <c r="AD15" s="1790"/>
      <c r="AE15" s="1790"/>
      <c r="AF15" s="1790"/>
      <c r="AG15" s="1790"/>
      <c r="AH15" s="1790"/>
      <c r="AI15" s="1790"/>
      <c r="AJ15" s="1790"/>
      <c r="AK15" s="1794">
        <v>12157</v>
      </c>
      <c r="AL15" s="1795">
        <f t="shared" ref="AL15:AL18" si="0">G15/AK15</f>
        <v>0</v>
      </c>
    </row>
    <row r="16" spans="1:38">
      <c r="A16" s="1640"/>
      <c r="B16" s="1791" t="s">
        <v>72</v>
      </c>
      <c r="C16" s="1641" t="s">
        <v>1091</v>
      </c>
      <c r="D16" s="1722"/>
      <c r="E16" s="1722"/>
      <c r="F16" s="1749"/>
      <c r="G16" s="1792"/>
      <c r="H16" s="1793"/>
      <c r="I16" s="1790"/>
      <c r="J16" s="1790"/>
      <c r="K16" s="1790"/>
      <c r="L16" s="1790"/>
      <c r="M16" s="1790"/>
      <c r="N16" s="1790"/>
      <c r="O16" s="1790"/>
      <c r="P16" s="1790"/>
      <c r="Q16" s="1790"/>
      <c r="R16" s="1790"/>
      <c r="S16" s="1790"/>
      <c r="T16" s="1790"/>
      <c r="U16" s="1790"/>
      <c r="V16" s="1790"/>
      <c r="W16" s="1790"/>
      <c r="X16" s="1790"/>
      <c r="Y16" s="1790"/>
      <c r="Z16" s="1790"/>
      <c r="AA16" s="1790"/>
      <c r="AB16" s="1790"/>
      <c r="AC16" s="1790"/>
      <c r="AD16" s="1790"/>
      <c r="AE16" s="1790"/>
      <c r="AF16" s="1790"/>
      <c r="AG16" s="1790"/>
      <c r="AH16" s="1790"/>
      <c r="AI16" s="1790"/>
      <c r="AJ16" s="1790"/>
      <c r="AK16" s="1794">
        <v>12157</v>
      </c>
      <c r="AL16" s="1795">
        <f t="shared" si="0"/>
        <v>0</v>
      </c>
    </row>
    <row r="17" spans="1:38">
      <c r="A17" s="1640"/>
      <c r="B17" s="1791" t="s">
        <v>72</v>
      </c>
      <c r="C17" s="1641" t="s">
        <v>2498</v>
      </c>
      <c r="D17" s="1722"/>
      <c r="E17" s="1722"/>
      <c r="F17" s="1749"/>
      <c r="G17" s="1792"/>
      <c r="H17" s="1793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1790"/>
      <c r="AG17" s="1790"/>
      <c r="AH17" s="1790"/>
      <c r="AI17" s="1790"/>
      <c r="AJ17" s="1790"/>
      <c r="AK17" s="1794">
        <v>12157</v>
      </c>
      <c r="AL17" s="1795">
        <f t="shared" si="0"/>
        <v>0</v>
      </c>
    </row>
    <row r="18" spans="1:38">
      <c r="A18" s="1640"/>
      <c r="B18" s="1791" t="s">
        <v>72</v>
      </c>
      <c r="C18" s="1641" t="s">
        <v>2499</v>
      </c>
      <c r="D18" s="1722"/>
      <c r="E18" s="1722"/>
      <c r="F18" s="1749"/>
      <c r="G18" s="1792"/>
      <c r="H18" s="1793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1790"/>
      <c r="AG18" s="1790"/>
      <c r="AH18" s="1790"/>
      <c r="AI18" s="1790"/>
      <c r="AJ18" s="1790"/>
      <c r="AK18" s="1794">
        <v>12157</v>
      </c>
      <c r="AL18" s="1795">
        <f t="shared" si="0"/>
        <v>0</v>
      </c>
    </row>
    <row r="19" spans="1:38">
      <c r="A19" s="1640"/>
      <c r="B19" s="1796" t="s">
        <v>72</v>
      </c>
      <c r="C19" s="1797" t="s">
        <v>496</v>
      </c>
      <c r="D19" s="1797"/>
      <c r="E19" s="1797"/>
      <c r="F19" s="1798"/>
      <c r="G19" s="1799"/>
      <c r="H19" s="1793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1790"/>
      <c r="AG19" s="1790"/>
      <c r="AH19" s="1790"/>
      <c r="AI19" s="1790"/>
      <c r="AJ19" s="1790"/>
    </row>
    <row r="20" spans="1:38">
      <c r="A20" s="1640"/>
      <c r="B20" s="1800" t="s">
        <v>18</v>
      </c>
      <c r="C20" s="1749" t="s">
        <v>19</v>
      </c>
      <c r="D20" s="1749"/>
      <c r="E20" s="1749"/>
      <c r="F20" s="1722"/>
      <c r="G20" s="1792"/>
      <c r="H20" s="1793"/>
      <c r="I20" s="1790"/>
      <c r="J20" s="1790"/>
      <c r="K20" s="1790"/>
      <c r="L20" s="1790"/>
      <c r="M20" s="1790"/>
      <c r="N20" s="1790"/>
      <c r="O20" s="1790"/>
      <c r="P20" s="1790"/>
      <c r="Q20" s="1790"/>
      <c r="R20" s="1790"/>
      <c r="S20" s="1790"/>
      <c r="T20" s="1790"/>
      <c r="U20" s="1790"/>
      <c r="V20" s="1790"/>
      <c r="W20" s="1790"/>
      <c r="X20" s="1790"/>
      <c r="Y20" s="1790"/>
      <c r="Z20" s="1790"/>
      <c r="AA20" s="1790"/>
      <c r="AB20" s="1790"/>
      <c r="AC20" s="1790"/>
      <c r="AD20" s="1790"/>
      <c r="AE20" s="1790"/>
      <c r="AF20" s="1790"/>
      <c r="AG20" s="1790"/>
      <c r="AH20" s="1790"/>
      <c r="AI20" s="1790"/>
      <c r="AJ20" s="1790"/>
    </row>
    <row r="21" spans="1:38">
      <c r="A21" s="1640"/>
      <c r="B21" s="1791" t="s">
        <v>72</v>
      </c>
      <c r="C21" s="1641" t="s">
        <v>497</v>
      </c>
      <c r="D21" s="1641"/>
      <c r="E21" s="1641"/>
      <c r="F21" s="1801"/>
      <c r="G21" s="1792"/>
      <c r="H21" s="1793"/>
      <c r="I21" s="1790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1790"/>
      <c r="AG21" s="1790"/>
      <c r="AH21" s="1790"/>
      <c r="AI21" s="1790"/>
      <c r="AJ21" s="1790"/>
      <c r="AK21" s="1794">
        <v>12157</v>
      </c>
      <c r="AL21" s="1795">
        <f t="shared" ref="AL21:AL22" si="1">G21/AK21</f>
        <v>0</v>
      </c>
    </row>
    <row r="22" spans="1:38">
      <c r="A22" s="1640"/>
      <c r="B22" s="1796" t="s">
        <v>72</v>
      </c>
      <c r="C22" s="1797" t="s">
        <v>498</v>
      </c>
      <c r="D22" s="1797"/>
      <c r="E22" s="1797"/>
      <c r="F22" s="1802"/>
      <c r="G22" s="1799"/>
      <c r="H22" s="1793"/>
      <c r="I22" s="1790"/>
      <c r="J22" s="1790"/>
      <c r="K22" s="1790"/>
      <c r="L22" s="1790"/>
      <c r="M22" s="1790"/>
      <c r="N22" s="1790"/>
      <c r="O22" s="1790"/>
      <c r="P22" s="1790"/>
      <c r="Q22" s="1790"/>
      <c r="R22" s="1790"/>
      <c r="S22" s="1790"/>
      <c r="T22" s="1790"/>
      <c r="U22" s="1790"/>
      <c r="V22" s="1790"/>
      <c r="W22" s="1790"/>
      <c r="X22" s="1790"/>
      <c r="Y22" s="1790"/>
      <c r="Z22" s="1790"/>
      <c r="AA22" s="1790"/>
      <c r="AB22" s="1790"/>
      <c r="AC22" s="1790"/>
      <c r="AD22" s="1790"/>
      <c r="AE22" s="1790"/>
      <c r="AF22" s="1790"/>
      <c r="AG22" s="1790"/>
      <c r="AH22" s="1790"/>
      <c r="AI22" s="1790"/>
      <c r="AJ22" s="1790"/>
      <c r="AK22" s="1794">
        <v>12157</v>
      </c>
      <c r="AL22" s="1795">
        <f t="shared" si="1"/>
        <v>0</v>
      </c>
    </row>
    <row r="23" spans="1:38">
      <c r="A23" s="1785"/>
      <c r="B23" s="1803" t="s">
        <v>472</v>
      </c>
      <c r="C23" s="1749" t="s">
        <v>467</v>
      </c>
      <c r="D23" s="1749"/>
      <c r="E23" s="1749"/>
      <c r="F23" s="1804"/>
      <c r="G23" s="1805"/>
      <c r="H23" s="1789"/>
      <c r="I23" s="1790"/>
      <c r="J23" s="1790"/>
      <c r="K23" s="1790"/>
      <c r="L23" s="1790"/>
      <c r="M23" s="1790"/>
      <c r="N23" s="1790"/>
      <c r="O23" s="1790"/>
      <c r="P23" s="1790"/>
      <c r="Q23" s="1790"/>
      <c r="R23" s="1790"/>
      <c r="S23" s="1790"/>
      <c r="T23" s="1790"/>
      <c r="U23" s="1790"/>
      <c r="V23" s="1790"/>
      <c r="W23" s="1790"/>
      <c r="X23" s="1790"/>
      <c r="Y23" s="1790"/>
      <c r="Z23" s="1790"/>
      <c r="AA23" s="1790"/>
      <c r="AB23" s="1790"/>
      <c r="AC23" s="1790"/>
      <c r="AD23" s="1790"/>
      <c r="AE23" s="1790"/>
      <c r="AF23" s="1790"/>
      <c r="AG23" s="1790"/>
      <c r="AH23" s="1790"/>
      <c r="AI23" s="1790"/>
      <c r="AJ23" s="1790"/>
    </row>
    <row r="24" spans="1:38">
      <c r="A24" s="1785"/>
      <c r="B24" s="1791" t="s">
        <v>72</v>
      </c>
      <c r="C24" s="1641" t="s">
        <v>499</v>
      </c>
      <c r="D24" s="1641"/>
      <c r="E24" s="1641"/>
      <c r="F24" s="1801"/>
      <c r="G24" s="1792"/>
      <c r="H24" s="1789"/>
      <c r="I24" s="1790"/>
      <c r="J24" s="1790"/>
      <c r="K24" s="1790"/>
      <c r="L24" s="1790"/>
      <c r="M24" s="1790"/>
      <c r="N24" s="1790"/>
      <c r="O24" s="1790"/>
      <c r="P24" s="1790"/>
      <c r="Q24" s="1790"/>
      <c r="R24" s="1790"/>
      <c r="S24" s="1790"/>
      <c r="T24" s="1790"/>
      <c r="U24" s="1790"/>
      <c r="V24" s="1790"/>
      <c r="W24" s="1790"/>
      <c r="X24" s="1790"/>
      <c r="Y24" s="1790"/>
      <c r="Z24" s="1790"/>
      <c r="AA24" s="1790"/>
      <c r="AB24" s="1790"/>
      <c r="AC24" s="1790"/>
      <c r="AD24" s="1790"/>
      <c r="AE24" s="1790"/>
      <c r="AF24" s="1790"/>
      <c r="AG24" s="1790"/>
      <c r="AH24" s="1790"/>
      <c r="AI24" s="1790"/>
      <c r="AJ24" s="1790"/>
    </row>
    <row r="25" spans="1:38">
      <c r="A25" s="1806"/>
      <c r="B25" s="1807" t="s">
        <v>72</v>
      </c>
      <c r="C25" s="1808" t="s">
        <v>500</v>
      </c>
      <c r="D25" s="1808"/>
      <c r="E25" s="1808"/>
      <c r="F25" s="1809"/>
      <c r="G25" s="1810"/>
      <c r="H25" s="1789"/>
      <c r="I25" s="1790"/>
      <c r="J25" s="1790"/>
      <c r="K25" s="1790"/>
      <c r="L25" s="1790"/>
      <c r="M25" s="1790"/>
      <c r="N25" s="1790"/>
      <c r="O25" s="1790"/>
      <c r="P25" s="1790"/>
      <c r="Q25" s="1790"/>
      <c r="R25" s="1790"/>
      <c r="S25" s="1790"/>
      <c r="T25" s="1790"/>
      <c r="U25" s="1790"/>
      <c r="V25" s="1790"/>
      <c r="W25" s="1790"/>
      <c r="X25" s="1790"/>
      <c r="Y25" s="1790"/>
      <c r="Z25" s="1790"/>
      <c r="AA25" s="1790"/>
      <c r="AB25" s="1790"/>
      <c r="AC25" s="1790"/>
      <c r="AD25" s="1790"/>
      <c r="AE25" s="1790"/>
      <c r="AF25" s="1790"/>
      <c r="AG25" s="1790"/>
      <c r="AH25" s="1790"/>
      <c r="AI25" s="1790"/>
      <c r="AJ25" s="1790"/>
    </row>
    <row r="26" spans="1:38">
      <c r="A26" s="1783" t="s">
        <v>473</v>
      </c>
      <c r="B26" s="2057" t="s">
        <v>55</v>
      </c>
      <c r="C26" s="2058"/>
      <c r="D26" s="2058"/>
      <c r="E26" s="2058"/>
      <c r="F26" s="2059"/>
      <c r="G26" s="1792"/>
      <c r="H26" s="1811"/>
      <c r="I26" s="1812"/>
      <c r="J26" s="1812"/>
      <c r="K26" s="1812"/>
      <c r="L26" s="1812"/>
      <c r="M26" s="1812"/>
      <c r="N26" s="1812"/>
      <c r="O26" s="1812"/>
      <c r="P26" s="1812"/>
      <c r="Q26" s="1812"/>
      <c r="R26" s="1812"/>
      <c r="S26" s="1812"/>
      <c r="T26" s="1812"/>
      <c r="U26" s="1812"/>
      <c r="V26" s="1812"/>
      <c r="W26" s="1812"/>
      <c r="X26" s="1812"/>
      <c r="Y26" s="1812"/>
      <c r="Z26" s="1812"/>
      <c r="AA26" s="1812"/>
      <c r="AB26" s="1812"/>
      <c r="AC26" s="1812"/>
      <c r="AD26" s="1812"/>
      <c r="AE26" s="1812"/>
      <c r="AF26" s="1812"/>
      <c r="AG26" s="1812"/>
      <c r="AH26" s="1812"/>
      <c r="AI26" s="1812"/>
      <c r="AJ26" s="1812"/>
    </row>
    <row r="27" spans="1:38">
      <c r="A27" s="1785"/>
      <c r="B27" s="1791" t="s">
        <v>72</v>
      </c>
      <c r="C27" s="1641" t="s">
        <v>501</v>
      </c>
      <c r="D27" s="1813"/>
      <c r="E27" s="1813"/>
      <c r="F27" s="1814"/>
      <c r="G27" s="1805"/>
      <c r="H27" s="1811"/>
      <c r="I27" s="1812"/>
      <c r="J27" s="1812"/>
      <c r="K27" s="1812"/>
      <c r="L27" s="1812"/>
      <c r="M27" s="1812"/>
      <c r="N27" s="1812"/>
      <c r="O27" s="1812"/>
      <c r="P27" s="1812"/>
      <c r="Q27" s="1812"/>
      <c r="R27" s="1812"/>
      <c r="S27" s="1812"/>
      <c r="T27" s="1812"/>
      <c r="U27" s="1812"/>
      <c r="V27" s="1812"/>
      <c r="W27" s="1812"/>
      <c r="X27" s="1812"/>
      <c r="Y27" s="1812"/>
      <c r="Z27" s="1812"/>
      <c r="AA27" s="1812"/>
      <c r="AB27" s="1812"/>
      <c r="AC27" s="1812"/>
      <c r="AD27" s="1812"/>
      <c r="AE27" s="1812"/>
      <c r="AF27" s="1812"/>
      <c r="AG27" s="1812"/>
      <c r="AH27" s="1812"/>
      <c r="AI27" s="1812"/>
      <c r="AJ27" s="1812"/>
      <c r="AK27" s="1794">
        <v>12157</v>
      </c>
      <c r="AL27" s="1795">
        <f t="shared" ref="AL27:AL29" si="2">G27/AK27</f>
        <v>0</v>
      </c>
    </row>
    <row r="28" spans="1:38">
      <c r="A28" s="1785"/>
      <c r="B28" s="1791" t="s">
        <v>72</v>
      </c>
      <c r="C28" s="1641" t="s">
        <v>502</v>
      </c>
      <c r="D28" s="1813"/>
      <c r="E28" s="1813"/>
      <c r="F28" s="1814"/>
      <c r="G28" s="1805"/>
      <c r="H28" s="1811"/>
      <c r="I28" s="1812"/>
      <c r="J28" s="1812"/>
      <c r="K28" s="1812"/>
      <c r="L28" s="1812"/>
      <c r="M28" s="1812"/>
      <c r="N28" s="1812"/>
      <c r="O28" s="1812"/>
      <c r="P28" s="1812"/>
      <c r="Q28" s="1812"/>
      <c r="R28" s="1812"/>
      <c r="S28" s="1812"/>
      <c r="T28" s="1812"/>
      <c r="U28" s="1812"/>
      <c r="V28" s="1812"/>
      <c r="W28" s="1812"/>
      <c r="X28" s="1812"/>
      <c r="Y28" s="1812"/>
      <c r="Z28" s="1812"/>
      <c r="AA28" s="1812"/>
      <c r="AB28" s="1812"/>
      <c r="AC28" s="1812"/>
      <c r="AD28" s="1812"/>
      <c r="AE28" s="1812"/>
      <c r="AF28" s="1812"/>
      <c r="AG28" s="1812"/>
      <c r="AH28" s="1812"/>
      <c r="AI28" s="1812"/>
      <c r="AJ28" s="1812"/>
      <c r="AK28" s="1794">
        <v>12157</v>
      </c>
      <c r="AL28" s="1795">
        <f t="shared" si="2"/>
        <v>0</v>
      </c>
    </row>
    <row r="29" spans="1:38">
      <c r="A29" s="1785"/>
      <c r="B29" s="1876" t="s">
        <v>72</v>
      </c>
      <c r="C29" s="1641" t="s">
        <v>503</v>
      </c>
      <c r="D29" s="1641"/>
      <c r="E29" s="1641"/>
      <c r="F29" s="1801"/>
      <c r="G29" s="1916"/>
      <c r="H29" s="1811"/>
      <c r="I29" s="1812"/>
      <c r="J29" s="1812"/>
      <c r="K29" s="1812"/>
      <c r="L29" s="1812"/>
      <c r="M29" s="1812"/>
      <c r="N29" s="1812"/>
      <c r="O29" s="1812"/>
      <c r="P29" s="1812"/>
      <c r="Q29" s="1812"/>
      <c r="R29" s="1812"/>
      <c r="S29" s="1812"/>
      <c r="T29" s="1812"/>
      <c r="U29" s="1812"/>
      <c r="V29" s="1812"/>
      <c r="W29" s="1812"/>
      <c r="X29" s="1812"/>
      <c r="Y29" s="1812"/>
      <c r="Z29" s="1812"/>
      <c r="AA29" s="1812"/>
      <c r="AB29" s="1812"/>
      <c r="AC29" s="1812"/>
      <c r="AD29" s="1812"/>
      <c r="AE29" s="1812"/>
      <c r="AF29" s="1812"/>
      <c r="AG29" s="1812"/>
      <c r="AH29" s="1812"/>
      <c r="AI29" s="1812"/>
      <c r="AJ29" s="1812"/>
      <c r="AK29" s="1794">
        <v>12157</v>
      </c>
      <c r="AL29" s="1795">
        <f t="shared" si="2"/>
        <v>0</v>
      </c>
    </row>
    <row r="30" spans="1:38">
      <c r="A30" s="1785"/>
      <c r="B30" s="1876" t="s">
        <v>72</v>
      </c>
      <c r="C30" s="1641" t="s">
        <v>2515</v>
      </c>
      <c r="D30" s="1641"/>
      <c r="E30" s="1641"/>
      <c r="F30" s="1801"/>
      <c r="G30" s="1916"/>
      <c r="H30" s="1811"/>
      <c r="I30" s="1812"/>
      <c r="J30" s="1812"/>
      <c r="K30" s="1812"/>
      <c r="L30" s="1812"/>
      <c r="M30" s="1812"/>
      <c r="N30" s="1812"/>
      <c r="O30" s="1812"/>
      <c r="P30" s="1812"/>
      <c r="Q30" s="1812"/>
      <c r="R30" s="1812"/>
      <c r="S30" s="1812"/>
      <c r="T30" s="1812"/>
      <c r="U30" s="1812"/>
      <c r="V30" s="1812"/>
      <c r="W30" s="1812"/>
      <c r="X30" s="1812"/>
      <c r="Y30" s="1812"/>
      <c r="Z30" s="1812"/>
      <c r="AA30" s="1812"/>
      <c r="AB30" s="1812"/>
      <c r="AC30" s="1812"/>
      <c r="AD30" s="1812"/>
      <c r="AE30" s="1812"/>
      <c r="AF30" s="1812"/>
      <c r="AG30" s="1812"/>
      <c r="AH30" s="1812"/>
      <c r="AI30" s="1812"/>
      <c r="AJ30" s="1812"/>
      <c r="AK30" s="1794">
        <v>12157</v>
      </c>
      <c r="AL30" s="1795">
        <f t="shared" ref="AL30:AL31" si="3">G30/AK30</f>
        <v>0</v>
      </c>
    </row>
    <row r="31" spans="1:38">
      <c r="A31" s="1806"/>
      <c r="B31" s="1815" t="s">
        <v>72</v>
      </c>
      <c r="C31" s="1808" t="s">
        <v>2516</v>
      </c>
      <c r="D31" s="1808"/>
      <c r="E31" s="1808"/>
      <c r="F31" s="1809"/>
      <c r="G31" s="1816"/>
      <c r="H31" s="1811"/>
      <c r="I31" s="1812"/>
      <c r="J31" s="1812"/>
      <c r="K31" s="1812"/>
      <c r="L31" s="1812"/>
      <c r="M31" s="1812"/>
      <c r="N31" s="1812"/>
      <c r="O31" s="1812"/>
      <c r="P31" s="1812"/>
      <c r="Q31" s="1812"/>
      <c r="R31" s="1812"/>
      <c r="S31" s="1812"/>
      <c r="T31" s="1812"/>
      <c r="U31" s="1812"/>
      <c r="V31" s="1812"/>
      <c r="W31" s="1812"/>
      <c r="X31" s="1812"/>
      <c r="Y31" s="1812"/>
      <c r="Z31" s="1812"/>
      <c r="AA31" s="1812"/>
      <c r="AB31" s="1812"/>
      <c r="AC31" s="1812"/>
      <c r="AD31" s="1812"/>
      <c r="AE31" s="1812"/>
      <c r="AF31" s="1812"/>
      <c r="AG31" s="1812"/>
      <c r="AH31" s="1812"/>
      <c r="AI31" s="1812"/>
      <c r="AJ31" s="1812"/>
      <c r="AK31" s="1794">
        <v>12157</v>
      </c>
      <c r="AL31" s="1795">
        <f t="shared" si="3"/>
        <v>0</v>
      </c>
    </row>
    <row r="32" spans="1:38">
      <c r="A32" s="1817" t="s">
        <v>474</v>
      </c>
      <c r="B32" s="2057" t="s">
        <v>58</v>
      </c>
      <c r="C32" s="2058"/>
      <c r="D32" s="2058"/>
      <c r="E32" s="2058"/>
      <c r="F32" s="2059"/>
      <c r="G32" s="1792"/>
      <c r="H32" s="1818"/>
      <c r="I32" s="1819"/>
      <c r="J32" s="1819"/>
      <c r="K32" s="1819"/>
      <c r="L32" s="1819"/>
      <c r="M32" s="1819"/>
      <c r="N32" s="1819"/>
      <c r="O32" s="1819"/>
      <c r="P32" s="1819"/>
      <c r="Q32" s="1819"/>
      <c r="R32" s="1819"/>
      <c r="S32" s="1819"/>
      <c r="T32" s="1819"/>
      <c r="U32" s="1819"/>
      <c r="V32" s="1819"/>
      <c r="W32" s="1819"/>
      <c r="X32" s="1819"/>
      <c r="Y32" s="1819"/>
      <c r="Z32" s="1819"/>
      <c r="AA32" s="1819"/>
      <c r="AB32" s="1819"/>
      <c r="AC32" s="1819"/>
      <c r="AD32" s="1819"/>
      <c r="AE32" s="1819"/>
      <c r="AF32" s="1819"/>
      <c r="AG32" s="1819"/>
      <c r="AH32" s="1819"/>
      <c r="AI32" s="1819"/>
      <c r="AJ32" s="1819"/>
    </row>
    <row r="33" spans="1:38" ht="24.75" thickBot="1">
      <c r="A33" s="1783"/>
      <c r="B33" s="1820"/>
      <c r="C33" s="1820"/>
      <c r="D33" s="1820"/>
      <c r="E33" s="1820"/>
      <c r="F33" s="1821"/>
      <c r="G33" s="1822"/>
      <c r="H33" s="1823"/>
      <c r="I33" s="1819"/>
      <c r="J33" s="1819"/>
      <c r="K33" s="1819"/>
      <c r="L33" s="1819"/>
      <c r="M33" s="1819"/>
      <c r="N33" s="1819"/>
      <c r="O33" s="1819"/>
      <c r="P33" s="1819"/>
      <c r="Q33" s="1819"/>
      <c r="R33" s="1819"/>
      <c r="S33" s="1819"/>
      <c r="T33" s="1819"/>
      <c r="U33" s="1819"/>
      <c r="V33" s="1819"/>
      <c r="W33" s="1819"/>
      <c r="X33" s="1819"/>
      <c r="Y33" s="1819"/>
      <c r="Z33" s="1819"/>
      <c r="AA33" s="1819"/>
      <c r="AB33" s="1819"/>
      <c r="AC33" s="1819"/>
      <c r="AD33" s="1819"/>
      <c r="AE33" s="1819"/>
      <c r="AF33" s="1819"/>
      <c r="AG33" s="1819"/>
      <c r="AH33" s="1819"/>
      <c r="AI33" s="1819"/>
      <c r="AJ33" s="1819"/>
    </row>
    <row r="34" spans="1:38" ht="24.75" thickTop="1">
      <c r="A34" s="1824"/>
      <c r="B34" s="1825"/>
      <c r="C34" s="2060" t="s">
        <v>59</v>
      </c>
      <c r="D34" s="2060"/>
      <c r="E34" s="2060"/>
      <c r="F34" s="2061"/>
      <c r="G34" s="1826"/>
      <c r="H34" s="1827"/>
      <c r="I34" s="1790"/>
      <c r="J34" s="1790"/>
      <c r="K34" s="1790"/>
      <c r="L34" s="1790"/>
      <c r="M34" s="1790"/>
      <c r="N34" s="1790"/>
      <c r="O34" s="1790"/>
      <c r="P34" s="1790"/>
      <c r="Q34" s="1790"/>
      <c r="R34" s="1790"/>
      <c r="S34" s="1790"/>
      <c r="T34" s="1790"/>
      <c r="U34" s="1790"/>
      <c r="V34" s="1790"/>
      <c r="W34" s="1790"/>
      <c r="X34" s="1790"/>
      <c r="Y34" s="1790"/>
      <c r="Z34" s="1790"/>
      <c r="AA34" s="1790"/>
      <c r="AB34" s="1790"/>
      <c r="AC34" s="1790"/>
      <c r="AD34" s="1790"/>
      <c r="AE34" s="1790"/>
      <c r="AF34" s="1790"/>
      <c r="AG34" s="1790"/>
      <c r="AH34" s="1790"/>
      <c r="AI34" s="1790"/>
      <c r="AJ34" s="1790"/>
      <c r="AK34" s="1794">
        <v>12157</v>
      </c>
      <c r="AL34" s="1795">
        <f t="shared" ref="AL34" si="4">G34/AK34</f>
        <v>0</v>
      </c>
    </row>
    <row r="36" spans="1:38">
      <c r="G36" s="1828" t="e">
        <f>#REF!/12157</f>
        <v>#REF!</v>
      </c>
    </row>
  </sheetData>
  <mergeCells count="10">
    <mergeCell ref="B12:F12"/>
    <mergeCell ref="B26:F26"/>
    <mergeCell ref="B32:F32"/>
    <mergeCell ref="C34:F34"/>
    <mergeCell ref="A2:H2"/>
    <mergeCell ref="H8:H9"/>
    <mergeCell ref="A10:A11"/>
    <mergeCell ref="B10:F11"/>
    <mergeCell ref="G10:G11"/>
    <mergeCell ref="H10:H11"/>
  </mergeCells>
  <pageMargins left="0.62992125984251968" right="0.70866141732283472" top="0.31496062992125984" bottom="0.23622047244094491" header="0.31496062992125984" footer="0.1574803149606299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8"/>
  <sheetViews>
    <sheetView showGridLines="0" view="pageBreakPreview" topLeftCell="A4" zoomScaleNormal="100" zoomScaleSheetLayoutView="100" workbookViewId="0">
      <selection activeCell="H18" sqref="H18"/>
    </sheetView>
  </sheetViews>
  <sheetFormatPr defaultRowHeight="18" customHeight="1"/>
  <cols>
    <col min="1" max="1" width="12.28515625" style="1570" customWidth="1"/>
    <col min="2" max="2" width="10.28515625" style="1779" customWidth="1"/>
    <col min="3" max="3" width="22" style="1570" customWidth="1"/>
    <col min="4" max="4" width="7.7109375" style="1570" customWidth="1"/>
    <col min="5" max="5" width="30.28515625" style="1570" customWidth="1"/>
    <col min="6" max="6" width="27.42578125" style="1570" customWidth="1"/>
    <col min="7" max="7" width="15" style="1570" customWidth="1"/>
    <col min="8" max="8" width="23.85546875" style="1570" customWidth="1"/>
    <col min="9" max="35" width="18.42578125" style="1570" customWidth="1"/>
    <col min="36" max="36" width="10" style="1570" hidden="1" customWidth="1"/>
    <col min="37" max="37" width="11.7109375" style="1570" hidden="1" customWidth="1"/>
    <col min="38" max="16384" width="9.140625" style="1570"/>
  </cols>
  <sheetData>
    <row r="1" spans="1:37" ht="18" customHeight="1">
      <c r="A1" s="1781"/>
      <c r="B1" s="1747"/>
      <c r="C1" s="1781"/>
      <c r="D1" s="1781"/>
      <c r="E1" s="1781"/>
      <c r="F1" s="1781"/>
      <c r="G1" s="1781"/>
      <c r="H1" s="1829" t="s">
        <v>482</v>
      </c>
      <c r="I1" s="1762" t="s">
        <v>489</v>
      </c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  <c r="V1" s="1762"/>
      <c r="W1" s="1762"/>
      <c r="X1" s="1762"/>
      <c r="Y1" s="1762"/>
      <c r="Z1" s="1762"/>
      <c r="AA1" s="1762"/>
      <c r="AB1" s="1762"/>
      <c r="AC1" s="1762"/>
      <c r="AD1" s="1762"/>
      <c r="AE1" s="1762"/>
      <c r="AF1" s="1762"/>
      <c r="AG1" s="1762"/>
      <c r="AH1" s="1762"/>
      <c r="AI1" s="1762"/>
    </row>
    <row r="2" spans="1:37" ht="18" customHeight="1">
      <c r="A2" s="1943" t="s">
        <v>1</v>
      </c>
      <c r="B2" s="1943"/>
      <c r="C2" s="1943"/>
      <c r="D2" s="1943"/>
      <c r="E2" s="1943"/>
      <c r="F2" s="1943"/>
      <c r="G2" s="1943"/>
      <c r="H2" s="1943"/>
      <c r="I2" s="1943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747"/>
      <c r="V2" s="1747"/>
      <c r="W2" s="1747"/>
      <c r="X2" s="1747"/>
      <c r="Y2" s="1747"/>
      <c r="Z2" s="1747"/>
      <c r="AA2" s="1747"/>
      <c r="AB2" s="1747"/>
      <c r="AC2" s="1747"/>
      <c r="AD2" s="1747"/>
      <c r="AE2" s="1747"/>
      <c r="AF2" s="1747"/>
      <c r="AG2" s="1747"/>
      <c r="AH2" s="1747"/>
      <c r="AI2" s="1747"/>
      <c r="AJ2" s="1781"/>
    </row>
    <row r="3" spans="1:37" ht="18" customHeight="1">
      <c r="A3" s="1722" t="s">
        <v>2</v>
      </c>
      <c r="B3" s="1830" t="s">
        <v>469</v>
      </c>
      <c r="C3" s="1749"/>
      <c r="D3" s="1749"/>
      <c r="E3" s="1749"/>
      <c r="F3" s="1749"/>
      <c r="G3" s="1749"/>
      <c r="H3" s="1831"/>
      <c r="I3" s="1831"/>
      <c r="J3" s="1790"/>
      <c r="K3" s="1790"/>
      <c r="L3" s="1790"/>
      <c r="M3" s="1790"/>
      <c r="N3" s="1790"/>
      <c r="O3" s="1790"/>
      <c r="P3" s="1790"/>
      <c r="Q3" s="1790"/>
      <c r="R3" s="1790"/>
      <c r="S3" s="1790"/>
      <c r="T3" s="1790"/>
      <c r="U3" s="1790"/>
      <c r="V3" s="1790"/>
      <c r="W3" s="1790"/>
      <c r="X3" s="1790"/>
      <c r="Y3" s="1790"/>
      <c r="Z3" s="1790"/>
      <c r="AA3" s="1790"/>
      <c r="AB3" s="1790"/>
      <c r="AC3" s="1790"/>
      <c r="AD3" s="1790"/>
      <c r="AE3" s="1790"/>
      <c r="AF3" s="1790"/>
      <c r="AG3" s="1790"/>
      <c r="AH3" s="1790"/>
      <c r="AI3" s="1790"/>
    </row>
    <row r="4" spans="1:37" ht="18" customHeight="1">
      <c r="A4" s="1641" t="s">
        <v>467</v>
      </c>
      <c r="B4" s="1832" t="s">
        <v>468</v>
      </c>
      <c r="C4" s="1749"/>
      <c r="D4" s="1751"/>
      <c r="E4" s="1751"/>
      <c r="F4" s="1751"/>
      <c r="G4" s="1751"/>
      <c r="H4" s="1755"/>
      <c r="I4" s="1755"/>
      <c r="J4" s="1790"/>
      <c r="K4" s="1790"/>
      <c r="L4" s="1790"/>
      <c r="M4" s="1790"/>
      <c r="N4" s="1790"/>
      <c r="O4" s="1790"/>
      <c r="P4" s="1790"/>
      <c r="Q4" s="1790"/>
      <c r="R4" s="1790"/>
      <c r="S4" s="1790"/>
      <c r="T4" s="1790"/>
      <c r="U4" s="1790"/>
      <c r="V4" s="1790"/>
      <c r="W4" s="1790"/>
      <c r="X4" s="1790"/>
      <c r="Y4" s="1790"/>
      <c r="Z4" s="1790"/>
      <c r="AA4" s="1790"/>
      <c r="AB4" s="1790"/>
      <c r="AC4" s="1790"/>
      <c r="AD4" s="1790"/>
      <c r="AE4" s="1790"/>
      <c r="AF4" s="1790"/>
      <c r="AG4" s="1790"/>
      <c r="AH4" s="1790"/>
      <c r="AI4" s="1790"/>
    </row>
    <row r="5" spans="1:37" ht="18" customHeight="1">
      <c r="A5" s="1641" t="s">
        <v>4</v>
      </c>
      <c r="B5" s="1752"/>
      <c r="C5" s="1749" t="s">
        <v>484</v>
      </c>
      <c r="D5" s="1641"/>
      <c r="E5" s="1641"/>
      <c r="F5" s="1641"/>
      <c r="G5" s="1641"/>
      <c r="H5" s="1767"/>
      <c r="I5" s="1768" t="s">
        <v>490</v>
      </c>
      <c r="J5" s="1769"/>
      <c r="K5" s="1769"/>
      <c r="L5" s="1769"/>
      <c r="M5" s="1769"/>
      <c r="N5" s="1769"/>
      <c r="O5" s="1769"/>
      <c r="P5" s="1769"/>
      <c r="Q5" s="1769"/>
      <c r="R5" s="1769"/>
      <c r="S5" s="1769"/>
      <c r="T5" s="1769"/>
      <c r="U5" s="1769"/>
      <c r="V5" s="1769"/>
      <c r="W5" s="1769"/>
      <c r="X5" s="1769"/>
      <c r="Y5" s="1769"/>
      <c r="Z5" s="1769"/>
      <c r="AA5" s="1769"/>
      <c r="AB5" s="1769"/>
      <c r="AC5" s="1769"/>
      <c r="AD5" s="1769"/>
      <c r="AE5" s="1769"/>
      <c r="AF5" s="1769"/>
      <c r="AG5" s="1769"/>
      <c r="AH5" s="1769"/>
      <c r="AI5" s="1769"/>
    </row>
    <row r="6" spans="1:37" ht="18" customHeight="1">
      <c r="A6" s="1641" t="s">
        <v>5</v>
      </c>
      <c r="B6" s="1752"/>
      <c r="C6" s="1641" t="s">
        <v>478</v>
      </c>
      <c r="D6" s="1641"/>
      <c r="E6" s="1641"/>
      <c r="F6" s="1641"/>
      <c r="G6" s="1641"/>
      <c r="H6" s="2068"/>
      <c r="I6" s="2068"/>
      <c r="J6" s="1833"/>
      <c r="K6" s="1833"/>
      <c r="L6" s="1833"/>
      <c r="M6" s="1833"/>
      <c r="N6" s="1833"/>
      <c r="O6" s="1833"/>
      <c r="P6" s="1833"/>
      <c r="Q6" s="1833"/>
      <c r="R6" s="1833"/>
      <c r="S6" s="1833"/>
      <c r="T6" s="1833"/>
      <c r="U6" s="1833"/>
      <c r="V6" s="1833"/>
      <c r="W6" s="1833"/>
      <c r="X6" s="1833"/>
      <c r="Y6" s="1833"/>
      <c r="Z6" s="1833"/>
      <c r="AA6" s="1833"/>
      <c r="AB6" s="1833"/>
      <c r="AC6" s="1833"/>
      <c r="AD6" s="1833"/>
      <c r="AE6" s="1833"/>
      <c r="AF6" s="1833"/>
      <c r="AG6" s="1833"/>
      <c r="AH6" s="1833"/>
      <c r="AI6" s="1833"/>
    </row>
    <row r="7" spans="1:37" ht="18" customHeight="1">
      <c r="A7" s="1641" t="s">
        <v>6</v>
      </c>
      <c r="B7" s="1752"/>
      <c r="C7" s="1696"/>
      <c r="D7" s="1696" t="s">
        <v>476</v>
      </c>
      <c r="E7" s="1834"/>
      <c r="F7" s="1834"/>
      <c r="G7" s="1834"/>
      <c r="H7" s="1755"/>
      <c r="I7" s="1755"/>
      <c r="J7" s="1790"/>
      <c r="K7" s="1790"/>
      <c r="L7" s="1790"/>
      <c r="M7" s="1790"/>
      <c r="N7" s="1790"/>
      <c r="O7" s="1790"/>
      <c r="P7" s="1790"/>
      <c r="Q7" s="1790"/>
      <c r="R7" s="1790"/>
      <c r="S7" s="1790"/>
      <c r="T7" s="1790"/>
      <c r="U7" s="1790"/>
      <c r="V7" s="1790"/>
      <c r="W7" s="1790"/>
      <c r="X7" s="1790"/>
      <c r="Y7" s="1790"/>
      <c r="Z7" s="1790"/>
      <c r="AA7" s="1790"/>
      <c r="AB7" s="1790"/>
      <c r="AC7" s="1790"/>
      <c r="AD7" s="1790"/>
      <c r="AE7" s="1790"/>
      <c r="AF7" s="1790"/>
      <c r="AG7" s="1790"/>
      <c r="AH7" s="1790"/>
      <c r="AI7" s="1790"/>
    </row>
    <row r="8" spans="1:37" ht="18" customHeight="1">
      <c r="A8" s="1641" t="s">
        <v>470</v>
      </c>
      <c r="B8" s="1752"/>
      <c r="C8" s="1641"/>
      <c r="D8" s="1754" t="s">
        <v>479</v>
      </c>
      <c r="E8" s="1754"/>
      <c r="F8" s="1754"/>
      <c r="G8" s="1754"/>
      <c r="H8" s="1755"/>
      <c r="I8" s="1755"/>
      <c r="J8" s="1790"/>
      <c r="K8" s="1790"/>
      <c r="L8" s="1790"/>
      <c r="M8" s="1790"/>
      <c r="N8" s="1790"/>
      <c r="O8" s="1790"/>
      <c r="P8" s="1790"/>
      <c r="Q8" s="1790"/>
      <c r="R8" s="1790"/>
      <c r="S8" s="1790"/>
      <c r="T8" s="1790"/>
      <c r="U8" s="1790"/>
      <c r="V8" s="1790"/>
      <c r="W8" s="1790"/>
      <c r="X8" s="1790"/>
      <c r="Y8" s="1790"/>
      <c r="Z8" s="1790"/>
      <c r="AA8" s="1790"/>
      <c r="AB8" s="1790"/>
      <c r="AC8" s="1790"/>
      <c r="AD8" s="1790"/>
      <c r="AE8" s="1790"/>
      <c r="AF8" s="1790"/>
      <c r="AG8" s="1790"/>
      <c r="AH8" s="1790"/>
      <c r="AI8" s="1790"/>
      <c r="AK8" s="1570" t="s">
        <v>28</v>
      </c>
    </row>
    <row r="9" spans="1:37" ht="18" customHeight="1">
      <c r="A9" s="1641" t="s">
        <v>49</v>
      </c>
      <c r="B9" s="1752"/>
      <c r="C9" s="1786"/>
      <c r="D9" s="1835" t="s">
        <v>50</v>
      </c>
      <c r="E9" s="1835"/>
      <c r="F9" s="1835"/>
      <c r="G9" s="1835"/>
      <c r="H9" s="1755"/>
      <c r="I9" s="1755"/>
      <c r="J9" s="1790"/>
      <c r="K9" s="1790"/>
      <c r="L9" s="1790"/>
      <c r="M9" s="1790"/>
      <c r="N9" s="1790"/>
      <c r="O9" s="1790"/>
      <c r="P9" s="1790"/>
      <c r="Q9" s="1790"/>
      <c r="R9" s="1790"/>
      <c r="S9" s="1790"/>
      <c r="T9" s="1790"/>
      <c r="U9" s="1790"/>
      <c r="V9" s="1790"/>
      <c r="W9" s="1790"/>
      <c r="X9" s="1790"/>
      <c r="Y9" s="1790"/>
      <c r="Z9" s="1790"/>
      <c r="AA9" s="1790"/>
      <c r="AB9" s="1790"/>
      <c r="AC9" s="1790"/>
      <c r="AD9" s="1790"/>
      <c r="AE9" s="1790"/>
      <c r="AF9" s="1790"/>
      <c r="AG9" s="1790"/>
      <c r="AH9" s="1790"/>
      <c r="AI9" s="1790"/>
    </row>
    <row r="10" spans="1:37" ht="18" customHeight="1">
      <c r="A10" s="1641" t="s">
        <v>455</v>
      </c>
      <c r="B10" s="1641"/>
      <c r="C10" s="1777" t="s">
        <v>486</v>
      </c>
      <c r="D10" s="1751"/>
      <c r="E10" s="1751"/>
      <c r="F10" s="1751"/>
      <c r="G10" s="1751"/>
      <c r="H10" s="1755"/>
      <c r="I10" s="2062" t="s">
        <v>504</v>
      </c>
      <c r="J10" s="1778"/>
      <c r="K10" s="1778"/>
      <c r="L10" s="1778"/>
      <c r="M10" s="1778"/>
      <c r="N10" s="1778"/>
      <c r="O10" s="1778"/>
      <c r="P10" s="1778"/>
      <c r="Q10" s="1778"/>
      <c r="R10" s="1778"/>
      <c r="S10" s="1778"/>
      <c r="T10" s="1778"/>
      <c r="U10" s="1778"/>
      <c r="V10" s="1778"/>
      <c r="W10" s="1778"/>
      <c r="X10" s="1778"/>
      <c r="Y10" s="1778"/>
      <c r="Z10" s="1778"/>
      <c r="AA10" s="1778"/>
      <c r="AB10" s="1778"/>
      <c r="AC10" s="1778"/>
      <c r="AD10" s="1778"/>
      <c r="AE10" s="1778"/>
      <c r="AF10" s="1778"/>
      <c r="AG10" s="1778"/>
      <c r="AH10" s="1778"/>
      <c r="AI10" s="1778"/>
    </row>
    <row r="11" spans="1:37" ht="8.25" customHeight="1" thickBot="1">
      <c r="C11" s="1780"/>
      <c r="D11" s="1781"/>
      <c r="E11" s="1781"/>
      <c r="F11" s="1781"/>
      <c r="G11" s="1781"/>
      <c r="H11" s="1836"/>
      <c r="I11" s="2063"/>
      <c r="J11" s="1778"/>
      <c r="K11" s="1778"/>
      <c r="L11" s="1778"/>
      <c r="M11" s="1778"/>
      <c r="N11" s="1778"/>
      <c r="O11" s="1778"/>
      <c r="P11" s="1778"/>
      <c r="Q11" s="1778"/>
      <c r="R11" s="1778"/>
      <c r="S11" s="1778"/>
      <c r="T11" s="1778"/>
      <c r="U11" s="1778"/>
      <c r="V11" s="1778"/>
      <c r="W11" s="1778"/>
      <c r="X11" s="1778"/>
      <c r="Y11" s="1778"/>
      <c r="Z11" s="1778"/>
      <c r="AA11" s="1778"/>
      <c r="AB11" s="1778"/>
      <c r="AC11" s="1778"/>
      <c r="AD11" s="1778"/>
      <c r="AE11" s="1778"/>
      <c r="AF11" s="1778"/>
      <c r="AG11" s="1778"/>
      <c r="AH11" s="1778"/>
      <c r="AI11" s="1778"/>
    </row>
    <row r="12" spans="1:37" ht="18" customHeight="1" thickTop="1">
      <c r="A12" s="2069" t="s">
        <v>9</v>
      </c>
      <c r="B12" s="2071" t="s">
        <v>10</v>
      </c>
      <c r="C12" s="2072"/>
      <c r="D12" s="2072"/>
      <c r="E12" s="2073"/>
      <c r="F12" s="2069" t="s">
        <v>11</v>
      </c>
      <c r="G12" s="2069" t="s">
        <v>27</v>
      </c>
      <c r="H12" s="2077" t="s">
        <v>12</v>
      </c>
      <c r="I12" s="2077" t="s">
        <v>13</v>
      </c>
      <c r="J12" s="1837"/>
      <c r="K12" s="1837"/>
      <c r="L12" s="1837"/>
      <c r="M12" s="1837"/>
      <c r="N12" s="1837"/>
      <c r="O12" s="1837"/>
      <c r="P12" s="1837"/>
      <c r="Q12" s="1837"/>
      <c r="R12" s="1837"/>
      <c r="S12" s="1837"/>
      <c r="T12" s="1837"/>
      <c r="U12" s="1837"/>
      <c r="V12" s="1837"/>
      <c r="W12" s="1837"/>
      <c r="X12" s="1837"/>
      <c r="Y12" s="1837"/>
      <c r="Z12" s="1837"/>
      <c r="AA12" s="1837"/>
      <c r="AB12" s="1837"/>
      <c r="AC12" s="1837"/>
      <c r="AD12" s="1837"/>
      <c r="AE12" s="1837"/>
      <c r="AF12" s="1837"/>
      <c r="AG12" s="1837"/>
      <c r="AH12" s="1837"/>
      <c r="AI12" s="1837"/>
    </row>
    <row r="13" spans="1:37" ht="18" customHeight="1" thickBot="1">
      <c r="A13" s="2070"/>
      <c r="B13" s="2074"/>
      <c r="C13" s="2075"/>
      <c r="D13" s="2075"/>
      <c r="E13" s="2076"/>
      <c r="F13" s="2070"/>
      <c r="G13" s="2070"/>
      <c r="H13" s="2078"/>
      <c r="I13" s="2078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837"/>
      <c r="W13" s="1837"/>
      <c r="X13" s="1837"/>
      <c r="Y13" s="1837"/>
      <c r="Z13" s="1837"/>
      <c r="AA13" s="1837"/>
      <c r="AB13" s="1837"/>
      <c r="AC13" s="1837"/>
      <c r="AD13" s="1837"/>
      <c r="AE13" s="1837"/>
      <c r="AF13" s="1837"/>
      <c r="AG13" s="1837"/>
      <c r="AH13" s="1837"/>
      <c r="AI13" s="1837"/>
    </row>
    <row r="14" spans="1:37" ht="23.25" customHeight="1" thickTop="1">
      <c r="A14" s="1591" t="s">
        <v>14</v>
      </c>
      <c r="B14" s="2065" t="s">
        <v>15</v>
      </c>
      <c r="C14" s="2066"/>
      <c r="D14" s="2066"/>
      <c r="E14" s="1838"/>
      <c r="F14" s="1640"/>
      <c r="G14" s="1839"/>
      <c r="H14" s="1784"/>
      <c r="I14" s="1784"/>
      <c r="J14" s="1748"/>
      <c r="K14" s="1748"/>
      <c r="L14" s="1748"/>
      <c r="M14" s="1748"/>
      <c r="N14" s="1748"/>
      <c r="O14" s="1748"/>
      <c r="P14" s="1748"/>
      <c r="Q14" s="1748"/>
      <c r="R14" s="1748"/>
      <c r="S14" s="1748"/>
      <c r="T14" s="1748"/>
      <c r="U14" s="1748"/>
      <c r="V14" s="1748"/>
      <c r="W14" s="1748"/>
      <c r="X14" s="1748"/>
      <c r="Y14" s="1748"/>
      <c r="Z14" s="1748"/>
      <c r="AA14" s="1748"/>
      <c r="AB14" s="1748"/>
      <c r="AC14" s="1748"/>
      <c r="AD14" s="1748"/>
      <c r="AE14" s="1748"/>
      <c r="AF14" s="1748"/>
      <c r="AG14" s="1748"/>
      <c r="AH14" s="1748"/>
      <c r="AI14" s="1748"/>
    </row>
    <row r="15" spans="1:37" ht="19.5" customHeight="1">
      <c r="A15" s="1785"/>
      <c r="B15" s="1786" t="s">
        <v>16</v>
      </c>
      <c r="C15" s="1751" t="s">
        <v>17</v>
      </c>
      <c r="D15" s="1751"/>
      <c r="E15" s="1751"/>
      <c r="F15" s="1840"/>
      <c r="G15" s="1787"/>
      <c r="H15" s="1841"/>
      <c r="I15" s="1789"/>
      <c r="J15" s="1790"/>
      <c r="K15" s="1790"/>
      <c r="L15" s="1790"/>
      <c r="M15" s="1790"/>
      <c r="N15" s="1790"/>
      <c r="O15" s="1790"/>
      <c r="P15" s="1790"/>
      <c r="Q15" s="1790"/>
      <c r="R15" s="1790"/>
      <c r="S15" s="1790"/>
      <c r="T15" s="1790"/>
      <c r="U15" s="1790"/>
      <c r="V15" s="1790"/>
      <c r="W15" s="1790"/>
      <c r="X15" s="1790"/>
      <c r="Y15" s="1790"/>
      <c r="Z15" s="1790"/>
      <c r="AA15" s="1790"/>
      <c r="AB15" s="1790"/>
      <c r="AC15" s="1790"/>
      <c r="AD15" s="1790"/>
      <c r="AE15" s="1790"/>
      <c r="AF15" s="1790"/>
      <c r="AG15" s="1790"/>
      <c r="AH15" s="1790"/>
      <c r="AI15" s="1790"/>
    </row>
    <row r="16" spans="1:37" ht="20.25" customHeight="1">
      <c r="A16" s="1640"/>
      <c r="B16" s="1791" t="s">
        <v>72</v>
      </c>
      <c r="C16" s="1641" t="s">
        <v>492</v>
      </c>
      <c r="D16" s="1749"/>
      <c r="E16" s="1749"/>
      <c r="F16" s="1842"/>
      <c r="G16" s="360"/>
      <c r="H16" s="1843"/>
      <c r="I16" s="1793"/>
      <c r="J16" s="1790"/>
      <c r="K16" s="1790"/>
      <c r="L16" s="1790"/>
      <c r="M16" s="1790"/>
      <c r="N16" s="1790"/>
      <c r="O16" s="1790"/>
      <c r="P16" s="1790"/>
      <c r="Q16" s="1790"/>
      <c r="R16" s="1790"/>
      <c r="S16" s="1790"/>
      <c r="T16" s="1790"/>
      <c r="U16" s="1790"/>
      <c r="V16" s="1790"/>
      <c r="W16" s="1790"/>
      <c r="X16" s="1790"/>
      <c r="Y16" s="1790"/>
      <c r="Z16" s="1790"/>
      <c r="AA16" s="1790"/>
      <c r="AB16" s="1790"/>
      <c r="AC16" s="1790"/>
      <c r="AD16" s="1790"/>
      <c r="AE16" s="1790"/>
      <c r="AF16" s="1790"/>
      <c r="AG16" s="1790"/>
      <c r="AH16" s="1790"/>
      <c r="AI16" s="1790"/>
      <c r="AJ16" s="1794">
        <v>12157</v>
      </c>
      <c r="AK16" s="1844">
        <f>H16/AJ16</f>
        <v>0</v>
      </c>
    </row>
    <row r="17" spans="1:37" ht="21" customHeight="1">
      <c r="A17" s="1640"/>
      <c r="B17" s="1791" t="s">
        <v>72</v>
      </c>
      <c r="C17" s="1641" t="s">
        <v>29</v>
      </c>
      <c r="D17" s="1749"/>
      <c r="E17" s="1749"/>
      <c r="F17" s="1842"/>
      <c r="G17" s="1845"/>
      <c r="H17" s="1843"/>
      <c r="I17" s="1793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1790"/>
      <c r="AG17" s="1790"/>
      <c r="AH17" s="1790"/>
      <c r="AI17" s="1790"/>
      <c r="AJ17" s="1794">
        <v>12157</v>
      </c>
      <c r="AK17" s="1844">
        <f t="shared" ref="AK17:AK20" si="0">H17/AJ17</f>
        <v>0</v>
      </c>
    </row>
    <row r="18" spans="1:37" ht="19.5" customHeight="1">
      <c r="A18" s="1640"/>
      <c r="B18" s="1791" t="s">
        <v>72</v>
      </c>
      <c r="C18" s="1641" t="s">
        <v>493</v>
      </c>
      <c r="D18" s="1749"/>
      <c r="E18" s="1749"/>
      <c r="F18" s="1841"/>
      <c r="G18" s="1845"/>
      <c r="H18" s="1843"/>
      <c r="I18" s="1793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1790"/>
      <c r="AG18" s="1790"/>
      <c r="AH18" s="1790"/>
      <c r="AI18" s="1790"/>
      <c r="AJ18" s="1794">
        <v>12157</v>
      </c>
      <c r="AK18" s="1844">
        <f t="shared" si="0"/>
        <v>0</v>
      </c>
    </row>
    <row r="19" spans="1:37" ht="20.25" customHeight="1">
      <c r="A19" s="1640"/>
      <c r="B19" s="1791" t="s">
        <v>72</v>
      </c>
      <c r="C19" s="1641" t="s">
        <v>494</v>
      </c>
      <c r="D19" s="1749"/>
      <c r="E19" s="1749"/>
      <c r="F19" s="1846"/>
      <c r="G19" s="1845"/>
      <c r="H19" s="1843"/>
      <c r="I19" s="1793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1790"/>
      <c r="AG19" s="1790"/>
      <c r="AH19" s="1790"/>
      <c r="AI19" s="1790"/>
      <c r="AJ19" s="1794">
        <v>12157</v>
      </c>
      <c r="AK19" s="1844">
        <f t="shared" si="0"/>
        <v>0</v>
      </c>
    </row>
    <row r="20" spans="1:37" ht="19.5" customHeight="1">
      <c r="A20" s="1640"/>
      <c r="B20" s="1791" t="s">
        <v>72</v>
      </c>
      <c r="C20" s="1641" t="s">
        <v>495</v>
      </c>
      <c r="D20" s="1749"/>
      <c r="E20" s="1749"/>
      <c r="F20" s="1846"/>
      <c r="G20" s="1845"/>
      <c r="H20" s="1843"/>
      <c r="I20" s="1793"/>
      <c r="J20" s="1790"/>
      <c r="K20" s="1790"/>
      <c r="L20" s="1790"/>
      <c r="M20" s="1790"/>
      <c r="N20" s="1790"/>
      <c r="O20" s="1790"/>
      <c r="P20" s="1790"/>
      <c r="Q20" s="1790"/>
      <c r="R20" s="1790"/>
      <c r="S20" s="1790"/>
      <c r="T20" s="1790"/>
      <c r="U20" s="1790"/>
      <c r="V20" s="1790"/>
      <c r="W20" s="1790"/>
      <c r="X20" s="1790"/>
      <c r="Y20" s="1790"/>
      <c r="Z20" s="1790"/>
      <c r="AA20" s="1790"/>
      <c r="AB20" s="1790"/>
      <c r="AC20" s="1790"/>
      <c r="AD20" s="1790"/>
      <c r="AE20" s="1790"/>
      <c r="AF20" s="1790"/>
      <c r="AG20" s="1790"/>
      <c r="AH20" s="1790"/>
      <c r="AI20" s="1790"/>
      <c r="AJ20" s="1794">
        <v>12157</v>
      </c>
      <c r="AK20" s="1844">
        <f t="shared" si="0"/>
        <v>0</v>
      </c>
    </row>
    <row r="21" spans="1:37" ht="20.25" customHeight="1">
      <c r="A21" s="1640"/>
      <c r="B21" s="1796" t="s">
        <v>72</v>
      </c>
      <c r="C21" s="1797" t="s">
        <v>496</v>
      </c>
      <c r="D21" s="1798"/>
      <c r="E21" s="1798"/>
      <c r="F21" s="1847"/>
      <c r="G21" s="1848"/>
      <c r="H21" s="1849"/>
      <c r="I21" s="1793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1790"/>
      <c r="AG21" s="1790"/>
      <c r="AH21" s="1790"/>
      <c r="AI21" s="1790"/>
    </row>
    <row r="22" spans="1:37" ht="18" customHeight="1">
      <c r="A22" s="1640"/>
      <c r="B22" s="1800" t="s">
        <v>18</v>
      </c>
      <c r="C22" s="1749" t="s">
        <v>19</v>
      </c>
      <c r="D22" s="1722"/>
      <c r="E22" s="1722"/>
      <c r="F22" s="1846"/>
      <c r="G22" s="1722"/>
      <c r="H22" s="1843"/>
      <c r="I22" s="1793"/>
      <c r="J22" s="1790"/>
      <c r="K22" s="1790"/>
      <c r="L22" s="1790"/>
      <c r="M22" s="1790"/>
      <c r="N22" s="1790"/>
      <c r="O22" s="1790"/>
      <c r="P22" s="1790"/>
      <c r="Q22" s="1790"/>
      <c r="R22" s="1790"/>
      <c r="S22" s="1790"/>
      <c r="T22" s="1790"/>
      <c r="U22" s="1790"/>
      <c r="V22" s="1790"/>
      <c r="W22" s="1790"/>
      <c r="X22" s="1790"/>
      <c r="Y22" s="1790"/>
      <c r="Z22" s="1790"/>
      <c r="AA22" s="1790"/>
      <c r="AB22" s="1790"/>
      <c r="AC22" s="1790"/>
      <c r="AD22" s="1790"/>
      <c r="AE22" s="1790"/>
      <c r="AF22" s="1790"/>
      <c r="AG22" s="1790"/>
      <c r="AH22" s="1790"/>
      <c r="AI22" s="1790"/>
    </row>
    <row r="23" spans="1:37" ht="22.5" customHeight="1">
      <c r="A23" s="1640"/>
      <c r="B23" s="1791" t="s">
        <v>72</v>
      </c>
      <c r="C23" s="1641" t="s">
        <v>497</v>
      </c>
      <c r="D23" s="1641"/>
      <c r="E23" s="1722"/>
      <c r="F23" s="1846"/>
      <c r="G23" s="1845"/>
      <c r="H23" s="1843"/>
      <c r="I23" s="1793"/>
      <c r="J23" s="1790"/>
      <c r="K23" s="1790"/>
      <c r="L23" s="1790"/>
      <c r="M23" s="1790"/>
      <c r="N23" s="1790"/>
      <c r="O23" s="1790"/>
      <c r="P23" s="1790"/>
      <c r="Q23" s="1790"/>
      <c r="R23" s="1790"/>
      <c r="S23" s="1790"/>
      <c r="T23" s="1790"/>
      <c r="U23" s="1790"/>
      <c r="V23" s="1790"/>
      <c r="W23" s="1790"/>
      <c r="X23" s="1790"/>
      <c r="Y23" s="1790"/>
      <c r="Z23" s="1790"/>
      <c r="AA23" s="1790"/>
      <c r="AB23" s="1790"/>
      <c r="AC23" s="1790"/>
      <c r="AD23" s="1790"/>
      <c r="AE23" s="1790"/>
      <c r="AF23" s="1790"/>
      <c r="AG23" s="1790"/>
      <c r="AH23" s="1790"/>
      <c r="AI23" s="1790"/>
      <c r="AJ23" s="1794">
        <v>12157</v>
      </c>
      <c r="AK23" s="1844">
        <f t="shared" ref="AK23:AK24" si="1">H23/AJ23</f>
        <v>0</v>
      </c>
    </row>
    <row r="24" spans="1:37" ht="21" customHeight="1">
      <c r="A24" s="1640"/>
      <c r="B24" s="1796" t="s">
        <v>72</v>
      </c>
      <c r="C24" s="1797" t="s">
        <v>498</v>
      </c>
      <c r="D24" s="1797"/>
      <c r="E24" s="1802"/>
      <c r="F24" s="1847"/>
      <c r="G24" s="1848"/>
      <c r="H24" s="1849"/>
      <c r="I24" s="1793"/>
      <c r="J24" s="1790"/>
      <c r="K24" s="1790"/>
      <c r="L24" s="1790"/>
      <c r="M24" s="1790"/>
      <c r="N24" s="1790"/>
      <c r="O24" s="1790"/>
      <c r="P24" s="1790"/>
      <c r="Q24" s="1790"/>
      <c r="R24" s="1790"/>
      <c r="S24" s="1790"/>
      <c r="T24" s="1790"/>
      <c r="U24" s="1790"/>
      <c r="V24" s="1790"/>
      <c r="W24" s="1790"/>
      <c r="X24" s="1790"/>
      <c r="Y24" s="1790"/>
      <c r="Z24" s="1790"/>
      <c r="AA24" s="1790"/>
      <c r="AB24" s="1790"/>
      <c r="AC24" s="1790"/>
      <c r="AD24" s="1790"/>
      <c r="AE24" s="1790"/>
      <c r="AF24" s="1790"/>
      <c r="AG24" s="1790"/>
      <c r="AH24" s="1790"/>
      <c r="AI24" s="1790"/>
      <c r="AJ24" s="1794">
        <v>12157</v>
      </c>
      <c r="AK24" s="1844">
        <f t="shared" si="1"/>
        <v>0</v>
      </c>
    </row>
    <row r="25" spans="1:37" ht="18.75" customHeight="1">
      <c r="A25" s="1640"/>
      <c r="B25" s="1803" t="s">
        <v>472</v>
      </c>
      <c r="C25" s="1749" t="s">
        <v>467</v>
      </c>
      <c r="D25" s="1722"/>
      <c r="E25" s="1804"/>
      <c r="F25" s="1846"/>
      <c r="G25" s="1838"/>
      <c r="H25" s="1843"/>
      <c r="I25" s="1793"/>
      <c r="J25" s="1790"/>
      <c r="K25" s="1790"/>
      <c r="L25" s="1790"/>
      <c r="M25" s="1790"/>
      <c r="N25" s="1790"/>
      <c r="O25" s="1790"/>
      <c r="P25" s="1790"/>
      <c r="Q25" s="1790"/>
      <c r="R25" s="1790"/>
      <c r="S25" s="1790"/>
      <c r="T25" s="1790"/>
      <c r="U25" s="1790"/>
      <c r="V25" s="1790"/>
      <c r="W25" s="1790"/>
      <c r="X25" s="1790"/>
      <c r="Y25" s="1790"/>
      <c r="Z25" s="1790"/>
      <c r="AA25" s="1790"/>
      <c r="AB25" s="1790"/>
      <c r="AC25" s="1790"/>
      <c r="AD25" s="1790"/>
      <c r="AE25" s="1790"/>
      <c r="AF25" s="1790"/>
      <c r="AG25" s="1790"/>
      <c r="AH25" s="1790"/>
      <c r="AI25" s="1790"/>
    </row>
    <row r="26" spans="1:37" ht="21" customHeight="1">
      <c r="A26" s="1640"/>
      <c r="B26" s="1791" t="s">
        <v>72</v>
      </c>
      <c r="C26" s="1641" t="s">
        <v>499</v>
      </c>
      <c r="D26" s="1641"/>
      <c r="E26" s="1801"/>
      <c r="F26" s="1846"/>
      <c r="G26" s="1845"/>
      <c r="H26" s="1843"/>
      <c r="I26" s="1793"/>
      <c r="J26" s="1790"/>
      <c r="K26" s="1790"/>
      <c r="L26" s="1790"/>
      <c r="M26" s="1790"/>
      <c r="N26" s="1790"/>
      <c r="O26" s="1790"/>
      <c r="P26" s="1790"/>
      <c r="Q26" s="1790"/>
      <c r="R26" s="1790"/>
      <c r="S26" s="1790"/>
      <c r="T26" s="1790"/>
      <c r="U26" s="1790"/>
      <c r="V26" s="1790"/>
      <c r="W26" s="1790"/>
      <c r="X26" s="1790"/>
      <c r="Y26" s="1790"/>
      <c r="Z26" s="1790"/>
      <c r="AA26" s="1790"/>
      <c r="AB26" s="1790"/>
      <c r="AC26" s="1790"/>
      <c r="AD26" s="1790"/>
      <c r="AE26" s="1790"/>
      <c r="AF26" s="1790"/>
      <c r="AG26" s="1790"/>
      <c r="AH26" s="1790"/>
      <c r="AI26" s="1790"/>
    </row>
    <row r="27" spans="1:37" ht="21" customHeight="1">
      <c r="A27" s="1806"/>
      <c r="B27" s="1807" t="s">
        <v>72</v>
      </c>
      <c r="C27" s="1808" t="s">
        <v>500</v>
      </c>
      <c r="D27" s="1808"/>
      <c r="E27" s="1809"/>
      <c r="F27" s="1850"/>
      <c r="G27" s="1851"/>
      <c r="H27" s="1852"/>
      <c r="I27" s="1793"/>
      <c r="J27" s="1790"/>
      <c r="K27" s="1790"/>
      <c r="L27" s="1790"/>
      <c r="M27" s="1790"/>
      <c r="N27" s="1790"/>
      <c r="O27" s="1790"/>
      <c r="P27" s="1790"/>
      <c r="Q27" s="1790"/>
      <c r="R27" s="1790"/>
      <c r="S27" s="1790"/>
      <c r="T27" s="1790"/>
      <c r="U27" s="1790"/>
      <c r="V27" s="1790"/>
      <c r="W27" s="1790"/>
      <c r="X27" s="1790"/>
      <c r="Y27" s="1790"/>
      <c r="Z27" s="1790"/>
      <c r="AA27" s="1790"/>
      <c r="AB27" s="1790"/>
      <c r="AC27" s="1790"/>
      <c r="AD27" s="1790"/>
      <c r="AE27" s="1790"/>
      <c r="AF27" s="1790"/>
      <c r="AG27" s="1790"/>
      <c r="AH27" s="1790"/>
      <c r="AI27" s="1790"/>
    </row>
    <row r="28" spans="1:37" ht="20.25" customHeight="1">
      <c r="A28" s="1640"/>
      <c r="B28" s="1853"/>
      <c r="C28" s="1722" t="s">
        <v>20</v>
      </c>
      <c r="D28" s="1722"/>
      <c r="E28" s="1804"/>
      <c r="F28" s="1846"/>
      <c r="G28" s="1839"/>
      <c r="H28" s="1843"/>
      <c r="I28" s="1811"/>
      <c r="J28" s="1812"/>
      <c r="K28" s="1812"/>
      <c r="L28" s="1812"/>
      <c r="M28" s="1812"/>
      <c r="N28" s="1812"/>
      <c r="O28" s="1812"/>
      <c r="P28" s="1812"/>
      <c r="Q28" s="1812"/>
      <c r="R28" s="1812"/>
      <c r="S28" s="1812"/>
      <c r="T28" s="1812"/>
      <c r="U28" s="1812"/>
      <c r="V28" s="1812"/>
      <c r="W28" s="1812"/>
      <c r="X28" s="1812"/>
      <c r="Y28" s="1812"/>
      <c r="Z28" s="1812"/>
      <c r="AA28" s="1812"/>
      <c r="AB28" s="1812"/>
      <c r="AC28" s="1812"/>
      <c r="AD28" s="1812"/>
      <c r="AE28" s="1812"/>
      <c r="AF28" s="1812"/>
      <c r="AG28" s="1812"/>
      <c r="AH28" s="1812"/>
      <c r="AI28" s="1812"/>
    </row>
    <row r="29" spans="1:37" ht="21" customHeight="1">
      <c r="A29" s="1785"/>
      <c r="B29" s="1752"/>
      <c r="C29" s="1641" t="s">
        <v>25</v>
      </c>
      <c r="D29" s="1854">
        <v>10</v>
      </c>
      <c r="E29" s="1813" t="s">
        <v>21</v>
      </c>
      <c r="F29" s="1842"/>
      <c r="G29" s="1801"/>
      <c r="H29" s="1843"/>
      <c r="I29" s="1811"/>
      <c r="J29" s="1812"/>
      <c r="K29" s="1812"/>
      <c r="L29" s="1812"/>
      <c r="M29" s="1812"/>
      <c r="N29" s="1812"/>
      <c r="O29" s="1812"/>
      <c r="P29" s="1812"/>
      <c r="Q29" s="1812"/>
      <c r="R29" s="1812"/>
      <c r="S29" s="1812"/>
      <c r="T29" s="1812"/>
      <c r="U29" s="1812"/>
      <c r="V29" s="1812"/>
      <c r="W29" s="1812"/>
      <c r="X29" s="1812"/>
      <c r="Y29" s="1812"/>
      <c r="Z29" s="1812"/>
      <c r="AA29" s="1812"/>
      <c r="AB29" s="1812"/>
      <c r="AC29" s="1812"/>
      <c r="AD29" s="1812"/>
      <c r="AE29" s="1812"/>
      <c r="AF29" s="1812"/>
      <c r="AG29" s="1812"/>
      <c r="AH29" s="1812"/>
      <c r="AI29" s="1812"/>
    </row>
    <row r="30" spans="1:37" ht="21" customHeight="1">
      <c r="A30" s="1785"/>
      <c r="B30" s="1752"/>
      <c r="C30" s="1641" t="s">
        <v>26</v>
      </c>
      <c r="D30" s="1751">
        <v>0</v>
      </c>
      <c r="E30" s="1813" t="s">
        <v>21</v>
      </c>
      <c r="F30" s="1840"/>
      <c r="G30" s="1787"/>
      <c r="H30" s="1843"/>
      <c r="I30" s="1818"/>
      <c r="J30" s="1819"/>
      <c r="K30" s="1819"/>
      <c r="L30" s="1819"/>
      <c r="M30" s="1819"/>
      <c r="N30" s="1819"/>
      <c r="O30" s="1819"/>
      <c r="P30" s="1819"/>
      <c r="Q30" s="1819"/>
      <c r="R30" s="1819"/>
      <c r="S30" s="1819"/>
      <c r="T30" s="1819"/>
      <c r="U30" s="1819"/>
      <c r="V30" s="1819"/>
      <c r="W30" s="1819"/>
      <c r="X30" s="1819"/>
      <c r="Y30" s="1819"/>
      <c r="Z30" s="1819"/>
      <c r="AA30" s="1819"/>
      <c r="AB30" s="1819"/>
      <c r="AC30" s="1819"/>
      <c r="AD30" s="1819"/>
      <c r="AE30" s="1819"/>
      <c r="AF30" s="1819"/>
      <c r="AG30" s="1819"/>
      <c r="AH30" s="1819"/>
      <c r="AI30" s="1819"/>
    </row>
    <row r="31" spans="1:37" ht="22.5" customHeight="1">
      <c r="A31" s="1785"/>
      <c r="B31" s="1752"/>
      <c r="C31" s="1722" t="s">
        <v>22</v>
      </c>
      <c r="D31" s="1751">
        <v>7</v>
      </c>
      <c r="E31" s="1813" t="s">
        <v>21</v>
      </c>
      <c r="F31" s="1846"/>
      <c r="G31" s="1804"/>
      <c r="H31" s="1843"/>
      <c r="I31" s="1793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0"/>
      <c r="U31" s="1790"/>
      <c r="V31" s="1790"/>
      <c r="W31" s="1790"/>
      <c r="X31" s="1790"/>
      <c r="Y31" s="1790"/>
      <c r="Z31" s="1790"/>
      <c r="AA31" s="1790"/>
      <c r="AB31" s="1790"/>
      <c r="AC31" s="1790"/>
      <c r="AD31" s="1790"/>
      <c r="AE31" s="1790"/>
      <c r="AF31" s="1790"/>
      <c r="AG31" s="1790"/>
      <c r="AH31" s="1790"/>
      <c r="AI31" s="1790"/>
    </row>
    <row r="32" spans="1:37" ht="19.5" customHeight="1">
      <c r="A32" s="1855"/>
      <c r="B32" s="1838"/>
      <c r="C32" s="1722" t="s">
        <v>23</v>
      </c>
      <c r="D32" s="1751">
        <v>7</v>
      </c>
      <c r="E32" s="1801" t="s">
        <v>21</v>
      </c>
      <c r="F32" s="1846"/>
      <c r="G32" s="1856"/>
      <c r="H32" s="1843"/>
      <c r="I32" s="1793"/>
      <c r="J32" s="1790"/>
      <c r="K32" s="1790"/>
      <c r="L32" s="1790"/>
      <c r="M32" s="1790"/>
      <c r="N32" s="1790"/>
      <c r="O32" s="1790"/>
      <c r="P32" s="1790"/>
      <c r="Q32" s="1790"/>
      <c r="R32" s="1790"/>
      <c r="S32" s="1790"/>
      <c r="T32" s="1790"/>
      <c r="U32" s="1790"/>
      <c r="V32" s="1790"/>
      <c r="W32" s="1790"/>
      <c r="X32" s="1790"/>
      <c r="Y32" s="1790"/>
      <c r="Z32" s="1790"/>
      <c r="AA32" s="1790"/>
      <c r="AB32" s="1790"/>
      <c r="AC32" s="1790"/>
      <c r="AD32" s="1790"/>
      <c r="AE32" s="1790"/>
      <c r="AF32" s="1790"/>
      <c r="AG32" s="1790"/>
      <c r="AH32" s="1790"/>
      <c r="AI32" s="1790"/>
    </row>
    <row r="33" spans="1:35" ht="19.5" customHeight="1" thickBot="1">
      <c r="A33" s="1857"/>
      <c r="B33" s="1858"/>
      <c r="C33" s="1646"/>
      <c r="D33" s="1646"/>
      <c r="E33" s="1646"/>
      <c r="F33" s="1846"/>
      <c r="G33" s="1856"/>
      <c r="H33" s="1859"/>
      <c r="I33" s="1860"/>
      <c r="J33" s="1790"/>
      <c r="K33" s="1790"/>
      <c r="L33" s="1790"/>
      <c r="M33" s="1790"/>
      <c r="N33" s="1790"/>
      <c r="O33" s="1790"/>
      <c r="P33" s="1790"/>
      <c r="Q33" s="1790"/>
      <c r="R33" s="1790"/>
      <c r="S33" s="1790"/>
      <c r="T33" s="1790"/>
      <c r="U33" s="1790"/>
      <c r="V33" s="1790"/>
      <c r="W33" s="1790"/>
      <c r="X33" s="1790"/>
      <c r="Y33" s="1790"/>
      <c r="Z33" s="1790"/>
      <c r="AA33" s="1790"/>
      <c r="AB33" s="1790"/>
      <c r="AC33" s="1790"/>
      <c r="AD33" s="1790"/>
      <c r="AE33" s="1790"/>
      <c r="AF33" s="1790"/>
      <c r="AG33" s="1790"/>
      <c r="AH33" s="1790"/>
      <c r="AI33" s="1790"/>
    </row>
    <row r="34" spans="1:35" ht="23.25" customHeight="1" thickTop="1" thickBot="1">
      <c r="A34" s="1861"/>
      <c r="B34" s="1862"/>
      <c r="C34" s="2067" t="s">
        <v>24</v>
      </c>
      <c r="D34" s="2067"/>
      <c r="E34" s="1862"/>
      <c r="F34" s="1863"/>
      <c r="G34" s="1864"/>
      <c r="H34" s="1863"/>
      <c r="I34" s="1827"/>
      <c r="J34" s="1790"/>
      <c r="K34" s="1790"/>
      <c r="L34" s="1790"/>
      <c r="M34" s="1790"/>
      <c r="N34" s="1790"/>
      <c r="O34" s="1790"/>
      <c r="P34" s="1790"/>
      <c r="Q34" s="1790"/>
      <c r="R34" s="1790"/>
      <c r="S34" s="1790"/>
      <c r="T34" s="1790"/>
      <c r="U34" s="1790"/>
      <c r="V34" s="1790"/>
      <c r="W34" s="1790"/>
      <c r="X34" s="1790"/>
      <c r="Y34" s="1790"/>
      <c r="Z34" s="1790"/>
      <c r="AA34" s="1790"/>
      <c r="AB34" s="1790"/>
      <c r="AC34" s="1790"/>
      <c r="AD34" s="1790"/>
      <c r="AE34" s="1790"/>
      <c r="AF34" s="1790"/>
      <c r="AG34" s="1790"/>
      <c r="AH34" s="1790"/>
      <c r="AI34" s="1790"/>
    </row>
    <row r="35" spans="1:35" ht="23.25" customHeight="1" thickTop="1">
      <c r="A35" s="1865"/>
      <c r="B35" s="1866"/>
      <c r="C35" s="1866"/>
      <c r="D35" s="1866"/>
      <c r="E35" s="1866"/>
      <c r="F35" s="1867"/>
      <c r="G35" s="1868"/>
      <c r="H35" s="1867"/>
      <c r="I35" s="1790"/>
      <c r="J35" s="1790"/>
      <c r="K35" s="1790"/>
      <c r="L35" s="1790"/>
      <c r="M35" s="1790"/>
      <c r="N35" s="1790"/>
      <c r="O35" s="1790"/>
      <c r="P35" s="1790"/>
      <c r="Q35" s="1790"/>
      <c r="R35" s="1790"/>
      <c r="S35" s="1790"/>
      <c r="T35" s="1790"/>
      <c r="U35" s="1790"/>
      <c r="V35" s="1790"/>
      <c r="W35" s="1790"/>
      <c r="X35" s="1790"/>
      <c r="Y35" s="1790"/>
      <c r="Z35" s="1790"/>
      <c r="AA35" s="1790"/>
      <c r="AB35" s="1790"/>
      <c r="AC35" s="1790"/>
      <c r="AD35" s="1790"/>
      <c r="AE35" s="1790"/>
      <c r="AF35" s="1790"/>
      <c r="AG35" s="1790"/>
      <c r="AH35" s="1790"/>
      <c r="AI35" s="1790"/>
    </row>
    <row r="36" spans="1:35" ht="23.25" customHeight="1">
      <c r="A36" s="1865"/>
      <c r="B36" s="1866"/>
      <c r="C36" s="1866"/>
      <c r="D36" s="1866"/>
      <c r="E36" s="1866"/>
      <c r="F36" s="1867"/>
      <c r="G36" s="1868"/>
      <c r="H36" s="1867"/>
      <c r="I36" s="1790"/>
      <c r="J36" s="1790"/>
      <c r="K36" s="1790"/>
      <c r="L36" s="1790"/>
      <c r="M36" s="1790"/>
      <c r="N36" s="1790"/>
      <c r="O36" s="1790"/>
      <c r="P36" s="1790"/>
      <c r="Q36" s="1790"/>
      <c r="R36" s="1790"/>
      <c r="S36" s="1790"/>
      <c r="T36" s="1790"/>
      <c r="U36" s="1790"/>
      <c r="V36" s="1790"/>
      <c r="W36" s="1790"/>
      <c r="X36" s="1790"/>
      <c r="Y36" s="1790"/>
      <c r="Z36" s="1790"/>
      <c r="AA36" s="1790"/>
      <c r="AB36" s="1790"/>
      <c r="AC36" s="1790"/>
      <c r="AD36" s="1790"/>
      <c r="AE36" s="1790"/>
      <c r="AF36" s="1790"/>
      <c r="AG36" s="1790"/>
      <c r="AH36" s="1790"/>
      <c r="AI36" s="1790"/>
    </row>
    <row r="37" spans="1:35" ht="23.25" customHeight="1">
      <c r="A37" s="1865"/>
      <c r="B37" s="1866"/>
      <c r="C37" s="1866"/>
      <c r="D37" s="1866"/>
      <c r="E37" s="1866"/>
      <c r="F37" s="1867"/>
      <c r="G37" s="1868"/>
      <c r="H37" s="1867"/>
      <c r="I37" s="1790"/>
      <c r="J37" s="1790"/>
      <c r="K37" s="1790"/>
      <c r="L37" s="1790"/>
      <c r="M37" s="1790"/>
      <c r="N37" s="1790"/>
      <c r="O37" s="1790"/>
      <c r="P37" s="1790"/>
      <c r="Q37" s="1790"/>
      <c r="R37" s="1790"/>
      <c r="S37" s="1790"/>
      <c r="T37" s="1790"/>
      <c r="U37" s="1790"/>
      <c r="V37" s="1790"/>
      <c r="W37" s="1790"/>
      <c r="X37" s="1790"/>
      <c r="Y37" s="1790"/>
      <c r="Z37" s="1790"/>
      <c r="AA37" s="1790"/>
      <c r="AB37" s="1790"/>
      <c r="AC37" s="1790"/>
      <c r="AD37" s="1790"/>
      <c r="AE37" s="1790"/>
      <c r="AF37" s="1790"/>
      <c r="AG37" s="1790"/>
      <c r="AH37" s="1790"/>
      <c r="AI37" s="1790"/>
    </row>
    <row r="38" spans="1:35" ht="23.25" customHeight="1">
      <c r="A38" s="1865"/>
      <c r="B38" s="1866"/>
      <c r="C38" s="1866"/>
      <c r="D38" s="1866"/>
      <c r="E38" s="1866"/>
      <c r="F38" s="1867"/>
      <c r="G38" s="1868"/>
      <c r="H38" s="1867"/>
      <c r="I38" s="1790"/>
      <c r="J38" s="1790"/>
      <c r="K38" s="1790"/>
      <c r="L38" s="1790"/>
      <c r="M38" s="1790"/>
      <c r="N38" s="1790"/>
      <c r="O38" s="1790"/>
      <c r="P38" s="1790"/>
      <c r="Q38" s="1790"/>
      <c r="R38" s="1790"/>
      <c r="S38" s="1790"/>
      <c r="T38" s="1790"/>
      <c r="U38" s="1790"/>
      <c r="V38" s="1790"/>
      <c r="W38" s="1790"/>
      <c r="X38" s="1790"/>
      <c r="Y38" s="1790"/>
      <c r="Z38" s="1790"/>
      <c r="AA38" s="1790"/>
      <c r="AB38" s="1790"/>
      <c r="AC38" s="1790"/>
      <c r="AD38" s="1790"/>
      <c r="AE38" s="1790"/>
      <c r="AF38" s="1790"/>
      <c r="AG38" s="1790"/>
      <c r="AH38" s="1790"/>
      <c r="AI38" s="1790"/>
    </row>
    <row r="39" spans="1:35" ht="23.25" customHeight="1">
      <c r="A39" s="1865"/>
      <c r="B39" s="1866"/>
      <c r="C39" s="1866"/>
      <c r="D39" s="1866"/>
      <c r="E39" s="1866"/>
      <c r="F39" s="1867"/>
      <c r="G39" s="1868"/>
      <c r="H39" s="1867"/>
      <c r="I39" s="1790"/>
      <c r="J39" s="1790"/>
      <c r="K39" s="1790"/>
      <c r="L39" s="1790"/>
      <c r="M39" s="1790"/>
      <c r="N39" s="1790"/>
      <c r="O39" s="1790"/>
      <c r="P39" s="1790"/>
      <c r="Q39" s="1790"/>
      <c r="R39" s="1790"/>
      <c r="S39" s="1790"/>
      <c r="T39" s="1790"/>
      <c r="U39" s="1790"/>
      <c r="V39" s="1790"/>
      <c r="W39" s="1790"/>
      <c r="X39" s="1790"/>
      <c r="Y39" s="1790"/>
      <c r="Z39" s="1790"/>
      <c r="AA39" s="1790"/>
      <c r="AB39" s="1790"/>
      <c r="AC39" s="1790"/>
      <c r="AD39" s="1790"/>
      <c r="AE39" s="1790"/>
      <c r="AF39" s="1790"/>
      <c r="AG39" s="1790"/>
      <c r="AH39" s="1790"/>
      <c r="AI39" s="1790"/>
    </row>
    <row r="40" spans="1:35" ht="23.25" customHeight="1">
      <c r="A40" s="1865"/>
      <c r="B40" s="1866"/>
      <c r="C40" s="1866"/>
      <c r="D40" s="1866"/>
      <c r="E40" s="1866"/>
      <c r="F40" s="1867"/>
      <c r="G40" s="1868"/>
      <c r="H40" s="1867"/>
      <c r="I40" s="1790"/>
      <c r="J40" s="1790"/>
      <c r="K40" s="1790"/>
      <c r="L40" s="1790"/>
      <c r="M40" s="1790"/>
      <c r="N40" s="1790"/>
      <c r="O40" s="1790"/>
      <c r="P40" s="1790"/>
      <c r="Q40" s="1790"/>
      <c r="R40" s="1790"/>
      <c r="S40" s="1790"/>
      <c r="T40" s="1790"/>
      <c r="U40" s="1790"/>
      <c r="V40" s="1790"/>
      <c r="W40" s="1790"/>
      <c r="X40" s="1790"/>
      <c r="Y40" s="1790"/>
      <c r="Z40" s="1790"/>
      <c r="AA40" s="1790"/>
      <c r="AB40" s="1790"/>
      <c r="AC40" s="1790"/>
      <c r="AD40" s="1790"/>
      <c r="AE40" s="1790"/>
      <c r="AF40" s="1790"/>
      <c r="AG40" s="1790"/>
      <c r="AH40" s="1790"/>
      <c r="AI40" s="1790"/>
    </row>
    <row r="41" spans="1:35" ht="23.25" customHeight="1">
      <c r="A41" s="1865"/>
      <c r="B41" s="1866"/>
      <c r="C41" s="1866"/>
      <c r="D41" s="1866"/>
      <c r="E41" s="1866"/>
      <c r="F41" s="1867"/>
      <c r="G41" s="1868"/>
      <c r="H41" s="1867"/>
      <c r="I41" s="1790"/>
      <c r="J41" s="1790"/>
      <c r="K41" s="1790"/>
      <c r="L41" s="1790"/>
      <c r="M41" s="1790"/>
      <c r="N41" s="1790"/>
      <c r="O41" s="1790"/>
      <c r="P41" s="1790"/>
      <c r="Q41" s="1790"/>
      <c r="R41" s="1790"/>
      <c r="S41" s="1790"/>
      <c r="T41" s="1790"/>
      <c r="U41" s="1790"/>
      <c r="V41" s="1790"/>
      <c r="W41" s="1790"/>
      <c r="X41" s="1790"/>
      <c r="Y41" s="1790"/>
      <c r="Z41" s="1790"/>
      <c r="AA41" s="1790"/>
      <c r="AB41" s="1790"/>
      <c r="AC41" s="1790"/>
      <c r="AD41" s="1790"/>
      <c r="AE41" s="1790"/>
      <c r="AF41" s="1790"/>
      <c r="AG41" s="1790"/>
      <c r="AH41" s="1790"/>
      <c r="AI41" s="1790"/>
    </row>
    <row r="42" spans="1:35" ht="23.25" customHeight="1">
      <c r="A42" s="1865"/>
      <c r="B42" s="1866"/>
      <c r="C42" s="1866"/>
      <c r="D42" s="1866"/>
      <c r="E42" s="1866"/>
      <c r="F42" s="1867"/>
      <c r="G42" s="1868"/>
      <c r="H42" s="1867"/>
      <c r="I42" s="1790"/>
      <c r="J42" s="1790"/>
      <c r="K42" s="1790"/>
      <c r="L42" s="1790"/>
      <c r="M42" s="1790"/>
      <c r="N42" s="1790"/>
      <c r="O42" s="1790"/>
      <c r="P42" s="1790"/>
      <c r="Q42" s="1790"/>
      <c r="R42" s="1790"/>
      <c r="S42" s="1790"/>
      <c r="T42" s="1790"/>
      <c r="U42" s="1790"/>
      <c r="V42" s="1790"/>
      <c r="W42" s="1790"/>
      <c r="X42" s="1790"/>
      <c r="Y42" s="1790"/>
      <c r="Z42" s="1790"/>
      <c r="AA42" s="1790"/>
      <c r="AB42" s="1790"/>
      <c r="AC42" s="1790"/>
      <c r="AD42" s="1790"/>
      <c r="AE42" s="1790"/>
      <c r="AF42" s="1790"/>
      <c r="AG42" s="1790"/>
      <c r="AH42" s="1790"/>
      <c r="AI42" s="1790"/>
    </row>
    <row r="43" spans="1:35" ht="23.25" customHeight="1">
      <c r="A43" s="1865"/>
      <c r="B43" s="1866"/>
      <c r="C43" s="1866"/>
      <c r="D43" s="1866"/>
      <c r="E43" s="1866"/>
      <c r="F43" s="1867"/>
      <c r="G43" s="1868"/>
      <c r="H43" s="1867"/>
      <c r="I43" s="1790"/>
      <c r="J43" s="1790"/>
      <c r="K43" s="1790"/>
      <c r="L43" s="1790"/>
      <c r="M43" s="1790"/>
      <c r="N43" s="1790"/>
      <c r="O43" s="1790"/>
      <c r="P43" s="1790"/>
      <c r="Q43" s="1790"/>
      <c r="R43" s="1790"/>
      <c r="S43" s="1790"/>
      <c r="T43" s="1790"/>
      <c r="U43" s="1790"/>
      <c r="V43" s="1790"/>
      <c r="W43" s="1790"/>
      <c r="X43" s="1790"/>
      <c r="Y43" s="1790"/>
      <c r="Z43" s="1790"/>
      <c r="AA43" s="1790"/>
      <c r="AB43" s="1790"/>
      <c r="AC43" s="1790"/>
      <c r="AD43" s="1790"/>
      <c r="AE43" s="1790"/>
      <c r="AF43" s="1790"/>
      <c r="AG43" s="1790"/>
      <c r="AH43" s="1790"/>
      <c r="AI43" s="1790"/>
    </row>
    <row r="44" spans="1:35" ht="23.25" customHeight="1">
      <c r="A44" s="1865"/>
      <c r="B44" s="1866"/>
      <c r="C44" s="1866"/>
      <c r="D44" s="1866"/>
      <c r="E44" s="1866"/>
      <c r="F44" s="1867"/>
      <c r="G44" s="1868"/>
      <c r="H44" s="1867"/>
      <c r="I44" s="1790"/>
      <c r="J44" s="1790"/>
      <c r="K44" s="1790"/>
      <c r="L44" s="1790"/>
      <c r="M44" s="1790"/>
      <c r="N44" s="1790"/>
      <c r="O44" s="1790"/>
      <c r="P44" s="1790"/>
      <c r="Q44" s="1790"/>
      <c r="R44" s="1790"/>
      <c r="S44" s="1790"/>
      <c r="T44" s="1790"/>
      <c r="U44" s="1790"/>
      <c r="V44" s="1790"/>
      <c r="W44" s="1790"/>
      <c r="X44" s="1790"/>
      <c r="Y44" s="1790"/>
      <c r="Z44" s="1790"/>
      <c r="AA44" s="1790"/>
      <c r="AB44" s="1790"/>
      <c r="AC44" s="1790"/>
      <c r="AD44" s="1790"/>
      <c r="AE44" s="1790"/>
      <c r="AF44" s="1790"/>
      <c r="AG44" s="1790"/>
      <c r="AH44" s="1790"/>
      <c r="AI44" s="1790"/>
    </row>
    <row r="45" spans="1:35" ht="23.25" customHeight="1">
      <c r="A45" s="1865"/>
      <c r="B45" s="1866"/>
      <c r="C45" s="1866"/>
      <c r="D45" s="1866"/>
      <c r="E45" s="1866"/>
      <c r="F45" s="1867"/>
      <c r="G45" s="1868"/>
      <c r="H45" s="1867"/>
      <c r="I45" s="1790"/>
      <c r="J45" s="1790"/>
      <c r="K45" s="1790"/>
      <c r="L45" s="1790"/>
      <c r="M45" s="1790"/>
      <c r="N45" s="1790"/>
      <c r="O45" s="1790"/>
      <c r="P45" s="1790"/>
      <c r="Q45" s="1790"/>
      <c r="R45" s="1790"/>
      <c r="S45" s="1790"/>
      <c r="T45" s="1790"/>
      <c r="U45" s="1790"/>
      <c r="V45" s="1790"/>
      <c r="W45" s="1790"/>
      <c r="X45" s="1790"/>
      <c r="Y45" s="1790"/>
      <c r="Z45" s="1790"/>
      <c r="AA45" s="1790"/>
      <c r="AB45" s="1790"/>
      <c r="AC45" s="1790"/>
      <c r="AD45" s="1790"/>
      <c r="AE45" s="1790"/>
      <c r="AF45" s="1790"/>
      <c r="AG45" s="1790"/>
      <c r="AH45" s="1790"/>
      <c r="AI45" s="1790"/>
    </row>
    <row r="46" spans="1:35" ht="23.25" customHeight="1">
      <c r="A46" s="1865"/>
      <c r="B46" s="1866"/>
      <c r="C46" s="1866"/>
      <c r="D46" s="1866"/>
      <c r="E46" s="1866"/>
      <c r="F46" s="1867"/>
      <c r="G46" s="1868"/>
      <c r="H46" s="1867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90"/>
      <c r="V46" s="1790"/>
      <c r="W46" s="1790"/>
      <c r="X46" s="1790"/>
      <c r="Y46" s="1790"/>
      <c r="Z46" s="1790"/>
      <c r="AA46" s="1790"/>
      <c r="AB46" s="1790"/>
      <c r="AC46" s="1790"/>
      <c r="AD46" s="1790"/>
      <c r="AE46" s="1790"/>
      <c r="AF46" s="1790"/>
      <c r="AG46" s="1790"/>
      <c r="AH46" s="1790"/>
      <c r="AI46" s="1790"/>
    </row>
    <row r="47" spans="1:35" ht="23.25" customHeight="1">
      <c r="A47" s="1865"/>
      <c r="B47" s="1866"/>
      <c r="C47" s="1866"/>
      <c r="D47" s="1866"/>
      <c r="E47" s="1866"/>
      <c r="F47" s="1867"/>
      <c r="G47" s="1868"/>
      <c r="H47" s="1867"/>
      <c r="I47" s="1790"/>
      <c r="J47" s="1790"/>
      <c r="K47" s="1790"/>
      <c r="L47" s="1790"/>
      <c r="M47" s="1790"/>
      <c r="N47" s="1790"/>
      <c r="O47" s="1790"/>
      <c r="P47" s="1790"/>
      <c r="Q47" s="1790"/>
      <c r="R47" s="1790"/>
      <c r="S47" s="1790"/>
      <c r="T47" s="1790"/>
      <c r="U47" s="1790"/>
      <c r="V47" s="1790"/>
      <c r="W47" s="1790"/>
      <c r="X47" s="1790"/>
      <c r="Y47" s="1790"/>
      <c r="Z47" s="1790"/>
      <c r="AA47" s="1790"/>
      <c r="AB47" s="1790"/>
      <c r="AC47" s="1790"/>
      <c r="AD47" s="1790"/>
      <c r="AE47" s="1790"/>
      <c r="AF47" s="1790"/>
      <c r="AG47" s="1790"/>
      <c r="AH47" s="1790"/>
      <c r="AI47" s="1790"/>
    </row>
    <row r="48" spans="1:35" ht="23.25" customHeight="1">
      <c r="A48" s="1865"/>
      <c r="B48" s="1866"/>
      <c r="C48" s="1866"/>
      <c r="D48" s="1866"/>
      <c r="E48" s="1866"/>
      <c r="F48" s="1867"/>
      <c r="G48" s="1868"/>
      <c r="H48" s="1867"/>
      <c r="I48" s="1790"/>
      <c r="J48" s="1790"/>
      <c r="K48" s="1790"/>
      <c r="L48" s="1790"/>
      <c r="M48" s="1790"/>
      <c r="N48" s="1790"/>
      <c r="O48" s="1790"/>
      <c r="P48" s="1790"/>
      <c r="Q48" s="1790"/>
      <c r="R48" s="1790"/>
      <c r="S48" s="1790"/>
      <c r="T48" s="1790"/>
      <c r="U48" s="1790"/>
      <c r="V48" s="1790"/>
      <c r="W48" s="1790"/>
      <c r="X48" s="1790"/>
      <c r="Y48" s="1790"/>
      <c r="Z48" s="1790"/>
      <c r="AA48" s="1790"/>
      <c r="AB48" s="1790"/>
      <c r="AC48" s="1790"/>
      <c r="AD48" s="1790"/>
      <c r="AE48" s="1790"/>
      <c r="AF48" s="1790"/>
      <c r="AG48" s="1790"/>
      <c r="AH48" s="1790"/>
      <c r="AI48" s="1790"/>
    </row>
    <row r="49" spans="1:35" ht="23.25" customHeight="1">
      <c r="A49" s="1865"/>
      <c r="B49" s="1866"/>
      <c r="C49" s="1866"/>
      <c r="D49" s="1866"/>
      <c r="E49" s="1866"/>
      <c r="F49" s="1867"/>
      <c r="G49" s="1868"/>
      <c r="H49" s="1867"/>
      <c r="I49" s="1790"/>
      <c r="J49" s="1790"/>
      <c r="K49" s="1790"/>
      <c r="L49" s="1790"/>
      <c r="M49" s="1790"/>
      <c r="N49" s="1790"/>
      <c r="O49" s="1790"/>
      <c r="P49" s="1790"/>
      <c r="Q49" s="1790"/>
      <c r="R49" s="1790"/>
      <c r="S49" s="1790"/>
      <c r="T49" s="1790"/>
      <c r="U49" s="1790"/>
      <c r="V49" s="1790"/>
      <c r="W49" s="1790"/>
      <c r="X49" s="1790"/>
      <c r="Y49" s="1790"/>
      <c r="Z49" s="1790"/>
      <c r="AA49" s="1790"/>
      <c r="AB49" s="1790"/>
      <c r="AC49" s="1790"/>
      <c r="AD49" s="1790"/>
      <c r="AE49" s="1790"/>
      <c r="AF49" s="1790"/>
      <c r="AG49" s="1790"/>
      <c r="AH49" s="1790"/>
      <c r="AI49" s="1790"/>
    </row>
    <row r="50" spans="1:35" ht="23.25" customHeight="1">
      <c r="A50" s="1865"/>
      <c r="B50" s="1866"/>
      <c r="C50" s="1866"/>
      <c r="D50" s="1866"/>
      <c r="E50" s="1866"/>
      <c r="F50" s="1867"/>
      <c r="G50" s="1868"/>
      <c r="H50" s="1867"/>
      <c r="I50" s="1790"/>
      <c r="J50" s="1790"/>
      <c r="K50" s="1790"/>
      <c r="L50" s="1790"/>
      <c r="M50" s="1790"/>
      <c r="N50" s="1790"/>
      <c r="O50" s="1790"/>
      <c r="P50" s="1790"/>
      <c r="Q50" s="1790"/>
      <c r="R50" s="1790"/>
      <c r="S50" s="1790"/>
      <c r="T50" s="1790"/>
      <c r="U50" s="1790"/>
      <c r="V50" s="1790"/>
      <c r="W50" s="1790"/>
      <c r="X50" s="1790"/>
      <c r="Y50" s="1790"/>
      <c r="Z50" s="1790"/>
      <c r="AA50" s="1790"/>
      <c r="AB50" s="1790"/>
      <c r="AC50" s="1790"/>
      <c r="AD50" s="1790"/>
      <c r="AE50" s="1790"/>
      <c r="AF50" s="1790"/>
      <c r="AG50" s="1790"/>
      <c r="AH50" s="1790"/>
      <c r="AI50" s="1790"/>
    </row>
    <row r="51" spans="1:35" ht="23.25" customHeight="1">
      <c r="A51" s="1865"/>
      <c r="B51" s="1866"/>
      <c r="C51" s="1866"/>
      <c r="D51" s="1866"/>
      <c r="E51" s="1866"/>
      <c r="F51" s="1867"/>
      <c r="G51" s="1868"/>
      <c r="H51" s="1867"/>
      <c r="I51" s="1790"/>
      <c r="J51" s="1790"/>
      <c r="K51" s="1790"/>
      <c r="L51" s="1790"/>
      <c r="M51" s="1790"/>
      <c r="N51" s="1790"/>
      <c r="O51" s="1790"/>
      <c r="P51" s="1790"/>
      <c r="Q51" s="1790"/>
      <c r="R51" s="1790"/>
      <c r="S51" s="1790"/>
      <c r="T51" s="1790"/>
      <c r="U51" s="1790"/>
      <c r="V51" s="1790"/>
      <c r="W51" s="1790"/>
      <c r="X51" s="1790"/>
      <c r="Y51" s="1790"/>
      <c r="Z51" s="1790"/>
      <c r="AA51" s="1790"/>
      <c r="AB51" s="1790"/>
      <c r="AC51" s="1790"/>
      <c r="AD51" s="1790"/>
      <c r="AE51" s="1790"/>
      <c r="AF51" s="1790"/>
      <c r="AG51" s="1790"/>
      <c r="AH51" s="1790"/>
      <c r="AI51" s="1790"/>
    </row>
    <row r="52" spans="1:35" ht="23.25" customHeight="1">
      <c r="A52" s="1865"/>
      <c r="B52" s="1866"/>
      <c r="C52" s="1866"/>
      <c r="D52" s="1866"/>
      <c r="E52" s="1866"/>
      <c r="F52" s="1867"/>
      <c r="G52" s="1868"/>
      <c r="H52" s="1867"/>
      <c r="I52" s="1790"/>
      <c r="J52" s="1790"/>
      <c r="K52" s="1790"/>
      <c r="L52" s="1790"/>
      <c r="M52" s="1790"/>
      <c r="N52" s="1790"/>
      <c r="O52" s="1790"/>
      <c r="P52" s="1790"/>
      <c r="Q52" s="1790"/>
      <c r="R52" s="1790"/>
      <c r="S52" s="1790"/>
      <c r="T52" s="1790"/>
      <c r="U52" s="1790"/>
      <c r="V52" s="1790"/>
      <c r="W52" s="1790"/>
      <c r="X52" s="1790"/>
      <c r="Y52" s="1790"/>
      <c r="Z52" s="1790"/>
      <c r="AA52" s="1790"/>
      <c r="AB52" s="1790"/>
      <c r="AC52" s="1790"/>
      <c r="AD52" s="1790"/>
      <c r="AE52" s="1790"/>
      <c r="AF52" s="1790"/>
      <c r="AG52" s="1790"/>
      <c r="AH52" s="1790"/>
      <c r="AI52" s="1790"/>
    </row>
    <row r="53" spans="1:35" ht="23.25" customHeight="1">
      <c r="A53" s="1865"/>
      <c r="B53" s="1866"/>
      <c r="C53" s="1866"/>
      <c r="D53" s="1866"/>
      <c r="E53" s="1866"/>
      <c r="F53" s="1867"/>
      <c r="G53" s="1868"/>
      <c r="H53" s="1867"/>
      <c r="I53" s="1790"/>
      <c r="J53" s="1790"/>
      <c r="K53" s="1790"/>
      <c r="L53" s="1790"/>
      <c r="M53" s="1790"/>
      <c r="N53" s="1790"/>
      <c r="O53" s="1790"/>
      <c r="P53" s="1790"/>
      <c r="Q53" s="1790"/>
      <c r="R53" s="1790"/>
      <c r="S53" s="1790"/>
      <c r="T53" s="1790"/>
      <c r="U53" s="1790"/>
      <c r="V53" s="1790"/>
      <c r="W53" s="1790"/>
      <c r="X53" s="1790"/>
      <c r="Y53" s="1790"/>
      <c r="Z53" s="1790"/>
      <c r="AA53" s="1790"/>
      <c r="AB53" s="1790"/>
      <c r="AC53" s="1790"/>
      <c r="AD53" s="1790"/>
      <c r="AE53" s="1790"/>
      <c r="AF53" s="1790"/>
      <c r="AG53" s="1790"/>
      <c r="AH53" s="1790"/>
      <c r="AI53" s="1790"/>
    </row>
    <row r="54" spans="1:35" ht="23.25" customHeight="1">
      <c r="A54" s="1865"/>
      <c r="B54" s="1866"/>
      <c r="C54" s="1866"/>
      <c r="D54" s="1866"/>
      <c r="E54" s="1866"/>
      <c r="F54" s="1867"/>
      <c r="G54" s="1868"/>
      <c r="H54" s="1867"/>
      <c r="I54" s="1790"/>
      <c r="J54" s="1790"/>
      <c r="K54" s="1790"/>
      <c r="L54" s="1790"/>
      <c r="M54" s="1790"/>
      <c r="N54" s="1790"/>
      <c r="O54" s="1790"/>
      <c r="P54" s="1790"/>
      <c r="Q54" s="1790"/>
      <c r="R54" s="1790"/>
      <c r="S54" s="1790"/>
      <c r="T54" s="1790"/>
      <c r="U54" s="1790"/>
      <c r="V54" s="1790"/>
      <c r="W54" s="1790"/>
      <c r="X54" s="1790"/>
      <c r="Y54" s="1790"/>
      <c r="Z54" s="1790"/>
      <c r="AA54" s="1790"/>
      <c r="AB54" s="1790"/>
      <c r="AC54" s="1790"/>
      <c r="AD54" s="1790"/>
      <c r="AE54" s="1790"/>
      <c r="AF54" s="1790"/>
      <c r="AG54" s="1790"/>
      <c r="AH54" s="1790"/>
      <c r="AI54" s="1790"/>
    </row>
    <row r="55" spans="1:35" ht="19.5" customHeight="1">
      <c r="A55" s="1866"/>
      <c r="B55" s="1866"/>
      <c r="C55" s="1866"/>
      <c r="D55" s="1866"/>
      <c r="E55" s="1866"/>
      <c r="F55" s="1866"/>
      <c r="G55" s="1866"/>
      <c r="H55" s="1866"/>
      <c r="I55" s="1866"/>
      <c r="J55" s="1866"/>
      <c r="K55" s="1866"/>
      <c r="L55" s="1866"/>
      <c r="M55" s="1866"/>
      <c r="N55" s="1866"/>
      <c r="O55" s="1866"/>
      <c r="P55" s="1866"/>
      <c r="Q55" s="1866"/>
      <c r="R55" s="1866"/>
      <c r="S55" s="1866"/>
      <c r="T55" s="1866"/>
      <c r="U55" s="1866"/>
      <c r="V55" s="1866"/>
      <c r="W55" s="1866"/>
      <c r="X55" s="1866"/>
      <c r="Y55" s="1866"/>
      <c r="Z55" s="1866"/>
      <c r="AA55" s="1866"/>
      <c r="AB55" s="1866"/>
      <c r="AC55" s="1866"/>
      <c r="AD55" s="1866"/>
      <c r="AE55" s="1866"/>
      <c r="AF55" s="1866"/>
      <c r="AG55" s="1866"/>
      <c r="AH55" s="1866"/>
      <c r="AI55" s="1866"/>
    </row>
    <row r="56" spans="1:35" ht="21" customHeight="1">
      <c r="A56" s="1866"/>
      <c r="B56" s="1866"/>
      <c r="C56" s="1866"/>
      <c r="D56" s="1866"/>
      <c r="E56" s="1866" t="s">
        <v>505</v>
      </c>
      <c r="F56" s="1869">
        <f>SUM(F16:F21)</f>
        <v>0</v>
      </c>
      <c r="G56" s="1870">
        <v>12157</v>
      </c>
      <c r="H56" s="1869">
        <f>F56/G56</f>
        <v>0</v>
      </c>
      <c r="I56" s="1866"/>
      <c r="J56" s="1866"/>
      <c r="K56" s="1866"/>
      <c r="L56" s="1866"/>
      <c r="M56" s="1866"/>
      <c r="N56" s="1866"/>
      <c r="O56" s="1866"/>
      <c r="P56" s="1866"/>
      <c r="Q56" s="1866"/>
      <c r="R56" s="1866"/>
      <c r="S56" s="1866"/>
      <c r="T56" s="1866"/>
      <c r="U56" s="1866"/>
      <c r="V56" s="1866"/>
      <c r="W56" s="1866"/>
      <c r="X56" s="1866"/>
      <c r="Y56" s="1866"/>
      <c r="Z56" s="1866"/>
      <c r="AA56" s="1866"/>
      <c r="AB56" s="1866"/>
      <c r="AC56" s="1866"/>
      <c r="AD56" s="1866"/>
      <c r="AE56" s="1866"/>
      <c r="AF56" s="1866"/>
      <c r="AG56" s="1866"/>
      <c r="AH56" s="1866"/>
      <c r="AI56" s="1866"/>
    </row>
    <row r="57" spans="1:35" ht="20.25" customHeight="1">
      <c r="A57" s="1866"/>
      <c r="B57" s="1866"/>
      <c r="C57" s="1866"/>
      <c r="D57" s="1866"/>
      <c r="E57" s="1866" t="s">
        <v>506</v>
      </c>
      <c r="F57" s="1869">
        <f>SUM(F23:F24)</f>
        <v>0</v>
      </c>
      <c r="G57" s="1870">
        <v>12157</v>
      </c>
      <c r="H57" s="1869">
        <f>F57/G57</f>
        <v>0</v>
      </c>
      <c r="I57" s="1866"/>
      <c r="J57" s="1866"/>
      <c r="K57" s="1866"/>
      <c r="L57" s="1866"/>
      <c r="M57" s="1866"/>
      <c r="N57" s="1866"/>
      <c r="O57" s="1866"/>
      <c r="P57" s="1866"/>
      <c r="Q57" s="1866"/>
      <c r="R57" s="1866"/>
      <c r="S57" s="1866"/>
      <c r="T57" s="1866"/>
      <c r="U57" s="1866"/>
      <c r="V57" s="1866"/>
      <c r="W57" s="1866"/>
      <c r="X57" s="1866"/>
      <c r="Y57" s="1866"/>
      <c r="Z57" s="1866"/>
      <c r="AA57" s="1866"/>
      <c r="AB57" s="1866"/>
      <c r="AC57" s="1866"/>
      <c r="AD57" s="1866"/>
      <c r="AE57" s="1866"/>
      <c r="AF57" s="1866"/>
      <c r="AG57" s="1866"/>
      <c r="AH57" s="1866"/>
      <c r="AI57" s="1866"/>
    </row>
    <row r="58" spans="1:35" ht="18.75" customHeight="1">
      <c r="A58" s="1646"/>
      <c r="B58" s="1866"/>
      <c r="C58" s="1646"/>
      <c r="D58" s="1646"/>
      <c r="E58" s="1866" t="s">
        <v>507</v>
      </c>
      <c r="F58" s="1871">
        <f>SUM(F26:F27)</f>
        <v>0</v>
      </c>
      <c r="G58" s="1866"/>
      <c r="H58" s="1872"/>
      <c r="I58" s="1646"/>
      <c r="J58" s="1646"/>
      <c r="K58" s="1646"/>
      <c r="L58" s="1646"/>
      <c r="M58" s="1646"/>
      <c r="N58" s="1646"/>
      <c r="O58" s="1646"/>
      <c r="P58" s="1646"/>
      <c r="Q58" s="1646"/>
      <c r="R58" s="1646"/>
      <c r="S58" s="1646"/>
      <c r="T58" s="1646"/>
      <c r="U58" s="1646"/>
      <c r="V58" s="1646"/>
      <c r="W58" s="1646"/>
      <c r="X58" s="1646"/>
      <c r="Y58" s="1646"/>
      <c r="Z58" s="1646"/>
      <c r="AA58" s="1646"/>
      <c r="AB58" s="1646"/>
      <c r="AC58" s="1646"/>
      <c r="AD58" s="1646"/>
      <c r="AE58" s="1646"/>
      <c r="AF58" s="1646"/>
      <c r="AG58" s="1646"/>
      <c r="AH58" s="1646"/>
      <c r="AI58" s="1646"/>
    </row>
    <row r="59" spans="1:35" ht="20.25" customHeight="1">
      <c r="A59" s="1646"/>
      <c r="B59" s="1866"/>
      <c r="C59" s="1646"/>
      <c r="D59" s="1646"/>
      <c r="E59" s="1866" t="s">
        <v>508</v>
      </c>
      <c r="F59" s="1869">
        <v>12157</v>
      </c>
      <c r="G59" s="1866"/>
      <c r="H59" s="1869">
        <f>H34/F59</f>
        <v>0</v>
      </c>
      <c r="I59" s="1646"/>
      <c r="J59" s="1646"/>
      <c r="K59" s="1646"/>
      <c r="L59" s="1646"/>
      <c r="M59" s="1646"/>
      <c r="N59" s="1646"/>
      <c r="O59" s="1646"/>
      <c r="P59" s="1646"/>
      <c r="Q59" s="1646"/>
      <c r="R59" s="1646"/>
      <c r="S59" s="1646"/>
      <c r="T59" s="1646"/>
      <c r="U59" s="1646"/>
      <c r="V59" s="1646"/>
      <c r="W59" s="1646"/>
      <c r="X59" s="1646"/>
      <c r="Y59" s="1646"/>
      <c r="Z59" s="1646"/>
      <c r="AA59" s="1646"/>
      <c r="AB59" s="1646"/>
      <c r="AC59" s="1646"/>
      <c r="AD59" s="1646"/>
      <c r="AE59" s="1646"/>
      <c r="AF59" s="1646"/>
      <c r="AG59" s="1646"/>
      <c r="AH59" s="1646"/>
      <c r="AI59" s="1646"/>
    </row>
    <row r="60" spans="1:35" ht="18" customHeight="1">
      <c r="A60" s="1646"/>
      <c r="B60" s="1866"/>
      <c r="C60" s="1646"/>
      <c r="D60" s="1646"/>
      <c r="E60" s="1646"/>
      <c r="F60" s="1646"/>
      <c r="G60" s="1866"/>
      <c r="H60" s="1866"/>
      <c r="I60" s="1646"/>
      <c r="J60" s="1646"/>
      <c r="K60" s="1646"/>
      <c r="L60" s="1646"/>
      <c r="M60" s="1646"/>
      <c r="N60" s="1646"/>
      <c r="O60" s="1646"/>
      <c r="P60" s="1646"/>
      <c r="Q60" s="1646"/>
      <c r="R60" s="1646"/>
      <c r="S60" s="1646"/>
      <c r="T60" s="1646"/>
      <c r="U60" s="1646"/>
      <c r="V60" s="1646"/>
      <c r="W60" s="1646"/>
      <c r="X60" s="1646"/>
      <c r="Y60" s="1646"/>
      <c r="Z60" s="1646"/>
      <c r="AA60" s="1646"/>
      <c r="AB60" s="1646"/>
      <c r="AC60" s="1646"/>
      <c r="AD60" s="1646"/>
      <c r="AE60" s="1646"/>
      <c r="AF60" s="1646"/>
      <c r="AG60" s="1646"/>
      <c r="AH60" s="1646"/>
      <c r="AI60" s="1646"/>
    </row>
    <row r="61" spans="1:35" ht="18" customHeight="1">
      <c r="A61" s="1866"/>
      <c r="B61" s="1866"/>
      <c r="C61" s="1866"/>
      <c r="D61" s="1866"/>
      <c r="E61" s="1866"/>
      <c r="F61" s="1866"/>
      <c r="G61" s="1866"/>
      <c r="H61" s="1866"/>
      <c r="I61" s="1866"/>
      <c r="J61" s="1866"/>
      <c r="K61" s="1866"/>
      <c r="L61" s="1866"/>
      <c r="M61" s="1866"/>
      <c r="N61" s="1866"/>
      <c r="O61" s="1866"/>
      <c r="P61" s="1866"/>
      <c r="Q61" s="1866"/>
      <c r="R61" s="1866"/>
      <c r="S61" s="1866"/>
      <c r="T61" s="1866"/>
      <c r="U61" s="1866"/>
      <c r="V61" s="1866"/>
      <c r="W61" s="1866"/>
      <c r="X61" s="1866"/>
      <c r="Y61" s="1866"/>
      <c r="Z61" s="1866"/>
      <c r="AA61" s="1866"/>
      <c r="AB61" s="1866"/>
      <c r="AC61" s="1866"/>
      <c r="AD61" s="1866"/>
      <c r="AE61" s="1866"/>
      <c r="AF61" s="1866"/>
      <c r="AG61" s="1866"/>
      <c r="AH61" s="1866"/>
      <c r="AI61" s="1866"/>
    </row>
    <row r="63" spans="1:35" ht="18" customHeight="1">
      <c r="A63" s="2064" t="s">
        <v>509</v>
      </c>
      <c r="B63" s="2064"/>
      <c r="C63" s="2064"/>
      <c r="D63" s="2064"/>
      <c r="E63" s="2064"/>
      <c r="F63" s="2064"/>
      <c r="G63" s="2064"/>
      <c r="H63" s="2064"/>
      <c r="I63" s="2064"/>
      <c r="J63" s="1866"/>
      <c r="K63" s="1866"/>
      <c r="L63" s="1866"/>
      <c r="M63" s="1866"/>
      <c r="N63" s="1866"/>
      <c r="O63" s="1866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6"/>
      <c r="AI63" s="1866"/>
    </row>
    <row r="64" spans="1:35" ht="18" customHeight="1">
      <c r="A64" s="2064" t="s">
        <v>510</v>
      </c>
      <c r="B64" s="2064"/>
      <c r="C64" s="2064"/>
      <c r="D64" s="2064"/>
      <c r="E64" s="2064"/>
      <c r="F64" s="2064"/>
      <c r="G64" s="2064"/>
      <c r="H64" s="2064"/>
      <c r="I64" s="2064"/>
      <c r="J64" s="1866"/>
      <c r="K64" s="1866"/>
      <c r="L64" s="1866"/>
      <c r="M64" s="1866"/>
      <c r="N64" s="1866"/>
      <c r="O64" s="1866"/>
      <c r="P64" s="1866"/>
      <c r="Q64" s="1866"/>
      <c r="R64" s="1866"/>
      <c r="S64" s="1866"/>
      <c r="T64" s="1866"/>
      <c r="U64" s="1866"/>
      <c r="V64" s="1866"/>
      <c r="W64" s="1866"/>
      <c r="X64" s="1866"/>
      <c r="Y64" s="1866"/>
      <c r="Z64" s="1866"/>
      <c r="AA64" s="1866"/>
      <c r="AB64" s="1866"/>
      <c r="AC64" s="1866"/>
      <c r="AD64" s="1866"/>
      <c r="AE64" s="1866"/>
      <c r="AF64" s="1866"/>
      <c r="AG64" s="1866"/>
      <c r="AH64" s="1866"/>
      <c r="AI64" s="1866"/>
    </row>
    <row r="65" spans="1:35" ht="18" customHeight="1">
      <c r="A65" s="2064" t="s">
        <v>511</v>
      </c>
      <c r="B65" s="2064"/>
      <c r="C65" s="2064"/>
      <c r="D65" s="2064"/>
      <c r="E65" s="2064"/>
      <c r="F65" s="2064"/>
      <c r="G65" s="2064"/>
      <c r="H65" s="2064"/>
      <c r="I65" s="2064"/>
      <c r="J65" s="1866"/>
      <c r="K65" s="1866"/>
      <c r="L65" s="1866"/>
      <c r="M65" s="1866"/>
      <c r="N65" s="1866"/>
      <c r="O65" s="1866"/>
      <c r="P65" s="1866"/>
      <c r="Q65" s="1866"/>
      <c r="R65" s="1866"/>
      <c r="S65" s="1866"/>
      <c r="T65" s="1866"/>
      <c r="U65" s="1866"/>
      <c r="V65" s="1866"/>
      <c r="W65" s="1866"/>
      <c r="X65" s="1866"/>
      <c r="Y65" s="1866"/>
      <c r="Z65" s="1866"/>
      <c r="AA65" s="1866"/>
      <c r="AB65" s="1866"/>
      <c r="AC65" s="1866"/>
      <c r="AD65" s="1866"/>
      <c r="AE65" s="1866"/>
      <c r="AF65" s="1866"/>
      <c r="AG65" s="1866"/>
      <c r="AH65" s="1866"/>
      <c r="AI65" s="1866"/>
    </row>
    <row r="66" spans="1:35" ht="18" customHeight="1">
      <c r="A66" s="1646" t="s">
        <v>512</v>
      </c>
      <c r="B66" s="1866"/>
      <c r="C66" s="1646"/>
      <c r="D66" s="1646"/>
      <c r="E66" s="1646"/>
      <c r="F66" s="1646"/>
      <c r="G66" s="2064" t="s">
        <v>513</v>
      </c>
      <c r="H66" s="2064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6"/>
    </row>
    <row r="67" spans="1:35" ht="18" customHeight="1">
      <c r="A67" s="1646" t="s">
        <v>514</v>
      </c>
      <c r="B67" s="1866"/>
      <c r="C67" s="1646"/>
      <c r="D67" s="1646"/>
      <c r="E67" s="1646"/>
      <c r="F67" s="1646"/>
      <c r="G67" s="2064" t="s">
        <v>510</v>
      </c>
      <c r="H67" s="2064"/>
      <c r="I67" s="1646"/>
      <c r="J67" s="1646"/>
      <c r="K67" s="1646"/>
      <c r="L67" s="1646"/>
      <c r="M67" s="1646"/>
      <c r="N67" s="1646"/>
      <c r="O67" s="1646"/>
      <c r="P67" s="1646"/>
      <c r="Q67" s="1646"/>
      <c r="R67" s="1646"/>
      <c r="S67" s="1646"/>
      <c r="T67" s="1646"/>
      <c r="U67" s="1646"/>
      <c r="V67" s="1646"/>
      <c r="W67" s="1646"/>
      <c r="X67" s="1646"/>
      <c r="Y67" s="1646"/>
      <c r="Z67" s="1646"/>
      <c r="AA67" s="1646"/>
      <c r="AB67" s="1646"/>
      <c r="AC67" s="1646"/>
      <c r="AD67" s="1646"/>
      <c r="AE67" s="1646"/>
      <c r="AF67" s="1646"/>
      <c r="AG67" s="1646"/>
      <c r="AH67" s="1646"/>
      <c r="AI67" s="1646"/>
    </row>
    <row r="68" spans="1:35" ht="18" customHeight="1">
      <c r="A68" s="1646" t="s">
        <v>515</v>
      </c>
      <c r="B68" s="1866"/>
      <c r="C68" s="1646"/>
      <c r="D68" s="1646"/>
      <c r="E68" s="1646"/>
      <c r="F68" s="1646"/>
      <c r="G68" s="2064" t="s">
        <v>516</v>
      </c>
      <c r="H68" s="2064"/>
      <c r="I68" s="1646"/>
      <c r="J68" s="1646"/>
      <c r="K68" s="1646"/>
      <c r="L68" s="1646"/>
      <c r="M68" s="1646"/>
      <c r="N68" s="1646"/>
      <c r="O68" s="1646"/>
      <c r="P68" s="1646"/>
      <c r="Q68" s="1646"/>
      <c r="R68" s="1646"/>
      <c r="S68" s="1646"/>
      <c r="T68" s="1646"/>
      <c r="U68" s="1646"/>
      <c r="V68" s="1646"/>
      <c r="W68" s="1646"/>
      <c r="X68" s="1646"/>
      <c r="Y68" s="1646"/>
      <c r="Z68" s="1646"/>
      <c r="AA68" s="1646"/>
      <c r="AB68" s="1646"/>
      <c r="AC68" s="1646"/>
      <c r="AD68" s="1646"/>
      <c r="AE68" s="1646"/>
      <c r="AF68" s="1646"/>
      <c r="AG68" s="1646"/>
      <c r="AH68" s="1646"/>
      <c r="AI68" s="1646"/>
    </row>
  </sheetData>
  <mergeCells count="17">
    <mergeCell ref="A2:I2"/>
    <mergeCell ref="H6:I6"/>
    <mergeCell ref="I10:I11"/>
    <mergeCell ref="A12:A13"/>
    <mergeCell ref="B12:E13"/>
    <mergeCell ref="F12:F13"/>
    <mergeCell ref="G12:G13"/>
    <mergeCell ref="H12:H13"/>
    <mergeCell ref="I12:I13"/>
    <mergeCell ref="G67:H67"/>
    <mergeCell ref="G68:H68"/>
    <mergeCell ref="B14:D14"/>
    <mergeCell ref="C34:D34"/>
    <mergeCell ref="A63:I63"/>
    <mergeCell ref="A64:I64"/>
    <mergeCell ref="A65:I65"/>
    <mergeCell ref="G66:H66"/>
  </mergeCells>
  <pageMargins left="0.47244094488188981" right="0.23622047244094491" top="0.23622047244094491" bottom="0.15748031496062992" header="0.15748031496062992" footer="0.15748031496062992"/>
  <pageSetup paperSize="9" scale="9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showGridLines="0" view="pageBreakPreview" zoomScaleNormal="90" zoomScaleSheetLayoutView="100" workbookViewId="0">
      <selection activeCell="H24" sqref="H24"/>
    </sheetView>
  </sheetViews>
  <sheetFormatPr defaultRowHeight="24"/>
  <cols>
    <col min="1" max="1" width="12.5703125" style="1579" customWidth="1"/>
    <col min="2" max="2" width="11.28515625" style="1579" customWidth="1"/>
    <col min="3" max="3" width="16.28515625" style="1579" customWidth="1"/>
    <col min="4" max="4" width="3.5703125" style="1579" customWidth="1"/>
    <col min="5" max="5" width="32.5703125" style="1579" customWidth="1"/>
    <col min="6" max="6" width="23.140625" style="1579" customWidth="1"/>
    <col min="7" max="7" width="16.140625" style="1579" customWidth="1"/>
    <col min="8" max="8" width="27.5703125" style="1579" customWidth="1"/>
    <col min="9" max="9" width="22.7109375" style="1579" customWidth="1"/>
    <col min="10" max="16384" width="9.140625" style="1579"/>
  </cols>
  <sheetData>
    <row r="1" spans="1:9">
      <c r="A1" s="1781"/>
      <c r="B1" s="1781"/>
      <c r="C1" s="1781"/>
      <c r="D1" s="1781"/>
      <c r="E1" s="1781"/>
      <c r="F1" s="1781"/>
      <c r="G1" s="1781"/>
      <c r="H1" s="1761" t="s">
        <v>483</v>
      </c>
      <c r="I1" s="1762" t="s">
        <v>489</v>
      </c>
    </row>
    <row r="2" spans="1:9">
      <c r="A2" s="1943" t="s">
        <v>46</v>
      </c>
      <c r="B2" s="1943"/>
      <c r="C2" s="1943"/>
      <c r="D2" s="1943"/>
      <c r="E2" s="1943"/>
      <c r="F2" s="1943"/>
      <c r="G2" s="1943"/>
      <c r="H2" s="1943"/>
      <c r="I2" s="1943"/>
    </row>
    <row r="3" spans="1:9">
      <c r="A3" s="1722" t="s">
        <v>47</v>
      </c>
      <c r="B3" s="1722"/>
      <c r="C3" s="1749"/>
      <c r="D3" s="1749"/>
      <c r="E3" s="1749"/>
      <c r="F3" s="1749"/>
      <c r="G3" s="1749"/>
      <c r="H3" s="1831"/>
      <c r="I3" s="1831"/>
    </row>
    <row r="4" spans="1:9">
      <c r="A4" s="1641" t="s">
        <v>4</v>
      </c>
      <c r="B4" s="1641"/>
      <c r="C4" s="1749" t="s">
        <v>484</v>
      </c>
      <c r="D4" s="1749"/>
      <c r="E4" s="1641"/>
      <c r="F4" s="1641"/>
      <c r="G4" s="1641"/>
      <c r="H4" s="1767"/>
      <c r="I4" s="1768" t="s">
        <v>490</v>
      </c>
    </row>
    <row r="5" spans="1:9">
      <c r="A5" s="1641" t="s">
        <v>5</v>
      </c>
      <c r="B5" s="1641"/>
      <c r="C5" s="1641" t="s">
        <v>478</v>
      </c>
      <c r="D5" s="1751"/>
      <c r="E5" s="1641"/>
      <c r="F5" s="1641"/>
      <c r="G5" s="1641"/>
      <c r="H5" s="2068"/>
      <c r="I5" s="2068"/>
    </row>
    <row r="6" spans="1:9">
      <c r="A6" s="1641" t="s">
        <v>6</v>
      </c>
      <c r="B6" s="1641"/>
      <c r="C6" s="1641"/>
      <c r="D6" s="1641" t="s">
        <v>476</v>
      </c>
      <c r="E6" s="1834"/>
      <c r="F6" s="1834"/>
      <c r="G6" s="1834"/>
      <c r="H6" s="1755"/>
      <c r="I6" s="1755"/>
    </row>
    <row r="7" spans="1:9">
      <c r="A7" s="1641" t="s">
        <v>48</v>
      </c>
      <c r="B7" s="1641"/>
      <c r="C7" s="1641"/>
      <c r="D7" s="1754" t="s">
        <v>479</v>
      </c>
      <c r="E7" s="1754"/>
      <c r="F7" s="1754"/>
      <c r="G7" s="1754"/>
      <c r="H7" s="1755"/>
      <c r="I7" s="1755"/>
    </row>
    <row r="8" spans="1:9">
      <c r="A8" s="1641" t="s">
        <v>49</v>
      </c>
      <c r="B8" s="1641"/>
      <c r="C8" s="1751"/>
      <c r="D8" s="1835" t="s">
        <v>50</v>
      </c>
      <c r="E8" s="1835"/>
      <c r="F8" s="1835"/>
      <c r="G8" s="1835"/>
      <c r="H8" s="1755"/>
      <c r="I8" s="1755"/>
    </row>
    <row r="9" spans="1:9">
      <c r="A9" s="1641" t="s">
        <v>455</v>
      </c>
      <c r="B9" s="1641"/>
      <c r="C9" s="1777"/>
      <c r="D9" s="1777" t="s">
        <v>486</v>
      </c>
      <c r="E9" s="1751"/>
      <c r="F9" s="1751"/>
      <c r="G9" s="1751"/>
      <c r="H9" s="1755"/>
      <c r="I9" s="2062" t="s">
        <v>504</v>
      </c>
    </row>
    <row r="10" spans="1:9" ht="8.25" customHeight="1" thickBot="1">
      <c r="A10" s="1570"/>
      <c r="B10" s="1570"/>
      <c r="C10" s="1780"/>
      <c r="D10" s="1781"/>
      <c r="E10" s="1781"/>
      <c r="F10" s="1781"/>
      <c r="G10" s="1781"/>
      <c r="H10" s="1836"/>
      <c r="I10" s="2063"/>
    </row>
    <row r="11" spans="1:9" ht="24.75" thickTop="1">
      <c r="A11" s="1945" t="s">
        <v>9</v>
      </c>
      <c r="B11" s="1947" t="s">
        <v>10</v>
      </c>
      <c r="C11" s="1948"/>
      <c r="D11" s="1948"/>
      <c r="E11" s="1949"/>
      <c r="F11" s="1945" t="s">
        <v>51</v>
      </c>
      <c r="G11" s="1873" t="s">
        <v>52</v>
      </c>
      <c r="H11" s="1953" t="s">
        <v>12</v>
      </c>
      <c r="I11" s="1953" t="s">
        <v>13</v>
      </c>
    </row>
    <row r="12" spans="1:9" ht="24.75" thickBot="1">
      <c r="A12" s="1946"/>
      <c r="B12" s="1950"/>
      <c r="C12" s="1951"/>
      <c r="D12" s="1951"/>
      <c r="E12" s="1952"/>
      <c r="F12" s="1946"/>
      <c r="G12" s="1584" t="s">
        <v>53</v>
      </c>
      <c r="H12" s="1954"/>
      <c r="I12" s="1954"/>
    </row>
    <row r="13" spans="1:9" ht="24.75" thickTop="1">
      <c r="A13" s="1640" t="s">
        <v>54</v>
      </c>
      <c r="B13" s="1722" t="s">
        <v>55</v>
      </c>
      <c r="C13" s="1722"/>
      <c r="D13" s="1646"/>
      <c r="E13" s="1874"/>
      <c r="F13" s="1875"/>
      <c r="G13" s="1874"/>
      <c r="H13" s="1792"/>
      <c r="I13" s="1793"/>
    </row>
    <row r="14" spans="1:9">
      <c r="A14" s="1785"/>
      <c r="B14" s="1876" t="s">
        <v>517</v>
      </c>
      <c r="C14" s="1641" t="s">
        <v>518</v>
      </c>
      <c r="D14" s="1641"/>
      <c r="E14" s="1749"/>
      <c r="F14" s="1788"/>
      <c r="G14" s="1877">
        <v>7.0000000000000007E-2</v>
      </c>
      <c r="H14" s="1792"/>
      <c r="I14" s="1793"/>
    </row>
    <row r="15" spans="1:9">
      <c r="A15" s="1785"/>
      <c r="B15" s="1876" t="s">
        <v>517</v>
      </c>
      <c r="C15" s="1878" t="s">
        <v>519</v>
      </c>
      <c r="D15" s="1813"/>
      <c r="E15" s="1787"/>
      <c r="F15" s="1792"/>
      <c r="G15" s="1877">
        <v>7.0000000000000007E-2</v>
      </c>
      <c r="H15" s="1792"/>
      <c r="I15" s="1793"/>
    </row>
    <row r="16" spans="1:9">
      <c r="A16" s="1785"/>
      <c r="B16" s="1876" t="s">
        <v>517</v>
      </c>
      <c r="C16" s="1878" t="s">
        <v>91</v>
      </c>
      <c r="D16" s="1751"/>
      <c r="E16" s="1787"/>
      <c r="F16" s="1601"/>
      <c r="G16" s="1877">
        <v>7.0000000000000007E-2</v>
      </c>
      <c r="H16" s="1792"/>
      <c r="I16" s="1793"/>
    </row>
    <row r="17" spans="1:9">
      <c r="A17" s="1640"/>
      <c r="B17" s="1876" t="s">
        <v>517</v>
      </c>
      <c r="C17" s="1641" t="s">
        <v>89</v>
      </c>
      <c r="D17" s="1722"/>
      <c r="E17" s="1722"/>
      <c r="F17" s="1601"/>
      <c r="G17" s="1877">
        <v>7.0000000000000007E-2</v>
      </c>
      <c r="H17" s="1792"/>
      <c r="I17" s="1793"/>
    </row>
    <row r="18" spans="1:9">
      <c r="A18" s="1640"/>
      <c r="B18" s="1876" t="s">
        <v>517</v>
      </c>
      <c r="C18" s="1641" t="s">
        <v>2470</v>
      </c>
      <c r="D18" s="1722"/>
      <c r="E18" s="1722"/>
      <c r="F18" s="1601"/>
      <c r="G18" s="1877">
        <v>7.0000000000000007E-2</v>
      </c>
      <c r="H18" s="1792"/>
      <c r="I18" s="1793"/>
    </row>
    <row r="19" spans="1:9">
      <c r="A19" s="1640"/>
      <c r="B19" s="1749"/>
      <c r="C19" s="1641"/>
      <c r="D19" s="1641"/>
      <c r="E19" s="1722"/>
      <c r="F19" s="1855"/>
      <c r="G19" s="1804"/>
      <c r="H19" s="1792"/>
      <c r="I19" s="1793"/>
    </row>
    <row r="20" spans="1:9">
      <c r="A20" s="1785"/>
      <c r="B20" s="1879"/>
      <c r="C20" s="1641"/>
      <c r="D20" s="1641"/>
      <c r="E20" s="1801"/>
      <c r="F20" s="1880"/>
      <c r="G20" s="1801"/>
      <c r="H20" s="1792"/>
      <c r="I20" s="1811"/>
    </row>
    <row r="21" spans="1:9">
      <c r="A21" s="1785"/>
      <c r="B21" s="1879"/>
      <c r="C21" s="1641"/>
      <c r="D21" s="1641"/>
      <c r="E21" s="1801"/>
      <c r="F21" s="1880"/>
      <c r="G21" s="1801"/>
      <c r="H21" s="1792"/>
      <c r="I21" s="1811"/>
    </row>
    <row r="22" spans="1:9">
      <c r="A22" s="1855"/>
      <c r="B22" s="1722"/>
      <c r="C22" s="1722"/>
      <c r="D22" s="1641"/>
      <c r="E22" s="1801"/>
      <c r="F22" s="1881"/>
      <c r="G22" s="1856"/>
      <c r="H22" s="1793"/>
      <c r="I22" s="1793"/>
    </row>
    <row r="23" spans="1:9" ht="24.75" thickBot="1">
      <c r="A23" s="1882"/>
      <c r="B23" s="1813"/>
      <c r="C23" s="1813"/>
      <c r="D23" s="1883"/>
      <c r="E23" s="1883"/>
      <c r="F23" s="1884"/>
      <c r="G23" s="1885"/>
      <c r="H23" s="1886"/>
      <c r="I23" s="1886"/>
    </row>
    <row r="24" spans="1:9" ht="25.5" thickTop="1" thickBot="1">
      <c r="A24" s="1887"/>
      <c r="B24" s="1888"/>
      <c r="C24" s="1948"/>
      <c r="D24" s="1948"/>
      <c r="E24" s="1889"/>
      <c r="F24" s="2079" t="s">
        <v>24</v>
      </c>
      <c r="G24" s="2080"/>
      <c r="H24" s="1890"/>
      <c r="I24" s="1891"/>
    </row>
    <row r="25" spans="1:9" ht="24.75" thickTop="1">
      <c r="A25" s="1866"/>
      <c r="B25" s="1646"/>
      <c r="C25" s="1646"/>
      <c r="D25" s="1866"/>
      <c r="E25" s="1866"/>
      <c r="F25" s="1866"/>
      <c r="G25" s="1866"/>
      <c r="H25" s="1790"/>
      <c r="I25" s="1790"/>
    </row>
  </sheetData>
  <mergeCells count="10">
    <mergeCell ref="C24:D24"/>
    <mergeCell ref="F24:G24"/>
    <mergeCell ref="A2:I2"/>
    <mergeCell ref="H5:I5"/>
    <mergeCell ref="I9:I10"/>
    <mergeCell ref="A11:A12"/>
    <mergeCell ref="B11:E12"/>
    <mergeCell ref="F11:F12"/>
    <mergeCell ref="H11:H12"/>
    <mergeCell ref="I11:I12"/>
  </mergeCells>
  <pageMargins left="0.70866141732283472" right="0.1574803149606299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79"/>
  <sheetViews>
    <sheetView showGridLines="0" view="pageBreakPreview" topLeftCell="C192" zoomScaleNormal="80" zoomScaleSheetLayoutView="100" workbookViewId="0">
      <selection activeCell="E233" sqref="E233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7.28515625" style="361" customWidth="1"/>
    <col min="5" max="5" width="11.42578125" style="367" customWidth="1"/>
    <col min="6" max="6" width="8.85546875" style="361" customWidth="1"/>
    <col min="7" max="7" width="15.7109375" style="367" customWidth="1"/>
    <col min="8" max="8" width="17.42578125" style="367" customWidth="1"/>
    <col min="9" max="9" width="13.7109375" style="367" customWidth="1"/>
    <col min="10" max="10" width="15.7109375" style="367" customWidth="1"/>
    <col min="11" max="11" width="17.42578125" style="367" customWidth="1"/>
    <col min="12" max="12" width="12.140625" style="361" customWidth="1"/>
    <col min="13" max="13" width="9.140625" style="361"/>
    <col min="14" max="14" width="17" style="361" customWidth="1"/>
    <col min="15" max="16384" width="9.140625" style="361"/>
  </cols>
  <sheetData>
    <row r="1" spans="1:12" ht="26.25">
      <c r="E1" s="366" t="s">
        <v>62</v>
      </c>
      <c r="J1" s="368" t="s">
        <v>30</v>
      </c>
    </row>
    <row r="2" spans="1:12">
      <c r="A2" s="36" t="s">
        <v>43</v>
      </c>
      <c r="B2" s="369"/>
      <c r="C2" s="38"/>
      <c r="D2" s="38" t="s">
        <v>520</v>
      </c>
      <c r="E2" s="370"/>
      <c r="F2" s="38"/>
      <c r="G2" s="370"/>
      <c r="H2" s="370"/>
      <c r="I2" s="371"/>
      <c r="J2" s="372"/>
      <c r="K2" s="372"/>
      <c r="L2" s="373"/>
    </row>
    <row r="3" spans="1:12">
      <c r="A3" s="41" t="s">
        <v>521</v>
      </c>
      <c r="B3" s="374"/>
      <c r="C3" s="43"/>
      <c r="D3" s="43"/>
      <c r="E3" s="375"/>
      <c r="F3" s="43"/>
      <c r="G3" s="375"/>
      <c r="H3" s="375"/>
      <c r="I3" s="375"/>
      <c r="J3" s="376"/>
      <c r="K3" s="377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G4" s="361"/>
      <c r="H4" s="47"/>
      <c r="I4" s="43"/>
      <c r="J4" s="364"/>
      <c r="K4" s="2110"/>
      <c r="L4" s="211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8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380" t="s">
        <v>32</v>
      </c>
      <c r="H6" s="381">
        <v>15</v>
      </c>
      <c r="I6" s="382" t="s">
        <v>33</v>
      </c>
      <c r="J6" s="383" t="s">
        <v>525</v>
      </c>
      <c r="K6" s="384" t="s">
        <v>526</v>
      </c>
      <c r="L6" s="2112" t="s">
        <v>45</v>
      </c>
    </row>
    <row r="7" spans="1:12" ht="10.5" customHeight="1" thickBot="1">
      <c r="A7" s="31"/>
      <c r="B7" s="32"/>
      <c r="C7" s="33"/>
      <c r="D7" s="33"/>
      <c r="E7" s="385"/>
      <c r="F7" s="33"/>
      <c r="G7" s="386"/>
      <c r="H7" s="386"/>
      <c r="I7" s="386"/>
      <c r="J7" s="387"/>
      <c r="K7" s="386"/>
      <c r="L7" s="2113"/>
    </row>
    <row r="8" spans="1:12" ht="26.25" customHeight="1" thickTop="1">
      <c r="A8" s="1984" t="s">
        <v>9</v>
      </c>
      <c r="B8" s="1986" t="s">
        <v>10</v>
      </c>
      <c r="C8" s="1987"/>
      <c r="D8" s="1988"/>
      <c r="E8" s="2114" t="s">
        <v>34</v>
      </c>
      <c r="F8" s="1984" t="s">
        <v>35</v>
      </c>
      <c r="G8" s="2116" t="s">
        <v>36</v>
      </c>
      <c r="H8" s="2117"/>
      <c r="I8" s="2116" t="s">
        <v>37</v>
      </c>
      <c r="J8" s="2117"/>
      <c r="K8" s="388" t="s">
        <v>38</v>
      </c>
      <c r="L8" s="1992" t="s">
        <v>13</v>
      </c>
    </row>
    <row r="9" spans="1:12" ht="26.25" customHeight="1" thickBot="1">
      <c r="A9" s="1985"/>
      <c r="B9" s="1989"/>
      <c r="C9" s="1990"/>
      <c r="D9" s="1991"/>
      <c r="E9" s="2115"/>
      <c r="F9" s="1985"/>
      <c r="G9" s="389" t="s">
        <v>39</v>
      </c>
      <c r="H9" s="390" t="s">
        <v>40</v>
      </c>
      <c r="I9" s="389" t="s">
        <v>39</v>
      </c>
      <c r="J9" s="390" t="s">
        <v>40</v>
      </c>
      <c r="K9" s="391" t="s">
        <v>41</v>
      </c>
      <c r="L9" s="1993"/>
    </row>
    <row r="10" spans="1:12" ht="24.75" thickTop="1">
      <c r="A10" s="392">
        <v>1</v>
      </c>
      <c r="B10" s="2118" t="s">
        <v>527</v>
      </c>
      <c r="C10" s="2119"/>
      <c r="D10" s="2120"/>
      <c r="E10" s="393"/>
      <c r="F10" s="394"/>
      <c r="G10" s="395"/>
      <c r="H10" s="396"/>
      <c r="I10" s="395"/>
      <c r="J10" s="396"/>
      <c r="K10" s="397"/>
      <c r="L10" s="398"/>
    </row>
    <row r="11" spans="1:12" ht="24">
      <c r="A11" s="399"/>
      <c r="B11" s="400" t="s">
        <v>528</v>
      </c>
      <c r="C11" s="401"/>
      <c r="D11" s="401"/>
      <c r="E11" s="402"/>
      <c r="F11" s="403"/>
      <c r="G11" s="404"/>
      <c r="H11" s="405"/>
      <c r="I11" s="404"/>
      <c r="J11" s="405"/>
      <c r="K11" s="402"/>
      <c r="L11" s="406"/>
    </row>
    <row r="12" spans="1:12" ht="24">
      <c r="A12" s="442" t="s">
        <v>2451</v>
      </c>
      <c r="B12" s="408" t="s">
        <v>529</v>
      </c>
      <c r="C12" s="408"/>
      <c r="D12" s="409"/>
      <c r="E12" s="410">
        <v>1</v>
      </c>
      <c r="F12" s="411" t="s">
        <v>10</v>
      </c>
      <c r="G12" s="395"/>
      <c r="H12" s="412"/>
      <c r="I12" s="413"/>
      <c r="J12" s="412"/>
      <c r="K12" s="414"/>
      <c r="L12" s="415"/>
    </row>
    <row r="13" spans="1:12" ht="24">
      <c r="A13" s="416">
        <v>1.2000000000000002</v>
      </c>
      <c r="B13" s="408" t="s">
        <v>530</v>
      </c>
      <c r="C13" s="408"/>
      <c r="D13" s="417"/>
      <c r="E13" s="410">
        <v>1</v>
      </c>
      <c r="F13" s="411" t="s">
        <v>10</v>
      </c>
      <c r="G13" s="395"/>
      <c r="H13" s="412"/>
      <c r="I13" s="413"/>
      <c r="J13" s="412"/>
      <c r="K13" s="414"/>
      <c r="L13" s="415"/>
    </row>
    <row r="14" spans="1:12" ht="24">
      <c r="A14" s="416">
        <v>1.3000000000000003</v>
      </c>
      <c r="B14" s="408" t="s">
        <v>531</v>
      </c>
      <c r="C14" s="408"/>
      <c r="D14" s="418"/>
      <c r="E14" s="410">
        <v>1</v>
      </c>
      <c r="F14" s="411" t="s">
        <v>10</v>
      </c>
      <c r="G14" s="404"/>
      <c r="H14" s="419"/>
      <c r="I14" s="420"/>
      <c r="J14" s="419"/>
      <c r="K14" s="414"/>
      <c r="L14" s="406"/>
    </row>
    <row r="15" spans="1:12" ht="24">
      <c r="A15" s="416">
        <v>1.4000000000000004</v>
      </c>
      <c r="B15" s="421" t="s">
        <v>532</v>
      </c>
      <c r="C15" s="421"/>
      <c r="D15" s="418"/>
      <c r="E15" s="410">
        <v>1</v>
      </c>
      <c r="F15" s="411" t="s">
        <v>10</v>
      </c>
      <c r="G15" s="404"/>
      <c r="H15" s="419"/>
      <c r="I15" s="420"/>
      <c r="J15" s="419"/>
      <c r="K15" s="414"/>
      <c r="L15" s="406"/>
    </row>
    <row r="16" spans="1:12" ht="24">
      <c r="A16" s="416">
        <v>1.5</v>
      </c>
      <c r="B16" s="408" t="s">
        <v>533</v>
      </c>
      <c r="C16" s="408"/>
      <c r="D16" s="418"/>
      <c r="E16" s="410">
        <v>1</v>
      </c>
      <c r="F16" s="411" t="s">
        <v>10</v>
      </c>
      <c r="G16" s="404"/>
      <c r="H16" s="419"/>
      <c r="I16" s="420"/>
      <c r="J16" s="419"/>
      <c r="K16" s="414"/>
      <c r="L16" s="406"/>
    </row>
    <row r="17" spans="1:12" ht="24">
      <c r="A17" s="416">
        <v>1.6</v>
      </c>
      <c r="B17" s="408" t="s">
        <v>534</v>
      </c>
      <c r="C17" s="408"/>
      <c r="D17" s="418"/>
      <c r="E17" s="410">
        <v>1</v>
      </c>
      <c r="F17" s="411" t="s">
        <v>10</v>
      </c>
      <c r="G17" s="404"/>
      <c r="H17" s="405"/>
      <c r="I17" s="404"/>
      <c r="J17" s="405"/>
      <c r="K17" s="414"/>
      <c r="L17" s="406"/>
    </row>
    <row r="18" spans="1:12" ht="24">
      <c r="A18" s="422">
        <v>1.7</v>
      </c>
      <c r="B18" s="408" t="s">
        <v>535</v>
      </c>
      <c r="C18" s="408"/>
      <c r="D18" s="418"/>
      <c r="E18" s="410">
        <v>1</v>
      </c>
      <c r="F18" s="411" t="s">
        <v>10</v>
      </c>
      <c r="G18" s="404"/>
      <c r="H18" s="405"/>
      <c r="I18" s="404"/>
      <c r="J18" s="405"/>
      <c r="K18" s="414"/>
      <c r="L18" s="406"/>
    </row>
    <row r="19" spans="1:12" ht="24">
      <c r="A19" s="422">
        <v>1.8</v>
      </c>
      <c r="B19" s="408" t="s">
        <v>536</v>
      </c>
      <c r="C19" s="408"/>
      <c r="D19" s="418"/>
      <c r="E19" s="410">
        <v>1</v>
      </c>
      <c r="F19" s="411" t="s">
        <v>10</v>
      </c>
      <c r="G19" s="404"/>
      <c r="H19" s="405"/>
      <c r="I19" s="404"/>
      <c r="J19" s="405"/>
      <c r="K19" s="414"/>
      <c r="L19" s="406"/>
    </row>
    <row r="20" spans="1:12" ht="24">
      <c r="A20" s="422">
        <v>1.9</v>
      </c>
      <c r="B20" s="408" t="s">
        <v>537</v>
      </c>
      <c r="C20" s="408"/>
      <c r="D20" s="418"/>
      <c r="E20" s="410">
        <v>1</v>
      </c>
      <c r="F20" s="411" t="s">
        <v>10</v>
      </c>
      <c r="G20" s="404"/>
      <c r="H20" s="405"/>
      <c r="I20" s="404"/>
      <c r="J20" s="405"/>
      <c r="K20" s="414"/>
      <c r="L20" s="406"/>
    </row>
    <row r="21" spans="1:12" ht="24">
      <c r="A21" s="423">
        <v>1.1000000000000001</v>
      </c>
      <c r="B21" s="408" t="s">
        <v>538</v>
      </c>
      <c r="C21" s="408"/>
      <c r="D21" s="418"/>
      <c r="E21" s="410">
        <v>1</v>
      </c>
      <c r="F21" s="411" t="s">
        <v>10</v>
      </c>
      <c r="G21" s="404"/>
      <c r="H21" s="405"/>
      <c r="I21" s="404"/>
      <c r="J21" s="405"/>
      <c r="K21" s="414"/>
      <c r="L21" s="406"/>
    </row>
    <row r="22" spans="1:12" ht="24">
      <c r="A22" s="423">
        <v>1.1100000000000001</v>
      </c>
      <c r="B22" s="408" t="s">
        <v>539</v>
      </c>
      <c r="C22" s="408"/>
      <c r="D22" s="418"/>
      <c r="E22" s="410">
        <v>1</v>
      </c>
      <c r="F22" s="411" t="s">
        <v>10</v>
      </c>
      <c r="G22" s="404"/>
      <c r="H22" s="405"/>
      <c r="I22" s="404"/>
      <c r="J22" s="405"/>
      <c r="K22" s="414"/>
      <c r="L22" s="406"/>
    </row>
    <row r="23" spans="1:12" ht="24">
      <c r="A23" s="424"/>
      <c r="B23" s="425"/>
      <c r="C23" s="408"/>
      <c r="D23" s="418"/>
      <c r="E23" s="402"/>
      <c r="F23" s="403"/>
      <c r="G23" s="404"/>
      <c r="H23" s="405"/>
      <c r="I23" s="404"/>
      <c r="J23" s="405"/>
      <c r="K23" s="402"/>
      <c r="L23" s="406"/>
    </row>
    <row r="24" spans="1:12" ht="24">
      <c r="A24" s="424"/>
      <c r="B24" s="425"/>
      <c r="C24" s="408"/>
      <c r="D24" s="418"/>
      <c r="E24" s="402"/>
      <c r="F24" s="403"/>
      <c r="G24" s="404"/>
      <c r="H24" s="405"/>
      <c r="I24" s="404"/>
      <c r="J24" s="405"/>
      <c r="K24" s="402"/>
      <c r="L24" s="406"/>
    </row>
    <row r="25" spans="1:12" ht="24">
      <c r="A25" s="426"/>
      <c r="B25" s="425"/>
      <c r="C25" s="408"/>
      <c r="D25" s="418"/>
      <c r="E25" s="402"/>
      <c r="F25" s="403"/>
      <c r="G25" s="404"/>
      <c r="H25" s="405"/>
      <c r="I25" s="404"/>
      <c r="J25" s="405"/>
      <c r="K25" s="402"/>
      <c r="L25" s="406"/>
    </row>
    <row r="26" spans="1:12" ht="24">
      <c r="A26" s="426"/>
      <c r="B26" s="425"/>
      <c r="C26" s="408"/>
      <c r="D26" s="418"/>
      <c r="E26" s="402"/>
      <c r="F26" s="403"/>
      <c r="G26" s="404"/>
      <c r="H26" s="405"/>
      <c r="I26" s="404"/>
      <c r="J26" s="405"/>
      <c r="K26" s="402"/>
      <c r="L26" s="406"/>
    </row>
    <row r="27" spans="1:12" ht="24">
      <c r="A27" s="426"/>
      <c r="B27" s="425"/>
      <c r="C27" s="408"/>
      <c r="D27" s="418"/>
      <c r="E27" s="402"/>
      <c r="F27" s="403"/>
      <c r="G27" s="404"/>
      <c r="H27" s="405"/>
      <c r="I27" s="404"/>
      <c r="J27" s="405"/>
      <c r="K27" s="402"/>
      <c r="L27" s="406"/>
    </row>
    <row r="28" spans="1:12" ht="24">
      <c r="A28" s="426"/>
      <c r="B28" s="425"/>
      <c r="C28" s="408"/>
      <c r="D28" s="418"/>
      <c r="E28" s="402"/>
      <c r="F28" s="403"/>
      <c r="G28" s="404"/>
      <c r="H28" s="405"/>
      <c r="I28" s="404"/>
      <c r="J28" s="405"/>
      <c r="K28" s="402"/>
      <c r="L28" s="406"/>
    </row>
    <row r="29" spans="1:12" ht="24.75" thickBot="1">
      <c r="A29" s="426"/>
      <c r="B29" s="425"/>
      <c r="C29" s="408"/>
      <c r="D29" s="418"/>
      <c r="E29" s="402"/>
      <c r="F29" s="403"/>
      <c r="G29" s="404"/>
      <c r="H29" s="405"/>
      <c r="I29" s="404"/>
      <c r="J29" s="405"/>
      <c r="K29" s="402"/>
      <c r="L29" s="406"/>
    </row>
    <row r="30" spans="1:12" ht="24.75" thickTop="1">
      <c r="A30" s="427"/>
      <c r="B30" s="2084" t="s">
        <v>69</v>
      </c>
      <c r="C30" s="2085"/>
      <c r="D30" s="2086"/>
      <c r="E30" s="428"/>
      <c r="F30" s="429"/>
      <c r="G30" s="430"/>
      <c r="H30" s="431">
        <f>SUM(H12:H29)</f>
        <v>0</v>
      </c>
      <c r="I30" s="432"/>
      <c r="J30" s="431">
        <f>SUM(J12:J29)</f>
        <v>0</v>
      </c>
      <c r="K30" s="433">
        <f>H30+J30</f>
        <v>0</v>
      </c>
      <c r="L30" s="434"/>
    </row>
    <row r="31" spans="1:12" ht="24">
      <c r="A31" s="435">
        <v>1.1000000000000001</v>
      </c>
      <c r="B31" s="2096" t="s">
        <v>529</v>
      </c>
      <c r="C31" s="2097"/>
      <c r="D31" s="2098"/>
      <c r="E31" s="436"/>
      <c r="F31" s="437"/>
      <c r="G31" s="438"/>
      <c r="H31" s="439"/>
      <c r="I31" s="438"/>
      <c r="J31" s="439"/>
      <c r="K31" s="440"/>
      <c r="L31" s="441"/>
    </row>
    <row r="32" spans="1:12" ht="24">
      <c r="A32" s="442" t="s">
        <v>94</v>
      </c>
      <c r="B32" s="2107" t="s">
        <v>540</v>
      </c>
      <c r="C32" s="2108"/>
      <c r="D32" s="2109"/>
      <c r="E32" s="397"/>
      <c r="F32" s="443" t="s">
        <v>541</v>
      </c>
      <c r="G32" s="395"/>
      <c r="H32" s="419"/>
      <c r="I32" s="395"/>
      <c r="J32" s="419"/>
      <c r="K32" s="444"/>
      <c r="L32" s="445"/>
    </row>
    <row r="33" spans="1:12" ht="24">
      <c r="A33" s="446" t="s">
        <v>97</v>
      </c>
      <c r="B33" s="2107" t="s">
        <v>542</v>
      </c>
      <c r="C33" s="2108"/>
      <c r="D33" s="2109"/>
      <c r="E33" s="397"/>
      <c r="F33" s="443" t="s">
        <v>541</v>
      </c>
      <c r="G33" s="447"/>
      <c r="H33" s="419"/>
      <c r="I33" s="413"/>
      <c r="J33" s="419"/>
      <c r="K33" s="444"/>
      <c r="L33" s="448"/>
    </row>
    <row r="34" spans="1:12" ht="24">
      <c r="A34" s="422" t="s">
        <v>98</v>
      </c>
      <c r="B34" s="2107" t="s">
        <v>543</v>
      </c>
      <c r="C34" s="2108"/>
      <c r="D34" s="2109"/>
      <c r="E34" s="397"/>
      <c r="F34" s="443" t="s">
        <v>541</v>
      </c>
      <c r="G34" s="413"/>
      <c r="H34" s="419"/>
      <c r="I34" s="413"/>
      <c r="J34" s="419"/>
      <c r="K34" s="444"/>
      <c r="L34" s="415"/>
    </row>
    <row r="35" spans="1:12" ht="24">
      <c r="A35" s="422" t="s">
        <v>100</v>
      </c>
      <c r="B35" s="2107" t="s">
        <v>544</v>
      </c>
      <c r="C35" s="2108"/>
      <c r="D35" s="2109"/>
      <c r="E35" s="397"/>
      <c r="F35" s="443" t="s">
        <v>541</v>
      </c>
      <c r="G35" s="413"/>
      <c r="H35" s="419"/>
      <c r="I35" s="413"/>
      <c r="J35" s="419"/>
      <c r="K35" s="444"/>
      <c r="L35" s="415"/>
    </row>
    <row r="36" spans="1:12" ht="24">
      <c r="A36" s="422" t="s">
        <v>106</v>
      </c>
      <c r="B36" s="2093" t="s">
        <v>545</v>
      </c>
      <c r="C36" s="2094"/>
      <c r="D36" s="2095"/>
      <c r="E36" s="397"/>
      <c r="F36" s="443" t="s">
        <v>546</v>
      </c>
      <c r="G36" s="447"/>
      <c r="H36" s="419"/>
      <c r="I36" s="413"/>
      <c r="J36" s="419"/>
      <c r="K36" s="444"/>
      <c r="L36" s="415"/>
    </row>
    <row r="37" spans="1:12" ht="24">
      <c r="A37" s="422" t="s">
        <v>547</v>
      </c>
      <c r="B37" s="2093" t="s">
        <v>548</v>
      </c>
      <c r="C37" s="2094"/>
      <c r="D37" s="2095"/>
      <c r="E37" s="397"/>
      <c r="F37" s="443" t="s">
        <v>546</v>
      </c>
      <c r="G37" s="413"/>
      <c r="H37" s="419"/>
      <c r="I37" s="413"/>
      <c r="J37" s="419"/>
      <c r="K37" s="444"/>
      <c r="L37" s="406"/>
    </row>
    <row r="38" spans="1:12" ht="24">
      <c r="A38" s="422" t="s">
        <v>549</v>
      </c>
      <c r="B38" s="2093" t="s">
        <v>550</v>
      </c>
      <c r="C38" s="2094"/>
      <c r="D38" s="2095"/>
      <c r="E38" s="397"/>
      <c r="F38" s="443" t="s">
        <v>546</v>
      </c>
      <c r="G38" s="413"/>
      <c r="H38" s="419"/>
      <c r="I38" s="413"/>
      <c r="J38" s="419"/>
      <c r="K38" s="444"/>
      <c r="L38" s="406"/>
    </row>
    <row r="39" spans="1:12" ht="24">
      <c r="A39" s="422" t="s">
        <v>551</v>
      </c>
      <c r="B39" s="2093" t="s">
        <v>552</v>
      </c>
      <c r="C39" s="2094"/>
      <c r="D39" s="2095"/>
      <c r="E39" s="397"/>
      <c r="F39" s="443" t="s">
        <v>546</v>
      </c>
      <c r="G39" s="413"/>
      <c r="H39" s="419"/>
      <c r="I39" s="413"/>
      <c r="J39" s="419"/>
      <c r="K39" s="444"/>
      <c r="L39" s="406"/>
    </row>
    <row r="40" spans="1:12" ht="24">
      <c r="A40" s="422" t="s">
        <v>553</v>
      </c>
      <c r="B40" s="2093" t="s">
        <v>554</v>
      </c>
      <c r="C40" s="2094"/>
      <c r="D40" s="2095"/>
      <c r="E40" s="397"/>
      <c r="F40" s="443" t="s">
        <v>546</v>
      </c>
      <c r="G40" s="413"/>
      <c r="H40" s="419"/>
      <c r="I40" s="413"/>
      <c r="J40" s="419"/>
      <c r="K40" s="444"/>
      <c r="L40" s="406"/>
    </row>
    <row r="41" spans="1:12" ht="24">
      <c r="A41" s="422" t="s">
        <v>555</v>
      </c>
      <c r="B41" s="2093" t="s">
        <v>556</v>
      </c>
      <c r="C41" s="2094"/>
      <c r="D41" s="2095"/>
      <c r="E41" s="402"/>
      <c r="F41" s="443" t="s">
        <v>183</v>
      </c>
      <c r="G41" s="413"/>
      <c r="H41" s="419"/>
      <c r="I41" s="413"/>
      <c r="J41" s="419"/>
      <c r="K41" s="444"/>
      <c r="L41" s="406"/>
    </row>
    <row r="42" spans="1:12" ht="24">
      <c r="A42" s="449" t="s">
        <v>557</v>
      </c>
      <c r="B42" s="2093" t="s">
        <v>558</v>
      </c>
      <c r="C42" s="2094"/>
      <c r="D42" s="2095"/>
      <c r="E42" s="397"/>
      <c r="F42" s="443" t="s">
        <v>559</v>
      </c>
      <c r="G42" s="413"/>
      <c r="H42" s="419"/>
      <c r="I42" s="413"/>
      <c r="J42" s="419"/>
      <c r="K42" s="444"/>
      <c r="L42" s="406"/>
    </row>
    <row r="43" spans="1:12" ht="24">
      <c r="A43" s="449" t="s">
        <v>560</v>
      </c>
      <c r="B43" s="2093" t="s">
        <v>561</v>
      </c>
      <c r="C43" s="2094"/>
      <c r="D43" s="2095"/>
      <c r="E43" s="397"/>
      <c r="F43" s="443"/>
      <c r="G43" s="413"/>
      <c r="H43" s="419"/>
      <c r="I43" s="413"/>
      <c r="J43" s="419"/>
      <c r="K43" s="444"/>
      <c r="L43" s="406"/>
    </row>
    <row r="44" spans="1:12" ht="24">
      <c r="A44" s="449"/>
      <c r="B44" s="2093" t="s">
        <v>562</v>
      </c>
      <c r="C44" s="2094"/>
      <c r="D44" s="2095"/>
      <c r="E44" s="402"/>
      <c r="F44" s="443" t="s">
        <v>559</v>
      </c>
      <c r="G44" s="413"/>
      <c r="H44" s="419"/>
      <c r="I44" s="450"/>
      <c r="J44" s="419"/>
      <c r="K44" s="444"/>
      <c r="L44" s="406"/>
    </row>
    <row r="45" spans="1:12" ht="24">
      <c r="A45" s="449"/>
      <c r="B45" s="2093" t="s">
        <v>563</v>
      </c>
      <c r="C45" s="2094"/>
      <c r="D45" s="2095"/>
      <c r="E45" s="402"/>
      <c r="F45" s="443" t="s">
        <v>559</v>
      </c>
      <c r="G45" s="413"/>
      <c r="H45" s="419"/>
      <c r="I45" s="450"/>
      <c r="J45" s="419"/>
      <c r="K45" s="444"/>
      <c r="L45" s="406"/>
    </row>
    <row r="46" spans="1:12" ht="24">
      <c r="A46" s="449"/>
      <c r="B46" s="2093" t="s">
        <v>564</v>
      </c>
      <c r="C46" s="2094"/>
      <c r="D46" s="2095"/>
      <c r="E46" s="402"/>
      <c r="F46" s="443" t="s">
        <v>559</v>
      </c>
      <c r="G46" s="413"/>
      <c r="H46" s="419"/>
      <c r="I46" s="450"/>
      <c r="J46" s="419"/>
      <c r="K46" s="444"/>
      <c r="L46" s="406"/>
    </row>
    <row r="47" spans="1:12" ht="24">
      <c r="A47" s="449"/>
      <c r="B47" s="2093" t="s">
        <v>565</v>
      </c>
      <c r="C47" s="2094"/>
      <c r="D47" s="2095"/>
      <c r="E47" s="402"/>
      <c r="F47" s="443" t="s">
        <v>559</v>
      </c>
      <c r="G47" s="413"/>
      <c r="H47" s="419"/>
      <c r="I47" s="450"/>
      <c r="J47" s="419"/>
      <c r="K47" s="444"/>
      <c r="L47" s="406"/>
    </row>
    <row r="48" spans="1:12" ht="24">
      <c r="A48" s="449"/>
      <c r="B48" s="2093" t="s">
        <v>566</v>
      </c>
      <c r="C48" s="2094"/>
      <c r="D48" s="2095"/>
      <c r="E48" s="402"/>
      <c r="F48" s="443" t="s">
        <v>559</v>
      </c>
      <c r="G48" s="413"/>
      <c r="H48" s="419"/>
      <c r="I48" s="450"/>
      <c r="J48" s="419"/>
      <c r="K48" s="444"/>
      <c r="L48" s="406"/>
    </row>
    <row r="49" spans="1:14" ht="24">
      <c r="A49" s="449"/>
      <c r="B49" s="2093" t="s">
        <v>567</v>
      </c>
      <c r="C49" s="2094"/>
      <c r="D49" s="2095"/>
      <c r="E49" s="402"/>
      <c r="F49" s="443" t="s">
        <v>559</v>
      </c>
      <c r="G49" s="413"/>
      <c r="H49" s="419"/>
      <c r="I49" s="450"/>
      <c r="J49" s="419"/>
      <c r="K49" s="444"/>
      <c r="L49" s="406"/>
      <c r="N49" s="367">
        <f>SUM(E44:E49)</f>
        <v>0</v>
      </c>
    </row>
    <row r="50" spans="1:14" ht="24" customHeight="1">
      <c r="A50" s="449" t="s">
        <v>568</v>
      </c>
      <c r="B50" s="2093" t="s">
        <v>569</v>
      </c>
      <c r="C50" s="2094"/>
      <c r="D50" s="2095"/>
      <c r="E50" s="402"/>
      <c r="F50" s="443" t="s">
        <v>559</v>
      </c>
      <c r="G50" s="413"/>
      <c r="H50" s="419"/>
      <c r="I50" s="413"/>
      <c r="J50" s="419"/>
      <c r="K50" s="444"/>
      <c r="L50" s="406"/>
    </row>
    <row r="51" spans="1:14" ht="14.25" customHeight="1" thickBot="1">
      <c r="A51" s="451"/>
      <c r="B51" s="452"/>
      <c r="C51" s="453"/>
      <c r="D51" s="454"/>
      <c r="E51" s="455"/>
      <c r="F51" s="456"/>
      <c r="G51" s="457"/>
      <c r="H51" s="458"/>
      <c r="I51" s="457"/>
      <c r="J51" s="458"/>
      <c r="K51" s="459"/>
      <c r="L51" s="460"/>
    </row>
    <row r="52" spans="1:14" ht="24" customHeight="1" thickTop="1">
      <c r="A52" s="427"/>
      <c r="B52" s="2084" t="s">
        <v>570</v>
      </c>
      <c r="C52" s="2085"/>
      <c r="D52" s="2086"/>
      <c r="E52" s="428"/>
      <c r="F52" s="429"/>
      <c r="G52" s="461"/>
      <c r="H52" s="431"/>
      <c r="I52" s="432"/>
      <c r="J52" s="431"/>
      <c r="K52" s="431"/>
      <c r="L52" s="434"/>
    </row>
    <row r="53" spans="1:14" ht="24">
      <c r="A53" s="435">
        <v>1.2</v>
      </c>
      <c r="B53" s="462" t="s">
        <v>571</v>
      </c>
      <c r="C53" s="463"/>
      <c r="D53" s="464"/>
      <c r="E53" s="436"/>
      <c r="F53" s="437"/>
      <c r="G53" s="465"/>
      <c r="H53" s="466"/>
      <c r="I53" s="465"/>
      <c r="J53" s="466"/>
      <c r="K53" s="467"/>
      <c r="L53" s="441"/>
    </row>
    <row r="54" spans="1:14" ht="24">
      <c r="A54" s="442" t="s">
        <v>572</v>
      </c>
      <c r="B54" s="2093" t="s">
        <v>573</v>
      </c>
      <c r="C54" s="2094"/>
      <c r="D54" s="2095"/>
      <c r="E54" s="468"/>
      <c r="F54" s="469" t="s">
        <v>546</v>
      </c>
      <c r="G54" s="450"/>
      <c r="H54" s="419"/>
      <c r="I54" s="450"/>
      <c r="J54" s="419"/>
      <c r="K54" s="444"/>
      <c r="L54" s="445"/>
    </row>
    <row r="55" spans="1:14" ht="24">
      <c r="A55" s="446" t="s">
        <v>574</v>
      </c>
      <c r="B55" s="2093" t="s">
        <v>550</v>
      </c>
      <c r="C55" s="2094"/>
      <c r="D55" s="2095"/>
      <c r="E55" s="468"/>
      <c r="F55" s="469" t="s">
        <v>546</v>
      </c>
      <c r="G55" s="413"/>
      <c r="H55" s="419"/>
      <c r="I55" s="450"/>
      <c r="J55" s="419"/>
      <c r="K55" s="444"/>
      <c r="L55" s="448"/>
    </row>
    <row r="56" spans="1:14" ht="24">
      <c r="A56" s="422" t="s">
        <v>575</v>
      </c>
      <c r="B56" s="2104" t="s">
        <v>552</v>
      </c>
      <c r="C56" s="2105"/>
      <c r="D56" s="2106"/>
      <c r="E56" s="397"/>
      <c r="F56" s="443" t="s">
        <v>546</v>
      </c>
      <c r="G56" s="413"/>
      <c r="H56" s="419"/>
      <c r="I56" s="413"/>
      <c r="J56" s="419"/>
      <c r="K56" s="444"/>
      <c r="L56" s="415"/>
    </row>
    <row r="57" spans="1:14" ht="24">
      <c r="A57" s="422" t="s">
        <v>576</v>
      </c>
      <c r="B57" s="2093" t="s">
        <v>554</v>
      </c>
      <c r="C57" s="2094"/>
      <c r="D57" s="2095"/>
      <c r="E57" s="397"/>
      <c r="F57" s="443" t="s">
        <v>546</v>
      </c>
      <c r="G57" s="413"/>
      <c r="H57" s="419"/>
      <c r="I57" s="413"/>
      <c r="J57" s="419"/>
      <c r="K57" s="444"/>
      <c r="L57" s="415"/>
    </row>
    <row r="58" spans="1:14" ht="24">
      <c r="A58" s="422" t="s">
        <v>577</v>
      </c>
      <c r="B58" s="2093" t="s">
        <v>556</v>
      </c>
      <c r="C58" s="2094"/>
      <c r="D58" s="2095"/>
      <c r="E58" s="402"/>
      <c r="F58" s="443" t="s">
        <v>183</v>
      </c>
      <c r="G58" s="470"/>
      <c r="H58" s="419"/>
      <c r="I58" s="413"/>
      <c r="J58" s="419"/>
      <c r="K58" s="444"/>
      <c r="L58" s="415"/>
    </row>
    <row r="59" spans="1:14" ht="24">
      <c r="A59" s="422" t="s">
        <v>578</v>
      </c>
      <c r="B59" s="2093" t="s">
        <v>558</v>
      </c>
      <c r="C59" s="2094"/>
      <c r="D59" s="2095"/>
      <c r="E59" s="397"/>
      <c r="F59" s="443" t="s">
        <v>559</v>
      </c>
      <c r="G59" s="413"/>
      <c r="H59" s="419"/>
      <c r="I59" s="413"/>
      <c r="J59" s="419"/>
      <c r="K59" s="444"/>
      <c r="L59" s="406"/>
    </row>
    <row r="60" spans="1:14" ht="24">
      <c r="A60" s="422" t="s">
        <v>579</v>
      </c>
      <c r="B60" s="2093" t="s">
        <v>561</v>
      </c>
      <c r="C60" s="2094"/>
      <c r="D60" s="2095"/>
      <c r="E60" s="397"/>
      <c r="F60" s="443"/>
      <c r="G60" s="413"/>
      <c r="H60" s="419"/>
      <c r="I60" s="413"/>
      <c r="J60" s="419"/>
      <c r="K60" s="444"/>
      <c r="L60" s="406"/>
    </row>
    <row r="61" spans="1:14" ht="24">
      <c r="A61" s="422"/>
      <c r="B61" s="2093" t="s">
        <v>562</v>
      </c>
      <c r="C61" s="2094"/>
      <c r="D61" s="2095"/>
      <c r="E61" s="402"/>
      <c r="F61" s="443" t="s">
        <v>559</v>
      </c>
      <c r="G61" s="413"/>
      <c r="H61" s="419"/>
      <c r="I61" s="450"/>
      <c r="J61" s="419"/>
      <c r="K61" s="444"/>
      <c r="L61" s="406"/>
    </row>
    <row r="62" spans="1:14" ht="24">
      <c r="A62" s="422"/>
      <c r="B62" s="2093" t="s">
        <v>563</v>
      </c>
      <c r="C62" s="2094"/>
      <c r="D62" s="2095"/>
      <c r="E62" s="402"/>
      <c r="F62" s="443" t="s">
        <v>559</v>
      </c>
      <c r="G62" s="413"/>
      <c r="H62" s="419"/>
      <c r="I62" s="450"/>
      <c r="J62" s="419"/>
      <c r="K62" s="444"/>
      <c r="L62" s="406"/>
    </row>
    <row r="63" spans="1:14" ht="24">
      <c r="A63" s="422"/>
      <c r="B63" s="2093" t="s">
        <v>564</v>
      </c>
      <c r="C63" s="2094"/>
      <c r="D63" s="2095"/>
      <c r="E63" s="402"/>
      <c r="F63" s="443" t="s">
        <v>559</v>
      </c>
      <c r="G63" s="413"/>
      <c r="H63" s="419"/>
      <c r="I63" s="450"/>
      <c r="J63" s="419"/>
      <c r="K63" s="444"/>
      <c r="L63" s="406"/>
    </row>
    <row r="64" spans="1:14" ht="24">
      <c r="A64" s="449"/>
      <c r="B64" s="2093" t="s">
        <v>565</v>
      </c>
      <c r="C64" s="2094"/>
      <c r="D64" s="2095"/>
      <c r="E64" s="402"/>
      <c r="F64" s="443" t="s">
        <v>559</v>
      </c>
      <c r="G64" s="413"/>
      <c r="H64" s="419"/>
      <c r="I64" s="450"/>
      <c r="J64" s="419"/>
      <c r="K64" s="444"/>
      <c r="L64" s="406"/>
    </row>
    <row r="65" spans="1:14" ht="24">
      <c r="A65" s="449"/>
      <c r="B65" s="2093" t="s">
        <v>566</v>
      </c>
      <c r="C65" s="2094"/>
      <c r="D65" s="2095"/>
      <c r="E65" s="402"/>
      <c r="F65" s="443" t="s">
        <v>559</v>
      </c>
      <c r="G65" s="413"/>
      <c r="H65" s="419"/>
      <c r="I65" s="450"/>
      <c r="J65" s="419"/>
      <c r="K65" s="444"/>
      <c r="L65" s="406"/>
    </row>
    <row r="66" spans="1:14" ht="24">
      <c r="A66" s="449"/>
      <c r="B66" s="2093" t="s">
        <v>567</v>
      </c>
      <c r="C66" s="2094"/>
      <c r="D66" s="2095"/>
      <c r="E66" s="402"/>
      <c r="F66" s="443" t="s">
        <v>559</v>
      </c>
      <c r="G66" s="413"/>
      <c r="H66" s="419"/>
      <c r="I66" s="450"/>
      <c r="J66" s="419"/>
      <c r="K66" s="444"/>
      <c r="L66" s="406"/>
      <c r="N66" s="367">
        <f>SUM(E60:E65)</f>
        <v>0</v>
      </c>
    </row>
    <row r="67" spans="1:14" ht="24">
      <c r="A67" s="449" t="s">
        <v>580</v>
      </c>
      <c r="B67" s="2093" t="s">
        <v>569</v>
      </c>
      <c r="C67" s="2094"/>
      <c r="D67" s="2095"/>
      <c r="E67" s="402"/>
      <c r="F67" s="443" t="s">
        <v>559</v>
      </c>
      <c r="G67" s="413"/>
      <c r="H67" s="419"/>
      <c r="I67" s="413"/>
      <c r="J67" s="419"/>
      <c r="K67" s="444"/>
      <c r="L67" s="406"/>
    </row>
    <row r="68" spans="1:14" ht="24">
      <c r="A68" s="449" t="s">
        <v>581</v>
      </c>
      <c r="B68" s="2093" t="s">
        <v>582</v>
      </c>
      <c r="C68" s="2094"/>
      <c r="D68" s="2095"/>
      <c r="E68" s="402"/>
      <c r="F68" s="443" t="s">
        <v>183</v>
      </c>
      <c r="G68" s="413"/>
      <c r="H68" s="419"/>
      <c r="I68" s="413"/>
      <c r="J68" s="419"/>
      <c r="K68" s="444"/>
      <c r="L68" s="406"/>
    </row>
    <row r="69" spans="1:14" ht="24">
      <c r="A69" s="449" t="s">
        <v>583</v>
      </c>
      <c r="B69" s="471" t="s">
        <v>584</v>
      </c>
      <c r="C69" s="472"/>
      <c r="D69" s="418"/>
      <c r="E69" s="402"/>
      <c r="F69" s="443" t="s">
        <v>183</v>
      </c>
      <c r="G69" s="413"/>
      <c r="H69" s="419"/>
      <c r="I69" s="413"/>
      <c r="J69" s="419"/>
      <c r="K69" s="444"/>
      <c r="L69" s="406"/>
    </row>
    <row r="70" spans="1:14" ht="24">
      <c r="A70" s="426"/>
      <c r="B70" s="471" t="s">
        <v>585</v>
      </c>
      <c r="C70" s="472"/>
      <c r="D70" s="418"/>
      <c r="E70" s="402"/>
      <c r="F70" s="443"/>
      <c r="G70" s="413"/>
      <c r="H70" s="419"/>
      <c r="I70" s="413"/>
      <c r="J70" s="419"/>
      <c r="K70" s="444"/>
      <c r="L70" s="406"/>
    </row>
    <row r="71" spans="1:14" ht="22.5" customHeight="1">
      <c r="A71" s="449"/>
      <c r="B71" s="473"/>
      <c r="C71" s="472"/>
      <c r="D71" s="418"/>
      <c r="E71" s="402"/>
      <c r="F71" s="443"/>
      <c r="G71" s="413"/>
      <c r="H71" s="419"/>
      <c r="I71" s="413"/>
      <c r="J71" s="419"/>
      <c r="K71" s="444"/>
      <c r="L71" s="406"/>
    </row>
    <row r="72" spans="1:14" ht="23.25" customHeight="1">
      <c r="A72" s="449"/>
      <c r="B72" s="473"/>
      <c r="C72" s="2099"/>
      <c r="D72" s="2100"/>
      <c r="E72" s="402"/>
      <c r="F72" s="443"/>
      <c r="G72" s="413"/>
      <c r="H72" s="419"/>
      <c r="I72" s="413"/>
      <c r="J72" s="419"/>
      <c r="K72" s="444"/>
      <c r="L72" s="406"/>
    </row>
    <row r="73" spans="1:14" ht="17.25" customHeight="1" thickBot="1">
      <c r="A73" s="449"/>
      <c r="B73" s="473"/>
      <c r="C73" s="408"/>
      <c r="D73" s="418"/>
      <c r="E73" s="402"/>
      <c r="F73" s="443"/>
      <c r="G73" s="413"/>
      <c r="H73" s="419"/>
      <c r="I73" s="413"/>
      <c r="J73" s="419"/>
      <c r="K73" s="444"/>
      <c r="L73" s="406"/>
    </row>
    <row r="74" spans="1:14" ht="24" customHeight="1" thickTop="1">
      <c r="A74" s="427"/>
      <c r="B74" s="2084" t="s">
        <v>586</v>
      </c>
      <c r="C74" s="2085"/>
      <c r="D74" s="2086"/>
      <c r="E74" s="428"/>
      <c r="F74" s="429"/>
      <c r="G74" s="461"/>
      <c r="H74" s="431"/>
      <c r="I74" s="432"/>
      <c r="J74" s="431"/>
      <c r="K74" s="431"/>
      <c r="L74" s="434"/>
    </row>
    <row r="75" spans="1:14" ht="24">
      <c r="A75" s="474">
        <v>1.3</v>
      </c>
      <c r="B75" s="2101" t="s">
        <v>587</v>
      </c>
      <c r="C75" s="2102"/>
      <c r="D75" s="2103"/>
      <c r="E75" s="393"/>
      <c r="F75" s="394"/>
      <c r="G75" s="413"/>
      <c r="H75" s="412"/>
      <c r="I75" s="413"/>
      <c r="J75" s="412"/>
      <c r="K75" s="414"/>
      <c r="L75" s="398"/>
    </row>
    <row r="76" spans="1:14" ht="24">
      <c r="A76" s="442" t="s">
        <v>588</v>
      </c>
      <c r="B76" s="475" t="s">
        <v>589</v>
      </c>
      <c r="C76" s="476"/>
      <c r="D76" s="477"/>
      <c r="E76" s="397"/>
      <c r="F76" s="443" t="s">
        <v>183</v>
      </c>
      <c r="G76" s="413"/>
      <c r="H76" s="419"/>
      <c r="I76" s="413"/>
      <c r="J76" s="419"/>
      <c r="K76" s="444"/>
      <c r="L76" s="445"/>
    </row>
    <row r="77" spans="1:14" ht="24">
      <c r="A77" s="446"/>
      <c r="B77" s="476" t="s">
        <v>590</v>
      </c>
      <c r="C77" s="476"/>
      <c r="D77" s="477"/>
      <c r="E77" s="397"/>
      <c r="F77" s="443"/>
      <c r="G77" s="413"/>
      <c r="H77" s="419"/>
      <c r="I77" s="413"/>
      <c r="J77" s="419"/>
      <c r="K77" s="444"/>
      <c r="L77" s="448"/>
    </row>
    <row r="78" spans="1:14" ht="24">
      <c r="A78" s="422" t="s">
        <v>591</v>
      </c>
      <c r="B78" s="2093" t="s">
        <v>554</v>
      </c>
      <c r="C78" s="2094"/>
      <c r="D78" s="2095"/>
      <c r="E78" s="397"/>
      <c r="F78" s="443" t="s">
        <v>546</v>
      </c>
      <c r="G78" s="413"/>
      <c r="H78" s="419"/>
      <c r="I78" s="413"/>
      <c r="J78" s="419"/>
      <c r="K78" s="444"/>
      <c r="L78" s="415"/>
    </row>
    <row r="79" spans="1:14" ht="24">
      <c r="A79" s="422" t="s">
        <v>592</v>
      </c>
      <c r="B79" s="2093" t="s">
        <v>556</v>
      </c>
      <c r="C79" s="2094"/>
      <c r="D79" s="2095"/>
      <c r="E79" s="397"/>
      <c r="F79" s="443" t="s">
        <v>183</v>
      </c>
      <c r="G79" s="470"/>
      <c r="H79" s="419"/>
      <c r="I79" s="413"/>
      <c r="J79" s="419"/>
      <c r="K79" s="444"/>
      <c r="L79" s="415"/>
    </row>
    <row r="80" spans="1:14" ht="24">
      <c r="A80" s="422" t="s">
        <v>593</v>
      </c>
      <c r="B80" s="2093" t="s">
        <v>558</v>
      </c>
      <c r="C80" s="2094"/>
      <c r="D80" s="2095"/>
      <c r="E80" s="397"/>
      <c r="F80" s="443" t="s">
        <v>559</v>
      </c>
      <c r="G80" s="413"/>
      <c r="H80" s="419"/>
      <c r="I80" s="413"/>
      <c r="J80" s="419"/>
      <c r="K80" s="444"/>
      <c r="L80" s="415"/>
    </row>
    <row r="81" spans="1:14" ht="24">
      <c r="A81" s="422" t="s">
        <v>594</v>
      </c>
      <c r="B81" s="2093" t="s">
        <v>561</v>
      </c>
      <c r="C81" s="2094"/>
      <c r="D81" s="2095"/>
      <c r="E81" s="402"/>
      <c r="F81" s="443"/>
      <c r="G81" s="413"/>
      <c r="H81" s="419"/>
      <c r="I81" s="413"/>
      <c r="J81" s="419"/>
      <c r="K81" s="444"/>
      <c r="L81" s="406"/>
    </row>
    <row r="82" spans="1:14" ht="24">
      <c r="A82" s="422"/>
      <c r="B82" s="2093" t="s">
        <v>562</v>
      </c>
      <c r="C82" s="2094"/>
      <c r="D82" s="2095"/>
      <c r="E82" s="397"/>
      <c r="F82" s="443" t="s">
        <v>559</v>
      </c>
      <c r="G82" s="413"/>
      <c r="H82" s="419"/>
      <c r="I82" s="450"/>
      <c r="J82" s="419"/>
      <c r="K82" s="444"/>
      <c r="L82" s="406"/>
    </row>
    <row r="83" spans="1:14" ht="24">
      <c r="A83" s="422"/>
      <c r="B83" s="2093" t="s">
        <v>563</v>
      </c>
      <c r="C83" s="2094"/>
      <c r="D83" s="2095"/>
      <c r="E83" s="397"/>
      <c r="F83" s="443" t="s">
        <v>559</v>
      </c>
      <c r="G83" s="413"/>
      <c r="H83" s="419"/>
      <c r="I83" s="450"/>
      <c r="J83" s="419"/>
      <c r="K83" s="444"/>
      <c r="L83" s="406"/>
    </row>
    <row r="84" spans="1:14" ht="24">
      <c r="A84" s="422"/>
      <c r="B84" s="2093" t="s">
        <v>564</v>
      </c>
      <c r="C84" s="2094"/>
      <c r="D84" s="2095"/>
      <c r="E84" s="402"/>
      <c r="F84" s="443" t="s">
        <v>559</v>
      </c>
      <c r="G84" s="413"/>
      <c r="H84" s="419"/>
      <c r="I84" s="450"/>
      <c r="J84" s="419"/>
      <c r="K84" s="444"/>
      <c r="L84" s="406"/>
    </row>
    <row r="85" spans="1:14" ht="24">
      <c r="A85" s="422"/>
      <c r="B85" s="2093" t="s">
        <v>565</v>
      </c>
      <c r="C85" s="2094"/>
      <c r="D85" s="2095"/>
      <c r="E85" s="402"/>
      <c r="F85" s="443" t="s">
        <v>559</v>
      </c>
      <c r="G85" s="413"/>
      <c r="H85" s="419"/>
      <c r="I85" s="450"/>
      <c r="J85" s="419"/>
      <c r="K85" s="444"/>
      <c r="L85" s="406"/>
    </row>
    <row r="86" spans="1:14" ht="24">
      <c r="A86" s="449"/>
      <c r="B86" s="2093" t="s">
        <v>566</v>
      </c>
      <c r="C86" s="2094"/>
      <c r="D86" s="2095"/>
      <c r="E86" s="402"/>
      <c r="F86" s="443" t="s">
        <v>559</v>
      </c>
      <c r="G86" s="413"/>
      <c r="H86" s="419"/>
      <c r="I86" s="450"/>
      <c r="J86" s="419"/>
      <c r="K86" s="444"/>
      <c r="L86" s="406"/>
    </row>
    <row r="87" spans="1:14" ht="24">
      <c r="A87" s="449"/>
      <c r="B87" s="2093" t="s">
        <v>567</v>
      </c>
      <c r="C87" s="2094"/>
      <c r="D87" s="2095"/>
      <c r="E87" s="402"/>
      <c r="F87" s="443" t="s">
        <v>559</v>
      </c>
      <c r="G87" s="413"/>
      <c r="H87" s="419"/>
      <c r="I87" s="450"/>
      <c r="J87" s="419"/>
      <c r="K87" s="444"/>
      <c r="L87" s="406"/>
      <c r="N87" s="367">
        <f>SUM(E82:E87)</f>
        <v>0</v>
      </c>
    </row>
    <row r="88" spans="1:14" ht="24">
      <c r="A88" s="449" t="s">
        <v>595</v>
      </c>
      <c r="B88" s="2093" t="s">
        <v>569</v>
      </c>
      <c r="C88" s="2094"/>
      <c r="D88" s="2095"/>
      <c r="E88" s="402"/>
      <c r="F88" s="443" t="s">
        <v>559</v>
      </c>
      <c r="G88" s="413"/>
      <c r="H88" s="419"/>
      <c r="I88" s="413"/>
      <c r="J88" s="419"/>
      <c r="K88" s="444"/>
      <c r="L88" s="406"/>
    </row>
    <row r="89" spans="1:14" ht="24">
      <c r="A89" s="449" t="s">
        <v>596</v>
      </c>
      <c r="B89" s="478" t="s">
        <v>597</v>
      </c>
      <c r="C89" s="479"/>
      <c r="D89" s="480"/>
      <c r="E89" s="402"/>
      <c r="F89" s="443" t="s">
        <v>559</v>
      </c>
      <c r="G89" s="413"/>
      <c r="H89" s="419"/>
      <c r="I89" s="413"/>
      <c r="J89" s="419"/>
      <c r="K89" s="444"/>
      <c r="L89" s="406"/>
    </row>
    <row r="90" spans="1:14" ht="24">
      <c r="A90" s="449" t="s">
        <v>598</v>
      </c>
      <c r="B90" s="478" t="s">
        <v>599</v>
      </c>
      <c r="C90" s="479"/>
      <c r="D90" s="480"/>
      <c r="E90" s="402"/>
      <c r="F90" s="443" t="s">
        <v>559</v>
      </c>
      <c r="G90" s="413"/>
      <c r="H90" s="419"/>
      <c r="I90" s="413"/>
      <c r="J90" s="419"/>
      <c r="K90" s="444"/>
      <c r="L90" s="406"/>
    </row>
    <row r="91" spans="1:14" ht="24">
      <c r="A91" s="449" t="s">
        <v>600</v>
      </c>
      <c r="B91" s="2093" t="s">
        <v>601</v>
      </c>
      <c r="C91" s="2094"/>
      <c r="D91" s="2095"/>
      <c r="E91" s="402"/>
      <c r="F91" s="443" t="s">
        <v>183</v>
      </c>
      <c r="G91" s="413"/>
      <c r="H91" s="419"/>
      <c r="I91" s="413"/>
      <c r="J91" s="419"/>
      <c r="K91" s="444"/>
      <c r="L91" s="406"/>
    </row>
    <row r="92" spans="1:14" ht="24">
      <c r="A92" s="449" t="s">
        <v>602</v>
      </c>
      <c r="B92" s="2093" t="s">
        <v>603</v>
      </c>
      <c r="C92" s="2094"/>
      <c r="D92" s="2095"/>
      <c r="E92" s="402"/>
      <c r="F92" s="443" t="s">
        <v>183</v>
      </c>
      <c r="G92" s="413"/>
      <c r="H92" s="419"/>
      <c r="I92" s="413"/>
      <c r="J92" s="419"/>
      <c r="K92" s="444"/>
      <c r="L92" s="406"/>
    </row>
    <row r="93" spans="1:14" ht="21" customHeight="1">
      <c r="A93" s="426"/>
      <c r="B93" s="473"/>
      <c r="C93" s="472"/>
      <c r="D93" s="418"/>
      <c r="E93" s="402"/>
      <c r="F93" s="443"/>
      <c r="G93" s="413"/>
      <c r="H93" s="419"/>
      <c r="I93" s="413"/>
      <c r="J93" s="419"/>
      <c r="K93" s="444"/>
      <c r="L93" s="406"/>
    </row>
    <row r="94" spans="1:14" ht="21.75" customHeight="1">
      <c r="A94" s="449"/>
      <c r="B94" s="473"/>
      <c r="C94" s="2099"/>
      <c r="D94" s="2100"/>
      <c r="E94" s="402"/>
      <c r="F94" s="443"/>
      <c r="G94" s="413"/>
      <c r="H94" s="419"/>
      <c r="I94" s="413"/>
      <c r="J94" s="419"/>
      <c r="K94" s="444"/>
      <c r="L94" s="406"/>
    </row>
    <row r="95" spans="1:14" ht="20.25" customHeight="1" thickBot="1">
      <c r="A95" s="449"/>
      <c r="B95" s="473"/>
      <c r="C95" s="408"/>
      <c r="D95" s="418"/>
      <c r="E95" s="402"/>
      <c r="F95" s="443"/>
      <c r="G95" s="413"/>
      <c r="H95" s="419"/>
      <c r="I95" s="413"/>
      <c r="J95" s="419"/>
      <c r="K95" s="444"/>
      <c r="L95" s="406"/>
    </row>
    <row r="96" spans="1:14" ht="24" customHeight="1" thickTop="1">
      <c r="A96" s="427"/>
      <c r="B96" s="2084" t="s">
        <v>604</v>
      </c>
      <c r="C96" s="2085"/>
      <c r="D96" s="2086"/>
      <c r="E96" s="428"/>
      <c r="F96" s="429"/>
      <c r="G96" s="461"/>
      <c r="H96" s="431"/>
      <c r="I96" s="432"/>
      <c r="J96" s="431"/>
      <c r="K96" s="431"/>
      <c r="L96" s="434"/>
    </row>
    <row r="97" spans="1:14" ht="24">
      <c r="A97" s="474">
        <v>1.4</v>
      </c>
      <c r="B97" s="2096" t="s">
        <v>605</v>
      </c>
      <c r="C97" s="2097"/>
      <c r="D97" s="2098"/>
      <c r="E97" s="397"/>
      <c r="F97" s="481"/>
      <c r="G97" s="413"/>
      <c r="H97" s="412"/>
      <c r="I97" s="413"/>
      <c r="J97" s="412"/>
      <c r="K97" s="414"/>
      <c r="L97" s="415"/>
    </row>
    <row r="98" spans="1:14" ht="24">
      <c r="A98" s="422" t="s">
        <v>606</v>
      </c>
      <c r="B98" s="2093" t="s">
        <v>589</v>
      </c>
      <c r="C98" s="2094"/>
      <c r="D98" s="2095"/>
      <c r="E98" s="65"/>
      <c r="F98" s="443" t="s">
        <v>183</v>
      </c>
      <c r="G98" s="413"/>
      <c r="H98" s="419"/>
      <c r="I98" s="413"/>
      <c r="J98" s="419"/>
      <c r="K98" s="444"/>
      <c r="L98" s="445"/>
    </row>
    <row r="99" spans="1:14" ht="24">
      <c r="A99" s="422"/>
      <c r="B99" s="2093" t="s">
        <v>590</v>
      </c>
      <c r="C99" s="2094"/>
      <c r="D99" s="2095"/>
      <c r="E99" s="65"/>
      <c r="F99" s="443"/>
      <c r="G99" s="413"/>
      <c r="H99" s="419"/>
      <c r="I99" s="413"/>
      <c r="J99" s="419"/>
      <c r="K99" s="444"/>
      <c r="L99" s="415"/>
    </row>
    <row r="100" spans="1:14" ht="24">
      <c r="A100" s="422" t="s">
        <v>607</v>
      </c>
      <c r="B100" s="2093" t="s">
        <v>554</v>
      </c>
      <c r="C100" s="2094"/>
      <c r="D100" s="2095"/>
      <c r="E100" s="65"/>
      <c r="F100" s="443" t="s">
        <v>546</v>
      </c>
      <c r="G100" s="413"/>
      <c r="H100" s="419"/>
      <c r="I100" s="413"/>
      <c r="J100" s="419"/>
      <c r="K100" s="444"/>
      <c r="L100" s="415"/>
    </row>
    <row r="101" spans="1:14" ht="24">
      <c r="A101" s="422" t="s">
        <v>608</v>
      </c>
      <c r="B101" s="2093" t="s">
        <v>556</v>
      </c>
      <c r="C101" s="2094"/>
      <c r="D101" s="2095"/>
      <c r="E101" s="65"/>
      <c r="F101" s="443" t="s">
        <v>183</v>
      </c>
      <c r="G101" s="470"/>
      <c r="H101" s="419"/>
      <c r="I101" s="413"/>
      <c r="J101" s="419"/>
      <c r="K101" s="444"/>
      <c r="L101" s="415"/>
    </row>
    <row r="102" spans="1:14" ht="24">
      <c r="A102" s="422" t="s">
        <v>609</v>
      </c>
      <c r="B102" s="2093" t="s">
        <v>558</v>
      </c>
      <c r="C102" s="2094"/>
      <c r="D102" s="2095"/>
      <c r="E102" s="65"/>
      <c r="F102" s="443" t="s">
        <v>559</v>
      </c>
      <c r="G102" s="413"/>
      <c r="H102" s="419"/>
      <c r="I102" s="413"/>
      <c r="J102" s="419"/>
      <c r="K102" s="444"/>
      <c r="L102" s="415"/>
    </row>
    <row r="103" spans="1:14" ht="24">
      <c r="A103" s="422" t="s">
        <v>610</v>
      </c>
      <c r="B103" s="2093" t="s">
        <v>561</v>
      </c>
      <c r="C103" s="2094"/>
      <c r="D103" s="2095"/>
      <c r="E103" s="65"/>
      <c r="F103" s="443"/>
      <c r="G103" s="413"/>
      <c r="H103" s="419"/>
      <c r="I103" s="413"/>
      <c r="J103" s="419"/>
      <c r="K103" s="444"/>
      <c r="L103" s="406"/>
    </row>
    <row r="104" spans="1:14" ht="24">
      <c r="A104" s="422"/>
      <c r="B104" s="2093" t="s">
        <v>562</v>
      </c>
      <c r="C104" s="2094"/>
      <c r="D104" s="2095"/>
      <c r="E104" s="65"/>
      <c r="F104" s="443" t="s">
        <v>559</v>
      </c>
      <c r="G104" s="413"/>
      <c r="H104" s="419"/>
      <c r="I104" s="450"/>
      <c r="J104" s="419"/>
      <c r="K104" s="444"/>
      <c r="L104" s="406"/>
    </row>
    <row r="105" spans="1:14" ht="24">
      <c r="A105" s="422"/>
      <c r="B105" s="2093" t="s">
        <v>563</v>
      </c>
      <c r="C105" s="2094"/>
      <c r="D105" s="2095"/>
      <c r="E105" s="65"/>
      <c r="F105" s="443" t="s">
        <v>559</v>
      </c>
      <c r="G105" s="413"/>
      <c r="H105" s="419"/>
      <c r="I105" s="450"/>
      <c r="J105" s="419"/>
      <c r="K105" s="444"/>
      <c r="L105" s="406"/>
    </row>
    <row r="106" spans="1:14" ht="24">
      <c r="A106" s="422"/>
      <c r="B106" s="2093" t="s">
        <v>564</v>
      </c>
      <c r="C106" s="2094"/>
      <c r="D106" s="2095"/>
      <c r="E106" s="65"/>
      <c r="F106" s="443" t="s">
        <v>559</v>
      </c>
      <c r="G106" s="413"/>
      <c r="H106" s="419"/>
      <c r="I106" s="450"/>
      <c r="J106" s="419"/>
      <c r="K106" s="444"/>
      <c r="L106" s="406"/>
    </row>
    <row r="107" spans="1:14" ht="24">
      <c r="A107" s="449"/>
      <c r="B107" s="2093" t="s">
        <v>565</v>
      </c>
      <c r="C107" s="2094"/>
      <c r="D107" s="2095"/>
      <c r="E107" s="65"/>
      <c r="F107" s="443" t="s">
        <v>559</v>
      </c>
      <c r="G107" s="413"/>
      <c r="H107" s="419"/>
      <c r="I107" s="450"/>
      <c r="J107" s="419"/>
      <c r="K107" s="444"/>
      <c r="L107" s="406"/>
    </row>
    <row r="108" spans="1:14" ht="24">
      <c r="A108" s="449"/>
      <c r="B108" s="2093" t="s">
        <v>566</v>
      </c>
      <c r="C108" s="2094"/>
      <c r="D108" s="2095"/>
      <c r="E108" s="65"/>
      <c r="F108" s="443" t="s">
        <v>559</v>
      </c>
      <c r="G108" s="413"/>
      <c r="H108" s="419"/>
      <c r="I108" s="450"/>
      <c r="J108" s="419"/>
      <c r="K108" s="444"/>
      <c r="L108" s="406"/>
    </row>
    <row r="109" spans="1:14" ht="24">
      <c r="A109" s="449"/>
      <c r="B109" s="2093" t="s">
        <v>567</v>
      </c>
      <c r="C109" s="2094"/>
      <c r="D109" s="2095"/>
      <c r="E109" s="65"/>
      <c r="F109" s="443" t="s">
        <v>559</v>
      </c>
      <c r="G109" s="413"/>
      <c r="H109" s="419"/>
      <c r="I109" s="450"/>
      <c r="J109" s="419"/>
      <c r="K109" s="444"/>
      <c r="L109" s="406"/>
      <c r="N109" s="367">
        <f>SUM(E104:E109)</f>
        <v>0</v>
      </c>
    </row>
    <row r="110" spans="1:14" ht="24">
      <c r="A110" s="449" t="s">
        <v>611</v>
      </c>
      <c r="B110" s="2093" t="s">
        <v>569</v>
      </c>
      <c r="C110" s="2094"/>
      <c r="D110" s="2095"/>
      <c r="E110" s="65"/>
      <c r="F110" s="443" t="s">
        <v>559</v>
      </c>
      <c r="G110" s="413"/>
      <c r="H110" s="419"/>
      <c r="I110" s="413"/>
      <c r="J110" s="419"/>
      <c r="K110" s="444"/>
      <c r="L110" s="406"/>
    </row>
    <row r="111" spans="1:14" ht="24">
      <c r="A111" s="449" t="s">
        <v>612</v>
      </c>
      <c r="B111" s="2093" t="s">
        <v>597</v>
      </c>
      <c r="C111" s="2094"/>
      <c r="D111" s="2095"/>
      <c r="E111" s="68"/>
      <c r="F111" s="443" t="s">
        <v>559</v>
      </c>
      <c r="G111" s="413"/>
      <c r="H111" s="419"/>
      <c r="I111" s="413"/>
      <c r="J111" s="419"/>
      <c r="K111" s="444"/>
      <c r="L111" s="406"/>
    </row>
    <row r="112" spans="1:14" ht="24">
      <c r="A112" s="449" t="s">
        <v>613</v>
      </c>
      <c r="B112" s="2093" t="s">
        <v>601</v>
      </c>
      <c r="C112" s="2094"/>
      <c r="D112" s="2095"/>
      <c r="E112" s="68"/>
      <c r="F112" s="443" t="s">
        <v>183</v>
      </c>
      <c r="G112" s="413"/>
      <c r="H112" s="419"/>
      <c r="I112" s="413"/>
      <c r="J112" s="419"/>
      <c r="K112" s="444"/>
      <c r="L112" s="406"/>
    </row>
    <row r="113" spans="1:12" ht="24">
      <c r="A113" s="449" t="s">
        <v>614</v>
      </c>
      <c r="B113" s="2093" t="s">
        <v>603</v>
      </c>
      <c r="C113" s="2094"/>
      <c r="D113" s="2095"/>
      <c r="E113" s="65"/>
      <c r="F113" s="403" t="s">
        <v>183</v>
      </c>
      <c r="G113" s="413"/>
      <c r="H113" s="419"/>
      <c r="I113" s="413"/>
      <c r="J113" s="419"/>
      <c r="K113" s="444"/>
      <c r="L113" s="406"/>
    </row>
    <row r="114" spans="1:12" ht="21" customHeight="1">
      <c r="A114" s="449"/>
      <c r="B114" s="425"/>
      <c r="C114" s="408"/>
      <c r="D114" s="418"/>
      <c r="E114" s="402"/>
      <c r="F114" s="403"/>
      <c r="G114" s="413"/>
      <c r="H114" s="419"/>
      <c r="I114" s="413"/>
      <c r="J114" s="419"/>
      <c r="K114" s="444"/>
      <c r="L114" s="406"/>
    </row>
    <row r="115" spans="1:12" ht="21" customHeight="1">
      <c r="A115" s="449"/>
      <c r="B115" s="425"/>
      <c r="C115" s="408"/>
      <c r="D115" s="418"/>
      <c r="E115" s="402"/>
      <c r="F115" s="403"/>
      <c r="G115" s="413"/>
      <c r="H115" s="419"/>
      <c r="I115" s="413"/>
      <c r="J115" s="419"/>
      <c r="K115" s="444"/>
      <c r="L115" s="406"/>
    </row>
    <row r="116" spans="1:12" ht="21" customHeight="1">
      <c r="A116" s="449"/>
      <c r="B116" s="425"/>
      <c r="C116" s="408"/>
      <c r="D116" s="418"/>
      <c r="E116" s="402"/>
      <c r="F116" s="403"/>
      <c r="G116" s="413"/>
      <c r="H116" s="419"/>
      <c r="I116" s="413"/>
      <c r="J116" s="419"/>
      <c r="K116" s="444"/>
      <c r="L116" s="406"/>
    </row>
    <row r="117" spans="1:12" ht="19.5" customHeight="1" thickBot="1">
      <c r="A117" s="426"/>
      <c r="B117" s="425"/>
      <c r="C117" s="408"/>
      <c r="D117" s="418"/>
      <c r="E117" s="402"/>
      <c r="F117" s="403"/>
      <c r="G117" s="420"/>
      <c r="H117" s="419"/>
      <c r="I117" s="420"/>
      <c r="J117" s="419"/>
      <c r="K117" s="444"/>
      <c r="L117" s="406"/>
    </row>
    <row r="118" spans="1:12" ht="24" customHeight="1" thickTop="1">
      <c r="A118" s="427"/>
      <c r="B118" s="2084" t="s">
        <v>615</v>
      </c>
      <c r="C118" s="2085"/>
      <c r="D118" s="2086"/>
      <c r="E118" s="428"/>
      <c r="F118" s="429"/>
      <c r="G118" s="461"/>
      <c r="H118" s="431"/>
      <c r="I118" s="432"/>
      <c r="J118" s="431"/>
      <c r="K118" s="431"/>
      <c r="L118" s="434"/>
    </row>
    <row r="119" spans="1:12" ht="24">
      <c r="A119" s="482">
        <v>1.5</v>
      </c>
      <c r="B119" s="2081" t="s">
        <v>616</v>
      </c>
      <c r="C119" s="2082"/>
      <c r="D119" s="2083"/>
      <c r="E119" s="397"/>
      <c r="F119" s="481"/>
      <c r="G119" s="413"/>
      <c r="H119" s="412"/>
      <c r="I119" s="413"/>
      <c r="J119" s="412"/>
      <c r="K119" s="414"/>
      <c r="L119" s="415"/>
    </row>
    <row r="120" spans="1:12" ht="24">
      <c r="A120" s="422" t="s">
        <v>617</v>
      </c>
      <c r="B120" s="483" t="s">
        <v>589</v>
      </c>
      <c r="C120" s="408"/>
      <c r="D120" s="409"/>
      <c r="E120" s="402"/>
      <c r="F120" s="443" t="s">
        <v>183</v>
      </c>
      <c r="G120" s="413"/>
      <c r="H120" s="419"/>
      <c r="I120" s="413"/>
      <c r="J120" s="419"/>
      <c r="K120" s="444"/>
      <c r="L120" s="445"/>
    </row>
    <row r="121" spans="1:12" ht="24">
      <c r="A121" s="422"/>
      <c r="B121" s="484" t="s">
        <v>590</v>
      </c>
      <c r="C121" s="408"/>
      <c r="D121" s="417"/>
      <c r="E121" s="397"/>
      <c r="F121" s="443"/>
      <c r="G121" s="413"/>
      <c r="H121" s="419"/>
      <c r="I121" s="413"/>
      <c r="J121" s="419"/>
      <c r="K121" s="444"/>
      <c r="L121" s="415"/>
    </row>
    <row r="122" spans="1:12" ht="24">
      <c r="A122" s="422" t="s">
        <v>618</v>
      </c>
      <c r="B122" s="484" t="s">
        <v>554</v>
      </c>
      <c r="C122" s="408"/>
      <c r="D122" s="418"/>
      <c r="E122" s="397"/>
      <c r="F122" s="443" t="s">
        <v>546</v>
      </c>
      <c r="G122" s="413"/>
      <c r="H122" s="419"/>
      <c r="I122" s="413"/>
      <c r="J122" s="419"/>
      <c r="K122" s="444"/>
      <c r="L122" s="415"/>
    </row>
    <row r="123" spans="1:12" ht="24">
      <c r="A123" s="422" t="s">
        <v>619</v>
      </c>
      <c r="B123" s="485" t="s">
        <v>556</v>
      </c>
      <c r="C123" s="408"/>
      <c r="D123" s="418"/>
      <c r="E123" s="397"/>
      <c r="F123" s="443" t="s">
        <v>183</v>
      </c>
      <c r="G123" s="470"/>
      <c r="H123" s="419"/>
      <c r="I123" s="413"/>
      <c r="J123" s="419"/>
      <c r="K123" s="444"/>
      <c r="L123" s="415"/>
    </row>
    <row r="124" spans="1:12" ht="24">
      <c r="A124" s="422" t="s">
        <v>620</v>
      </c>
      <c r="B124" s="485" t="s">
        <v>558</v>
      </c>
      <c r="C124" s="408"/>
      <c r="D124" s="418"/>
      <c r="E124" s="397"/>
      <c r="F124" s="443" t="s">
        <v>559</v>
      </c>
      <c r="G124" s="413"/>
      <c r="H124" s="419"/>
      <c r="I124" s="413"/>
      <c r="J124" s="419"/>
      <c r="K124" s="444"/>
      <c r="L124" s="415"/>
    </row>
    <row r="125" spans="1:12" ht="24">
      <c r="A125" s="422" t="s">
        <v>621</v>
      </c>
      <c r="B125" s="485" t="s">
        <v>561</v>
      </c>
      <c r="C125" s="408"/>
      <c r="D125" s="418"/>
      <c r="E125" s="402"/>
      <c r="F125" s="443"/>
      <c r="G125" s="413"/>
      <c r="H125" s="419"/>
      <c r="I125" s="413"/>
      <c r="J125" s="419"/>
      <c r="K125" s="444"/>
      <c r="L125" s="406"/>
    </row>
    <row r="126" spans="1:12" ht="24">
      <c r="A126" s="422"/>
      <c r="B126" s="486" t="s">
        <v>562</v>
      </c>
      <c r="C126" s="476"/>
      <c r="D126" s="487"/>
      <c r="E126" s="397"/>
      <c r="F126" s="443" t="s">
        <v>559</v>
      </c>
      <c r="G126" s="413"/>
      <c r="H126" s="419"/>
      <c r="I126" s="450"/>
      <c r="J126" s="419"/>
      <c r="K126" s="444"/>
      <c r="L126" s="406"/>
    </row>
    <row r="127" spans="1:12" ht="24">
      <c r="A127" s="422"/>
      <c r="B127" s="486" t="s">
        <v>563</v>
      </c>
      <c r="C127" s="476"/>
      <c r="D127" s="487"/>
      <c r="E127" s="397"/>
      <c r="F127" s="443" t="s">
        <v>559</v>
      </c>
      <c r="G127" s="413"/>
      <c r="H127" s="419"/>
      <c r="I127" s="450"/>
      <c r="J127" s="419"/>
      <c r="K127" s="444"/>
      <c r="L127" s="406"/>
    </row>
    <row r="128" spans="1:12" ht="24">
      <c r="A128" s="422"/>
      <c r="B128" s="471" t="s">
        <v>564</v>
      </c>
      <c r="C128" s="476"/>
      <c r="D128" s="487"/>
      <c r="E128" s="402"/>
      <c r="F128" s="443" t="s">
        <v>559</v>
      </c>
      <c r="G128" s="413"/>
      <c r="H128" s="419"/>
      <c r="I128" s="450"/>
      <c r="J128" s="419"/>
      <c r="K128" s="444"/>
      <c r="L128" s="406"/>
    </row>
    <row r="129" spans="1:14" ht="24">
      <c r="A129" s="449"/>
      <c r="B129" s="471" t="s">
        <v>565</v>
      </c>
      <c r="C129" s="476"/>
      <c r="D129" s="487"/>
      <c r="E129" s="402"/>
      <c r="F129" s="443" t="s">
        <v>559</v>
      </c>
      <c r="G129" s="413"/>
      <c r="H129" s="419"/>
      <c r="I129" s="450"/>
      <c r="J129" s="419"/>
      <c r="K129" s="444"/>
      <c r="L129" s="406"/>
    </row>
    <row r="130" spans="1:14" ht="24">
      <c r="A130" s="449"/>
      <c r="B130" s="471" t="s">
        <v>566</v>
      </c>
      <c r="C130" s="476"/>
      <c r="D130" s="487"/>
      <c r="E130" s="402"/>
      <c r="F130" s="443" t="s">
        <v>559</v>
      </c>
      <c r="G130" s="413"/>
      <c r="H130" s="419"/>
      <c r="I130" s="450"/>
      <c r="J130" s="419"/>
      <c r="K130" s="444"/>
      <c r="L130" s="406"/>
    </row>
    <row r="131" spans="1:14" ht="24">
      <c r="A131" s="449"/>
      <c r="B131" s="471" t="s">
        <v>567</v>
      </c>
      <c r="C131" s="476"/>
      <c r="D131" s="487"/>
      <c r="E131" s="402"/>
      <c r="F131" s="443" t="s">
        <v>559</v>
      </c>
      <c r="G131" s="413"/>
      <c r="H131" s="419"/>
      <c r="I131" s="450"/>
      <c r="J131" s="419"/>
      <c r="K131" s="444"/>
      <c r="L131" s="406"/>
      <c r="N131" s="367">
        <f>SUM(E126:E131)</f>
        <v>0</v>
      </c>
    </row>
    <row r="132" spans="1:14" ht="24">
      <c r="A132" s="449" t="s">
        <v>622</v>
      </c>
      <c r="B132" s="471" t="s">
        <v>569</v>
      </c>
      <c r="C132" s="476"/>
      <c r="D132" s="487"/>
      <c r="E132" s="402"/>
      <c r="F132" s="443" t="s">
        <v>559</v>
      </c>
      <c r="G132" s="413"/>
      <c r="H132" s="419"/>
      <c r="I132" s="413"/>
      <c r="J132" s="419"/>
      <c r="K132" s="444"/>
      <c r="L132" s="406"/>
    </row>
    <row r="133" spans="1:14" ht="24">
      <c r="A133" s="449" t="s">
        <v>623</v>
      </c>
      <c r="B133" s="471" t="s">
        <v>597</v>
      </c>
      <c r="C133" s="476"/>
      <c r="D133" s="487"/>
      <c r="E133" s="402"/>
      <c r="F133" s="443" t="s">
        <v>559</v>
      </c>
      <c r="G133" s="413"/>
      <c r="H133" s="419"/>
      <c r="I133" s="413"/>
      <c r="J133" s="419"/>
      <c r="K133" s="444"/>
      <c r="L133" s="406"/>
    </row>
    <row r="134" spans="1:14" ht="24">
      <c r="A134" s="449" t="s">
        <v>624</v>
      </c>
      <c r="B134" s="471" t="s">
        <v>625</v>
      </c>
      <c r="C134" s="476"/>
      <c r="D134" s="487"/>
      <c r="E134" s="402"/>
      <c r="F134" s="443" t="s">
        <v>559</v>
      </c>
      <c r="G134" s="413"/>
      <c r="H134" s="419"/>
      <c r="I134" s="413"/>
      <c r="J134" s="419"/>
      <c r="K134" s="444"/>
      <c r="L134" s="406"/>
    </row>
    <row r="135" spans="1:14" ht="24">
      <c r="A135" s="449" t="s">
        <v>626</v>
      </c>
      <c r="B135" s="471" t="s">
        <v>601</v>
      </c>
      <c r="C135" s="476"/>
      <c r="D135" s="487"/>
      <c r="E135" s="444"/>
      <c r="F135" s="443" t="s">
        <v>183</v>
      </c>
      <c r="G135" s="413"/>
      <c r="H135" s="419"/>
      <c r="I135" s="413"/>
      <c r="J135" s="419"/>
      <c r="K135" s="444"/>
      <c r="L135" s="406"/>
    </row>
    <row r="136" spans="1:14" ht="24">
      <c r="A136" s="449" t="s">
        <v>627</v>
      </c>
      <c r="B136" s="471" t="s">
        <v>603</v>
      </c>
      <c r="C136" s="476"/>
      <c r="D136" s="487"/>
      <c r="E136" s="444"/>
      <c r="F136" s="443" t="s">
        <v>183</v>
      </c>
      <c r="G136" s="413"/>
      <c r="H136" s="419"/>
      <c r="I136" s="413"/>
      <c r="J136" s="419"/>
      <c r="K136" s="444"/>
      <c r="L136" s="406"/>
    </row>
    <row r="137" spans="1:14" ht="21.75" customHeight="1">
      <c r="A137" s="426"/>
      <c r="B137" s="471"/>
      <c r="C137" s="476"/>
      <c r="D137" s="487"/>
      <c r="E137" s="444"/>
      <c r="F137" s="443"/>
      <c r="G137" s="413"/>
      <c r="H137" s="419"/>
      <c r="I137" s="413"/>
      <c r="J137" s="419"/>
      <c r="K137" s="444"/>
      <c r="L137" s="406"/>
    </row>
    <row r="138" spans="1:14" ht="21" customHeight="1">
      <c r="A138" s="449"/>
      <c r="B138" s="425"/>
      <c r="C138" s="476"/>
      <c r="D138" s="418"/>
      <c r="E138" s="444"/>
      <c r="F138" s="443"/>
      <c r="G138" s="413"/>
      <c r="H138" s="419"/>
      <c r="I138" s="413"/>
      <c r="J138" s="419"/>
      <c r="K138" s="444"/>
      <c r="L138" s="406"/>
    </row>
    <row r="139" spans="1:14" ht="21" customHeight="1" thickBot="1">
      <c r="A139" s="449"/>
      <c r="B139" s="425"/>
      <c r="C139" s="476"/>
      <c r="D139" s="418"/>
      <c r="E139" s="444"/>
      <c r="F139" s="443"/>
      <c r="G139" s="413"/>
      <c r="H139" s="419"/>
      <c r="I139" s="413"/>
      <c r="J139" s="419"/>
      <c r="K139" s="444"/>
      <c r="L139" s="406"/>
    </row>
    <row r="140" spans="1:14" ht="24" customHeight="1" thickTop="1">
      <c r="A140" s="427"/>
      <c r="B140" s="2084" t="s">
        <v>628</v>
      </c>
      <c r="C140" s="2085"/>
      <c r="D140" s="2086"/>
      <c r="E140" s="428"/>
      <c r="F140" s="429"/>
      <c r="G140" s="461"/>
      <c r="H140" s="431"/>
      <c r="I140" s="432"/>
      <c r="J140" s="431"/>
      <c r="K140" s="431"/>
      <c r="L140" s="434"/>
    </row>
    <row r="141" spans="1:14" ht="24">
      <c r="A141" s="482">
        <v>1.6</v>
      </c>
      <c r="B141" s="2096" t="s">
        <v>534</v>
      </c>
      <c r="C141" s="2097"/>
      <c r="D141" s="2098"/>
      <c r="E141" s="397"/>
      <c r="F141" s="481"/>
      <c r="G141" s="413"/>
      <c r="H141" s="412"/>
      <c r="I141" s="413"/>
      <c r="J141" s="412"/>
      <c r="K141" s="414"/>
      <c r="L141" s="415"/>
    </row>
    <row r="142" spans="1:14" ht="24">
      <c r="A142" s="422" t="s">
        <v>629</v>
      </c>
      <c r="B142" s="483" t="s">
        <v>554</v>
      </c>
      <c r="C142" s="408"/>
      <c r="D142" s="409"/>
      <c r="E142" s="402"/>
      <c r="F142" s="443" t="s">
        <v>546</v>
      </c>
      <c r="G142" s="413"/>
      <c r="H142" s="419"/>
      <c r="I142" s="413"/>
      <c r="J142" s="419"/>
      <c r="K142" s="444"/>
      <c r="L142" s="445"/>
    </row>
    <row r="143" spans="1:14" ht="24">
      <c r="A143" s="422" t="s">
        <v>630</v>
      </c>
      <c r="B143" s="484" t="s">
        <v>556</v>
      </c>
      <c r="C143" s="408"/>
      <c r="D143" s="417"/>
      <c r="E143" s="397"/>
      <c r="F143" s="443" t="s">
        <v>183</v>
      </c>
      <c r="G143" s="470"/>
      <c r="H143" s="419"/>
      <c r="I143" s="413"/>
      <c r="J143" s="419"/>
      <c r="K143" s="444"/>
      <c r="L143" s="415"/>
    </row>
    <row r="144" spans="1:14" ht="24">
      <c r="A144" s="422" t="s">
        <v>631</v>
      </c>
      <c r="B144" s="484" t="s">
        <v>558</v>
      </c>
      <c r="C144" s="408"/>
      <c r="D144" s="418"/>
      <c r="E144" s="397"/>
      <c r="F144" s="443" t="s">
        <v>559</v>
      </c>
      <c r="G144" s="413"/>
      <c r="H144" s="419"/>
      <c r="I144" s="413"/>
      <c r="J144" s="419"/>
      <c r="K144" s="444"/>
      <c r="L144" s="415"/>
    </row>
    <row r="145" spans="1:14" ht="24">
      <c r="A145" s="422" t="s">
        <v>632</v>
      </c>
      <c r="B145" s="485" t="s">
        <v>561</v>
      </c>
      <c r="C145" s="408"/>
      <c r="D145" s="418"/>
      <c r="E145" s="397"/>
      <c r="F145" s="443"/>
      <c r="G145" s="413"/>
      <c r="H145" s="419"/>
      <c r="I145" s="413"/>
      <c r="J145" s="419"/>
      <c r="K145" s="444"/>
      <c r="L145" s="415"/>
    </row>
    <row r="146" spans="1:14" ht="24">
      <c r="A146" s="422"/>
      <c r="B146" s="485" t="s">
        <v>562</v>
      </c>
      <c r="C146" s="408"/>
      <c r="D146" s="418"/>
      <c r="E146" s="397"/>
      <c r="F146" s="443" t="s">
        <v>559</v>
      </c>
      <c r="G146" s="413"/>
      <c r="H146" s="419"/>
      <c r="I146" s="450"/>
      <c r="J146" s="419"/>
      <c r="K146" s="444"/>
      <c r="L146" s="415"/>
    </row>
    <row r="147" spans="1:14" ht="24">
      <c r="A147" s="422"/>
      <c r="B147" s="485" t="s">
        <v>563</v>
      </c>
      <c r="C147" s="408"/>
      <c r="D147" s="418"/>
      <c r="E147" s="402"/>
      <c r="F147" s="443" t="s">
        <v>559</v>
      </c>
      <c r="G147" s="413"/>
      <c r="H147" s="419"/>
      <c r="I147" s="450"/>
      <c r="J147" s="419"/>
      <c r="K147" s="444"/>
      <c r="L147" s="406"/>
    </row>
    <row r="148" spans="1:14" ht="24">
      <c r="A148" s="422"/>
      <c r="B148" s="486" t="s">
        <v>564</v>
      </c>
      <c r="C148" s="476"/>
      <c r="D148" s="487"/>
      <c r="E148" s="397"/>
      <c r="F148" s="443" t="s">
        <v>559</v>
      </c>
      <c r="G148" s="413"/>
      <c r="H148" s="419"/>
      <c r="I148" s="450"/>
      <c r="J148" s="419"/>
      <c r="K148" s="444"/>
      <c r="L148" s="406"/>
    </row>
    <row r="149" spans="1:14" ht="24">
      <c r="A149" s="422"/>
      <c r="B149" s="486" t="s">
        <v>565</v>
      </c>
      <c r="C149" s="476"/>
      <c r="D149" s="487"/>
      <c r="E149" s="397"/>
      <c r="F149" s="443" t="s">
        <v>559</v>
      </c>
      <c r="G149" s="413"/>
      <c r="H149" s="419"/>
      <c r="I149" s="450"/>
      <c r="J149" s="419"/>
      <c r="K149" s="444"/>
      <c r="L149" s="406"/>
    </row>
    <row r="150" spans="1:14" ht="24">
      <c r="A150" s="422"/>
      <c r="B150" s="471" t="s">
        <v>566</v>
      </c>
      <c r="C150" s="476"/>
      <c r="D150" s="487"/>
      <c r="E150" s="402"/>
      <c r="F150" s="443" t="s">
        <v>559</v>
      </c>
      <c r="G150" s="413"/>
      <c r="H150" s="419"/>
      <c r="I150" s="450"/>
      <c r="J150" s="419"/>
      <c r="K150" s="444"/>
      <c r="L150" s="406"/>
    </row>
    <row r="151" spans="1:14" ht="24">
      <c r="A151" s="449"/>
      <c r="B151" s="471" t="s">
        <v>567</v>
      </c>
      <c r="C151" s="476"/>
      <c r="D151" s="487"/>
      <c r="E151" s="402"/>
      <c r="F151" s="443" t="s">
        <v>559</v>
      </c>
      <c r="G151" s="413"/>
      <c r="H151" s="419"/>
      <c r="I151" s="450"/>
      <c r="J151" s="419"/>
      <c r="K151" s="444"/>
      <c r="L151" s="406"/>
      <c r="N151" s="367">
        <f>SUM(E146:E151)</f>
        <v>0</v>
      </c>
    </row>
    <row r="152" spans="1:14" ht="24">
      <c r="A152" s="449" t="s">
        <v>633</v>
      </c>
      <c r="B152" s="471" t="s">
        <v>569</v>
      </c>
      <c r="C152" s="476"/>
      <c r="D152" s="487"/>
      <c r="E152" s="402"/>
      <c r="F152" s="443" t="s">
        <v>559</v>
      </c>
      <c r="G152" s="413"/>
      <c r="H152" s="419"/>
      <c r="I152" s="413"/>
      <c r="J152" s="419"/>
      <c r="K152" s="444"/>
      <c r="L152" s="406"/>
    </row>
    <row r="153" spans="1:14" ht="24">
      <c r="A153" s="449" t="s">
        <v>634</v>
      </c>
      <c r="B153" s="471" t="s">
        <v>635</v>
      </c>
      <c r="C153" s="476"/>
      <c r="D153" s="487"/>
      <c r="E153" s="402"/>
      <c r="F153" s="443" t="s">
        <v>559</v>
      </c>
      <c r="G153" s="413"/>
      <c r="H153" s="419"/>
      <c r="I153" s="413"/>
      <c r="J153" s="419"/>
      <c r="K153" s="444"/>
      <c r="L153" s="406"/>
    </row>
    <row r="154" spans="1:14" ht="24">
      <c r="A154" s="449" t="s">
        <v>636</v>
      </c>
      <c r="B154" s="471" t="s">
        <v>637</v>
      </c>
      <c r="C154" s="476"/>
      <c r="D154" s="487"/>
      <c r="E154" s="402"/>
      <c r="F154" s="443" t="s">
        <v>559</v>
      </c>
      <c r="G154" s="413"/>
      <c r="H154" s="419"/>
      <c r="I154" s="413"/>
      <c r="J154" s="419"/>
      <c r="K154" s="444"/>
      <c r="L154" s="406"/>
    </row>
    <row r="155" spans="1:14" ht="24">
      <c r="A155" s="449" t="s">
        <v>638</v>
      </c>
      <c r="B155" s="471" t="s">
        <v>625</v>
      </c>
      <c r="C155" s="476"/>
      <c r="D155" s="487"/>
      <c r="E155" s="402"/>
      <c r="F155" s="443" t="s">
        <v>559</v>
      </c>
      <c r="G155" s="413"/>
      <c r="H155" s="419"/>
      <c r="I155" s="413"/>
      <c r="J155" s="419"/>
      <c r="K155" s="444"/>
      <c r="L155" s="406"/>
    </row>
    <row r="156" spans="1:14" ht="24">
      <c r="A156" s="449" t="s">
        <v>639</v>
      </c>
      <c r="B156" s="471" t="s">
        <v>601</v>
      </c>
      <c r="C156" s="476"/>
      <c r="D156" s="487"/>
      <c r="E156" s="402"/>
      <c r="F156" s="443" t="s">
        <v>183</v>
      </c>
      <c r="G156" s="413"/>
      <c r="H156" s="419"/>
      <c r="I156" s="413"/>
      <c r="J156" s="419"/>
      <c r="K156" s="444"/>
      <c r="L156" s="406"/>
    </row>
    <row r="157" spans="1:14" ht="24">
      <c r="A157" s="449" t="s">
        <v>640</v>
      </c>
      <c r="B157" s="471" t="s">
        <v>603</v>
      </c>
      <c r="C157" s="476"/>
      <c r="D157" s="487"/>
      <c r="E157" s="444"/>
      <c r="F157" s="443" t="s">
        <v>183</v>
      </c>
      <c r="G157" s="413"/>
      <c r="H157" s="419"/>
      <c r="I157" s="413"/>
      <c r="J157" s="419"/>
      <c r="K157" s="444"/>
      <c r="L157" s="406"/>
    </row>
    <row r="158" spans="1:14" ht="21" customHeight="1">
      <c r="A158" s="426"/>
      <c r="B158" s="471"/>
      <c r="C158" s="476"/>
      <c r="D158" s="487"/>
      <c r="E158" s="444"/>
      <c r="F158" s="443"/>
      <c r="G158" s="413"/>
      <c r="H158" s="419"/>
      <c r="I158" s="413"/>
      <c r="J158" s="419"/>
      <c r="K158" s="444"/>
      <c r="L158" s="406"/>
    </row>
    <row r="159" spans="1:14" ht="21" customHeight="1">
      <c r="A159" s="426"/>
      <c r="B159" s="471"/>
      <c r="C159" s="476"/>
      <c r="D159" s="487"/>
      <c r="E159" s="444"/>
      <c r="F159" s="443"/>
      <c r="G159" s="413"/>
      <c r="H159" s="419"/>
      <c r="I159" s="413"/>
      <c r="J159" s="419"/>
      <c r="K159" s="444"/>
      <c r="L159" s="406"/>
    </row>
    <row r="160" spans="1:14" ht="21" customHeight="1">
      <c r="A160" s="449"/>
      <c r="B160" s="425"/>
      <c r="C160" s="476"/>
      <c r="D160" s="418"/>
      <c r="E160" s="444"/>
      <c r="F160" s="443"/>
      <c r="G160" s="413"/>
      <c r="H160" s="419"/>
      <c r="I160" s="413"/>
      <c r="J160" s="419"/>
      <c r="K160" s="444"/>
      <c r="L160" s="406"/>
    </row>
    <row r="161" spans="1:12" ht="20.25" customHeight="1" thickBot="1">
      <c r="A161" s="449"/>
      <c r="B161" s="425"/>
      <c r="C161" s="476"/>
      <c r="D161" s="418"/>
      <c r="E161" s="444"/>
      <c r="F161" s="443"/>
      <c r="G161" s="413"/>
      <c r="H161" s="419"/>
      <c r="I161" s="413"/>
      <c r="J161" s="419"/>
      <c r="K161" s="444"/>
      <c r="L161" s="406"/>
    </row>
    <row r="162" spans="1:12" ht="24" customHeight="1" thickTop="1">
      <c r="A162" s="427"/>
      <c r="B162" s="2084" t="s">
        <v>641</v>
      </c>
      <c r="C162" s="2085"/>
      <c r="D162" s="2086"/>
      <c r="E162" s="428"/>
      <c r="F162" s="429"/>
      <c r="G162" s="461"/>
      <c r="H162" s="431"/>
      <c r="I162" s="432"/>
      <c r="J162" s="431"/>
      <c r="K162" s="431"/>
      <c r="L162" s="434"/>
    </row>
    <row r="163" spans="1:12" ht="24">
      <c r="A163" s="482">
        <v>1.7</v>
      </c>
      <c r="B163" s="2090" t="s">
        <v>535</v>
      </c>
      <c r="C163" s="2091"/>
      <c r="D163" s="2092"/>
      <c r="E163" s="397"/>
      <c r="F163" s="481"/>
      <c r="G163" s="413"/>
      <c r="H163" s="412"/>
      <c r="I163" s="413"/>
      <c r="J163" s="412"/>
      <c r="K163" s="414"/>
      <c r="L163" s="415"/>
    </row>
    <row r="164" spans="1:12" ht="24">
      <c r="A164" s="422" t="s">
        <v>642</v>
      </c>
      <c r="B164" s="483" t="s">
        <v>625</v>
      </c>
      <c r="C164" s="408"/>
      <c r="D164" s="409"/>
      <c r="E164" s="402"/>
      <c r="F164" s="443" t="s">
        <v>559</v>
      </c>
      <c r="G164" s="413"/>
      <c r="H164" s="419"/>
      <c r="I164" s="413"/>
      <c r="J164" s="419"/>
      <c r="K164" s="444"/>
      <c r="L164" s="445"/>
    </row>
    <row r="165" spans="1:12" ht="24">
      <c r="A165" s="422" t="s">
        <v>643</v>
      </c>
      <c r="B165" s="484" t="s">
        <v>601</v>
      </c>
      <c r="C165" s="408"/>
      <c r="D165" s="417"/>
      <c r="E165" s="397"/>
      <c r="F165" s="443" t="s">
        <v>183</v>
      </c>
      <c r="G165" s="413"/>
      <c r="H165" s="419"/>
      <c r="I165" s="413"/>
      <c r="J165" s="419"/>
      <c r="K165" s="444"/>
      <c r="L165" s="415"/>
    </row>
    <row r="166" spans="1:12" ht="24">
      <c r="A166" s="422" t="s">
        <v>644</v>
      </c>
      <c r="B166" s="484" t="s">
        <v>603</v>
      </c>
      <c r="C166" s="408"/>
      <c r="D166" s="418"/>
      <c r="E166" s="397"/>
      <c r="F166" s="443" t="s">
        <v>183</v>
      </c>
      <c r="G166" s="413"/>
      <c r="H166" s="419"/>
      <c r="I166" s="413"/>
      <c r="J166" s="419"/>
      <c r="K166" s="444"/>
      <c r="L166" s="415"/>
    </row>
    <row r="167" spans="1:12" ht="24">
      <c r="A167" s="424"/>
      <c r="B167" s="485"/>
      <c r="C167" s="408"/>
      <c r="D167" s="418"/>
      <c r="E167" s="397"/>
      <c r="F167" s="443"/>
      <c r="G167" s="413"/>
      <c r="H167" s="419"/>
      <c r="I167" s="413"/>
      <c r="J167" s="419"/>
      <c r="K167" s="444"/>
      <c r="L167" s="415"/>
    </row>
    <row r="168" spans="1:12" ht="24">
      <c r="A168" s="424"/>
      <c r="B168" s="485"/>
      <c r="C168" s="408"/>
      <c r="D168" s="418"/>
      <c r="E168" s="397"/>
      <c r="F168" s="443"/>
      <c r="G168" s="413"/>
      <c r="H168" s="419"/>
      <c r="I168" s="413"/>
      <c r="J168" s="419"/>
      <c r="K168" s="444"/>
      <c r="L168" s="415"/>
    </row>
    <row r="169" spans="1:12" ht="24">
      <c r="A169" s="424"/>
      <c r="B169" s="485"/>
      <c r="C169" s="408"/>
      <c r="D169" s="418"/>
      <c r="E169" s="402"/>
      <c r="F169" s="443"/>
      <c r="G169" s="413"/>
      <c r="H169" s="419"/>
      <c r="I169" s="413"/>
      <c r="J169" s="419"/>
      <c r="K169" s="444"/>
      <c r="L169" s="406"/>
    </row>
    <row r="170" spans="1:12" ht="24">
      <c r="A170" s="424"/>
      <c r="B170" s="486"/>
      <c r="C170" s="476"/>
      <c r="D170" s="487"/>
      <c r="E170" s="397"/>
      <c r="F170" s="443"/>
      <c r="G170" s="413"/>
      <c r="H170" s="419"/>
      <c r="I170" s="413"/>
      <c r="J170" s="419"/>
      <c r="K170" s="444"/>
      <c r="L170" s="406"/>
    </row>
    <row r="171" spans="1:12" ht="24">
      <c r="A171" s="424"/>
      <c r="B171" s="486"/>
      <c r="C171" s="476"/>
      <c r="D171" s="487"/>
      <c r="E171" s="397"/>
      <c r="F171" s="443"/>
      <c r="G171" s="413"/>
      <c r="H171" s="419"/>
      <c r="I171" s="413"/>
      <c r="J171" s="419"/>
      <c r="K171" s="444"/>
      <c r="L171" s="406"/>
    </row>
    <row r="172" spans="1:12" ht="24">
      <c r="A172" s="424"/>
      <c r="B172" s="471"/>
      <c r="C172" s="476"/>
      <c r="D172" s="487"/>
      <c r="E172" s="402"/>
      <c r="F172" s="443"/>
      <c r="G172" s="413"/>
      <c r="H172" s="419"/>
      <c r="I172" s="413"/>
      <c r="J172" s="419"/>
      <c r="K172" s="444"/>
      <c r="L172" s="406"/>
    </row>
    <row r="173" spans="1:12" ht="24">
      <c r="A173" s="426"/>
      <c r="B173" s="471"/>
      <c r="C173" s="476"/>
      <c r="D173" s="487"/>
      <c r="E173" s="402"/>
      <c r="F173" s="443"/>
      <c r="G173" s="413"/>
      <c r="H173" s="419"/>
      <c r="I173" s="413"/>
      <c r="J173" s="419"/>
      <c r="K173" s="444"/>
      <c r="L173" s="406"/>
    </row>
    <row r="174" spans="1:12" ht="24">
      <c r="A174" s="426"/>
      <c r="B174" s="471"/>
      <c r="C174" s="476"/>
      <c r="D174" s="487"/>
      <c r="E174" s="402"/>
      <c r="F174" s="443"/>
      <c r="G174" s="413"/>
      <c r="H174" s="419"/>
      <c r="I174" s="413"/>
      <c r="J174" s="419"/>
      <c r="K174" s="444"/>
      <c r="L174" s="406"/>
    </row>
    <row r="175" spans="1:12" ht="24">
      <c r="A175" s="426"/>
      <c r="B175" s="471"/>
      <c r="C175" s="476"/>
      <c r="D175" s="487"/>
      <c r="E175" s="402"/>
      <c r="F175" s="443"/>
      <c r="G175" s="413"/>
      <c r="H175" s="419"/>
      <c r="I175" s="413"/>
      <c r="J175" s="419"/>
      <c r="K175" s="444"/>
      <c r="L175" s="406"/>
    </row>
    <row r="176" spans="1:12" ht="24">
      <c r="A176" s="426"/>
      <c r="B176" s="471"/>
      <c r="C176" s="476"/>
      <c r="D176" s="487"/>
      <c r="E176" s="402"/>
      <c r="F176" s="443"/>
      <c r="G176" s="413"/>
      <c r="H176" s="419"/>
      <c r="I176" s="413"/>
      <c r="J176" s="419"/>
      <c r="K176" s="444"/>
      <c r="L176" s="406"/>
    </row>
    <row r="177" spans="1:12" ht="24">
      <c r="A177" s="426"/>
      <c r="B177" s="471"/>
      <c r="C177" s="476"/>
      <c r="D177" s="487"/>
      <c r="E177" s="402"/>
      <c r="F177" s="443"/>
      <c r="G177" s="413"/>
      <c r="H177" s="419"/>
      <c r="I177" s="413"/>
      <c r="J177" s="419"/>
      <c r="K177" s="444"/>
      <c r="L177" s="406"/>
    </row>
    <row r="178" spans="1:12" ht="24">
      <c r="A178" s="426"/>
      <c r="B178" s="471"/>
      <c r="C178" s="476"/>
      <c r="D178" s="487"/>
      <c r="E178" s="402"/>
      <c r="F178" s="443"/>
      <c r="G178" s="413"/>
      <c r="H178" s="419"/>
      <c r="I178" s="413"/>
      <c r="J178" s="419"/>
      <c r="K178" s="444"/>
      <c r="L178" s="406"/>
    </row>
    <row r="179" spans="1:12" ht="21" customHeight="1">
      <c r="A179" s="426"/>
      <c r="B179" s="471"/>
      <c r="C179" s="476"/>
      <c r="D179" s="487"/>
      <c r="E179" s="444"/>
      <c r="F179" s="443"/>
      <c r="G179" s="413"/>
      <c r="H179" s="419"/>
      <c r="I179" s="413"/>
      <c r="J179" s="419"/>
      <c r="K179" s="444"/>
      <c r="L179" s="406"/>
    </row>
    <row r="180" spans="1:12" ht="21.75" customHeight="1">
      <c r="A180" s="426"/>
      <c r="B180" s="471"/>
      <c r="C180" s="476"/>
      <c r="D180" s="487"/>
      <c r="E180" s="444"/>
      <c r="F180" s="443"/>
      <c r="G180" s="413"/>
      <c r="H180" s="419"/>
      <c r="I180" s="413"/>
      <c r="J180" s="419"/>
      <c r="K180" s="444"/>
      <c r="L180" s="406"/>
    </row>
    <row r="181" spans="1:12" ht="20.25" customHeight="1">
      <c r="A181" s="426"/>
      <c r="B181" s="471"/>
      <c r="C181" s="476"/>
      <c r="D181" s="487"/>
      <c r="E181" s="444"/>
      <c r="F181" s="443"/>
      <c r="G181" s="413"/>
      <c r="H181" s="419"/>
      <c r="I181" s="413"/>
      <c r="J181" s="419"/>
      <c r="K181" s="444"/>
      <c r="L181" s="406"/>
    </row>
    <row r="182" spans="1:12" ht="21" customHeight="1">
      <c r="A182" s="449"/>
      <c r="B182" s="425"/>
      <c r="C182" s="476"/>
      <c r="D182" s="418"/>
      <c r="E182" s="444"/>
      <c r="F182" s="443"/>
      <c r="G182" s="413"/>
      <c r="H182" s="419"/>
      <c r="I182" s="413"/>
      <c r="J182" s="419"/>
      <c r="K182" s="444"/>
      <c r="L182" s="406"/>
    </row>
    <row r="183" spans="1:12" ht="21.75" customHeight="1" thickBot="1">
      <c r="A183" s="449"/>
      <c r="B183" s="425"/>
      <c r="C183" s="476"/>
      <c r="D183" s="418"/>
      <c r="E183" s="444"/>
      <c r="F183" s="443"/>
      <c r="G183" s="413"/>
      <c r="H183" s="419"/>
      <c r="I183" s="413"/>
      <c r="J183" s="419"/>
      <c r="K183" s="444"/>
      <c r="L183" s="406"/>
    </row>
    <row r="184" spans="1:12" ht="24" customHeight="1" thickTop="1">
      <c r="A184" s="427"/>
      <c r="B184" s="2084" t="s">
        <v>645</v>
      </c>
      <c r="C184" s="2085"/>
      <c r="D184" s="2086"/>
      <c r="E184" s="428"/>
      <c r="F184" s="429"/>
      <c r="G184" s="461"/>
      <c r="H184" s="431"/>
      <c r="I184" s="432"/>
      <c r="J184" s="431"/>
      <c r="K184" s="431"/>
      <c r="L184" s="434"/>
    </row>
    <row r="185" spans="1:12" ht="24">
      <c r="A185" s="482">
        <v>1.8</v>
      </c>
      <c r="B185" s="2081" t="s">
        <v>536</v>
      </c>
      <c r="C185" s="2082"/>
      <c r="D185" s="2083"/>
      <c r="E185" s="397"/>
      <c r="F185" s="481"/>
      <c r="G185" s="413"/>
      <c r="H185" s="412"/>
      <c r="I185" s="413"/>
      <c r="J185" s="412"/>
      <c r="K185" s="414"/>
      <c r="L185" s="415"/>
    </row>
    <row r="186" spans="1:12" ht="24">
      <c r="A186" s="422" t="s">
        <v>646</v>
      </c>
      <c r="B186" s="483" t="s">
        <v>647</v>
      </c>
      <c r="C186" s="408"/>
      <c r="D186" s="409"/>
      <c r="E186" s="402"/>
      <c r="F186" s="443" t="s">
        <v>546</v>
      </c>
      <c r="G186" s="413"/>
      <c r="H186" s="419"/>
      <c r="I186" s="413"/>
      <c r="J186" s="419"/>
      <c r="K186" s="444"/>
      <c r="L186" s="445"/>
    </row>
    <row r="187" spans="1:12" ht="24">
      <c r="A187" s="422" t="s">
        <v>648</v>
      </c>
      <c r="B187" s="484" t="s">
        <v>649</v>
      </c>
      <c r="C187" s="408"/>
      <c r="D187" s="417"/>
      <c r="E187" s="397"/>
      <c r="F187" s="443" t="s">
        <v>546</v>
      </c>
      <c r="G187" s="413"/>
      <c r="H187" s="419"/>
      <c r="I187" s="413"/>
      <c r="J187" s="419"/>
      <c r="K187" s="444"/>
      <c r="L187" s="415"/>
    </row>
    <row r="188" spans="1:12" ht="24">
      <c r="A188" s="422" t="s">
        <v>650</v>
      </c>
      <c r="B188" s="484" t="s">
        <v>556</v>
      </c>
      <c r="C188" s="408"/>
      <c r="D188" s="418"/>
      <c r="E188" s="397"/>
      <c r="F188" s="443" t="s">
        <v>183</v>
      </c>
      <c r="G188" s="470"/>
      <c r="H188" s="419"/>
      <c r="I188" s="413"/>
      <c r="J188" s="419"/>
      <c r="K188" s="444"/>
      <c r="L188" s="415"/>
    </row>
    <row r="189" spans="1:12" ht="24">
      <c r="A189" s="422" t="s">
        <v>651</v>
      </c>
      <c r="B189" s="485" t="s">
        <v>558</v>
      </c>
      <c r="C189" s="408"/>
      <c r="D189" s="418"/>
      <c r="E189" s="397"/>
      <c r="F189" s="443" t="s">
        <v>559</v>
      </c>
      <c r="G189" s="413"/>
      <c r="H189" s="419"/>
      <c r="I189" s="413"/>
      <c r="J189" s="419"/>
      <c r="K189" s="444"/>
      <c r="L189" s="415"/>
    </row>
    <row r="190" spans="1:12" ht="24">
      <c r="A190" s="422" t="s">
        <v>652</v>
      </c>
      <c r="B190" s="485" t="s">
        <v>561</v>
      </c>
      <c r="C190" s="408"/>
      <c r="D190" s="418"/>
      <c r="E190" s="397"/>
      <c r="F190" s="443"/>
      <c r="G190" s="413"/>
      <c r="H190" s="419"/>
      <c r="I190" s="413"/>
      <c r="J190" s="419"/>
      <c r="K190" s="444"/>
      <c r="L190" s="415"/>
    </row>
    <row r="191" spans="1:12" ht="24">
      <c r="A191" s="422"/>
      <c r="B191" s="485" t="s">
        <v>562</v>
      </c>
      <c r="C191" s="408"/>
      <c r="D191" s="418"/>
      <c r="E191" s="402"/>
      <c r="F191" s="443" t="s">
        <v>559</v>
      </c>
      <c r="G191" s="413"/>
      <c r="H191" s="419"/>
      <c r="I191" s="450"/>
      <c r="J191" s="419"/>
      <c r="K191" s="444"/>
      <c r="L191" s="406"/>
    </row>
    <row r="192" spans="1:12" ht="24">
      <c r="A192" s="422"/>
      <c r="B192" s="486" t="s">
        <v>563</v>
      </c>
      <c r="C192" s="476"/>
      <c r="D192" s="487"/>
      <c r="E192" s="397"/>
      <c r="F192" s="443" t="s">
        <v>559</v>
      </c>
      <c r="G192" s="413"/>
      <c r="H192" s="419"/>
      <c r="I192" s="450"/>
      <c r="J192" s="419"/>
      <c r="K192" s="444"/>
      <c r="L192" s="406"/>
    </row>
    <row r="193" spans="1:14" ht="24">
      <c r="A193" s="422"/>
      <c r="B193" s="486" t="s">
        <v>564</v>
      </c>
      <c r="C193" s="476"/>
      <c r="D193" s="487"/>
      <c r="E193" s="397"/>
      <c r="F193" s="443" t="s">
        <v>559</v>
      </c>
      <c r="G193" s="413"/>
      <c r="H193" s="419"/>
      <c r="I193" s="450"/>
      <c r="J193" s="419"/>
      <c r="K193" s="444"/>
      <c r="L193" s="406"/>
    </row>
    <row r="194" spans="1:14" ht="24">
      <c r="A194" s="422"/>
      <c r="B194" s="471" t="s">
        <v>565</v>
      </c>
      <c r="C194" s="476"/>
      <c r="D194" s="487"/>
      <c r="E194" s="402"/>
      <c r="F194" s="443" t="s">
        <v>559</v>
      </c>
      <c r="G194" s="413"/>
      <c r="H194" s="419"/>
      <c r="I194" s="450"/>
      <c r="J194" s="419"/>
      <c r="K194" s="444"/>
      <c r="L194" s="406"/>
    </row>
    <row r="195" spans="1:14" ht="24">
      <c r="A195" s="449"/>
      <c r="B195" s="471" t="s">
        <v>566</v>
      </c>
      <c r="C195" s="476"/>
      <c r="D195" s="487"/>
      <c r="E195" s="402"/>
      <c r="F195" s="443" t="s">
        <v>559</v>
      </c>
      <c r="G195" s="413"/>
      <c r="H195" s="419"/>
      <c r="I195" s="450"/>
      <c r="J195" s="419"/>
      <c r="K195" s="444"/>
      <c r="L195" s="406"/>
    </row>
    <row r="196" spans="1:14" ht="24">
      <c r="A196" s="449"/>
      <c r="B196" s="471" t="s">
        <v>567</v>
      </c>
      <c r="C196" s="476"/>
      <c r="D196" s="487"/>
      <c r="E196" s="402"/>
      <c r="F196" s="443" t="s">
        <v>559</v>
      </c>
      <c r="G196" s="413"/>
      <c r="H196" s="419"/>
      <c r="I196" s="450"/>
      <c r="J196" s="419"/>
      <c r="K196" s="444"/>
      <c r="L196" s="406"/>
      <c r="N196" s="367">
        <f>SUM(E191:E196)</f>
        <v>0</v>
      </c>
    </row>
    <row r="197" spans="1:14" ht="24">
      <c r="A197" s="449" t="s">
        <v>653</v>
      </c>
      <c r="B197" s="471" t="s">
        <v>569</v>
      </c>
      <c r="C197" s="476"/>
      <c r="D197" s="487"/>
      <c r="E197" s="402"/>
      <c r="F197" s="443" t="s">
        <v>559</v>
      </c>
      <c r="G197" s="413"/>
      <c r="H197" s="419"/>
      <c r="I197" s="413"/>
      <c r="J197" s="419"/>
      <c r="K197" s="444"/>
      <c r="L197" s="406"/>
    </row>
    <row r="198" spans="1:14" ht="24">
      <c r="A198" s="449" t="s">
        <v>654</v>
      </c>
      <c r="B198" s="471" t="s">
        <v>655</v>
      </c>
      <c r="C198" s="476"/>
      <c r="D198" s="487"/>
      <c r="E198" s="402"/>
      <c r="F198" s="443" t="s">
        <v>184</v>
      </c>
      <c r="G198" s="413"/>
      <c r="H198" s="419"/>
      <c r="I198" s="413"/>
      <c r="J198" s="419"/>
      <c r="K198" s="444"/>
      <c r="L198" s="406"/>
    </row>
    <row r="199" spans="1:14" ht="24">
      <c r="A199" s="449" t="s">
        <v>656</v>
      </c>
      <c r="B199" s="471" t="s">
        <v>657</v>
      </c>
      <c r="C199" s="476"/>
      <c r="D199" s="487"/>
      <c r="E199" s="402"/>
      <c r="F199" s="443" t="s">
        <v>183</v>
      </c>
      <c r="G199" s="413"/>
      <c r="H199" s="419"/>
      <c r="I199" s="413"/>
      <c r="J199" s="419"/>
      <c r="K199" s="444"/>
      <c r="L199" s="406"/>
    </row>
    <row r="200" spans="1:14" ht="24">
      <c r="A200" s="449" t="s">
        <v>658</v>
      </c>
      <c r="B200" s="471" t="s">
        <v>659</v>
      </c>
      <c r="C200" s="476"/>
      <c r="D200" s="487"/>
      <c r="E200" s="402"/>
      <c r="F200" s="443" t="s">
        <v>183</v>
      </c>
      <c r="G200" s="413"/>
      <c r="H200" s="419"/>
      <c r="I200" s="413"/>
      <c r="J200" s="419"/>
      <c r="K200" s="444"/>
      <c r="L200" s="406"/>
    </row>
    <row r="201" spans="1:14" ht="21.75" customHeight="1">
      <c r="A201" s="426"/>
      <c r="B201" s="471"/>
      <c r="C201" s="476"/>
      <c r="D201" s="487"/>
      <c r="E201" s="444"/>
      <c r="F201" s="443"/>
      <c r="G201" s="413"/>
      <c r="H201" s="419"/>
      <c r="I201" s="413"/>
      <c r="J201" s="419"/>
      <c r="K201" s="444"/>
      <c r="L201" s="406"/>
    </row>
    <row r="202" spans="1:14" ht="21" customHeight="1">
      <c r="A202" s="426"/>
      <c r="B202" s="471"/>
      <c r="C202" s="476"/>
      <c r="D202" s="487"/>
      <c r="E202" s="444"/>
      <c r="F202" s="443"/>
      <c r="G202" s="413"/>
      <c r="H202" s="419"/>
      <c r="I202" s="413"/>
      <c r="J202" s="419"/>
      <c r="K202" s="444"/>
      <c r="L202" s="406"/>
    </row>
    <row r="203" spans="1:14" ht="21" customHeight="1">
      <c r="A203" s="426"/>
      <c r="B203" s="471"/>
      <c r="C203" s="476"/>
      <c r="D203" s="487"/>
      <c r="E203" s="444"/>
      <c r="F203" s="443"/>
      <c r="G203" s="413"/>
      <c r="H203" s="419"/>
      <c r="I203" s="413"/>
      <c r="J203" s="419"/>
      <c r="K203" s="444"/>
      <c r="L203" s="406"/>
    </row>
    <row r="204" spans="1:14" ht="21.75" customHeight="1">
      <c r="A204" s="449"/>
      <c r="B204" s="425"/>
      <c r="C204" s="476"/>
      <c r="D204" s="418"/>
      <c r="E204" s="444"/>
      <c r="F204" s="443"/>
      <c r="G204" s="413"/>
      <c r="H204" s="419"/>
      <c r="I204" s="413"/>
      <c r="J204" s="419"/>
      <c r="K204" s="444"/>
      <c r="L204" s="406"/>
    </row>
    <row r="205" spans="1:14" ht="24.75" thickBot="1">
      <c r="A205" s="449"/>
      <c r="B205" s="425"/>
      <c r="C205" s="476"/>
      <c r="D205" s="418"/>
      <c r="E205" s="444"/>
      <c r="F205" s="443"/>
      <c r="G205" s="413"/>
      <c r="H205" s="419"/>
      <c r="I205" s="413"/>
      <c r="J205" s="419"/>
      <c r="K205" s="444"/>
      <c r="L205" s="406"/>
    </row>
    <row r="206" spans="1:14" ht="24" customHeight="1" thickTop="1">
      <c r="A206" s="427"/>
      <c r="B206" s="2084" t="s">
        <v>660</v>
      </c>
      <c r="C206" s="2085"/>
      <c r="D206" s="2086"/>
      <c r="E206" s="428"/>
      <c r="F206" s="429"/>
      <c r="G206" s="461"/>
      <c r="H206" s="431"/>
      <c r="I206" s="432"/>
      <c r="J206" s="431"/>
      <c r="K206" s="431"/>
      <c r="L206" s="434"/>
    </row>
    <row r="207" spans="1:14" ht="24">
      <c r="A207" s="482">
        <v>1.9</v>
      </c>
      <c r="B207" s="2081" t="s">
        <v>537</v>
      </c>
      <c r="C207" s="2082"/>
      <c r="D207" s="2083"/>
      <c r="E207" s="397"/>
      <c r="F207" s="481"/>
      <c r="G207" s="413"/>
      <c r="H207" s="412"/>
      <c r="I207" s="413"/>
      <c r="J207" s="412"/>
      <c r="K207" s="414"/>
      <c r="L207" s="415"/>
    </row>
    <row r="208" spans="1:14" ht="24">
      <c r="A208" s="422" t="s">
        <v>661</v>
      </c>
      <c r="B208" s="483" t="s">
        <v>554</v>
      </c>
      <c r="C208" s="408"/>
      <c r="D208" s="409"/>
      <c r="E208" s="402"/>
      <c r="F208" s="443" t="s">
        <v>546</v>
      </c>
      <c r="G208" s="413"/>
      <c r="H208" s="419"/>
      <c r="I208" s="413"/>
      <c r="J208" s="419"/>
      <c r="K208" s="444"/>
      <c r="L208" s="445"/>
    </row>
    <row r="209" spans="1:14" ht="24">
      <c r="A209" s="422" t="s">
        <v>662</v>
      </c>
      <c r="B209" s="484" t="s">
        <v>556</v>
      </c>
      <c r="C209" s="408"/>
      <c r="D209" s="417"/>
      <c r="E209" s="397"/>
      <c r="F209" s="443" t="s">
        <v>183</v>
      </c>
      <c r="G209" s="470"/>
      <c r="H209" s="419"/>
      <c r="I209" s="413"/>
      <c r="J209" s="419"/>
      <c r="K209" s="444"/>
      <c r="L209" s="415"/>
    </row>
    <row r="210" spans="1:14" ht="24">
      <c r="A210" s="422" t="s">
        <v>663</v>
      </c>
      <c r="B210" s="484" t="s">
        <v>558</v>
      </c>
      <c r="C210" s="408"/>
      <c r="D210" s="418"/>
      <c r="E210" s="397"/>
      <c r="F210" s="443" t="s">
        <v>559</v>
      </c>
      <c r="G210" s="413"/>
      <c r="H210" s="419"/>
      <c r="I210" s="413"/>
      <c r="J210" s="419"/>
      <c r="K210" s="444"/>
      <c r="L210" s="415"/>
    </row>
    <row r="211" spans="1:14" ht="24">
      <c r="A211" s="422" t="s">
        <v>664</v>
      </c>
      <c r="B211" s="485" t="s">
        <v>561</v>
      </c>
      <c r="C211" s="408"/>
      <c r="D211" s="418"/>
      <c r="E211" s="397"/>
      <c r="F211" s="443"/>
      <c r="G211" s="413"/>
      <c r="H211" s="419"/>
      <c r="I211" s="413"/>
      <c r="J211" s="419"/>
      <c r="K211" s="444"/>
      <c r="L211" s="415"/>
    </row>
    <row r="212" spans="1:14" ht="24">
      <c r="A212" s="422"/>
      <c r="B212" s="485" t="s">
        <v>562</v>
      </c>
      <c r="C212" s="408"/>
      <c r="D212" s="418"/>
      <c r="E212" s="397"/>
      <c r="F212" s="443" t="s">
        <v>559</v>
      </c>
      <c r="G212" s="413"/>
      <c r="H212" s="419"/>
      <c r="I212" s="450"/>
      <c r="J212" s="419"/>
      <c r="K212" s="444"/>
      <c r="L212" s="415"/>
    </row>
    <row r="213" spans="1:14" ht="24">
      <c r="A213" s="422"/>
      <c r="B213" s="485" t="s">
        <v>563</v>
      </c>
      <c r="C213" s="408"/>
      <c r="D213" s="418"/>
      <c r="E213" s="402"/>
      <c r="F213" s="443" t="s">
        <v>559</v>
      </c>
      <c r="G213" s="413"/>
      <c r="H213" s="419"/>
      <c r="I213" s="450"/>
      <c r="J213" s="419"/>
      <c r="K213" s="444"/>
      <c r="L213" s="406"/>
    </row>
    <row r="214" spans="1:14" ht="24">
      <c r="A214" s="422"/>
      <c r="B214" s="486" t="s">
        <v>564</v>
      </c>
      <c r="C214" s="476"/>
      <c r="D214" s="487"/>
      <c r="E214" s="397"/>
      <c r="F214" s="443" t="s">
        <v>559</v>
      </c>
      <c r="G214" s="413"/>
      <c r="H214" s="419"/>
      <c r="I214" s="450"/>
      <c r="J214" s="419"/>
      <c r="K214" s="444"/>
      <c r="L214" s="406"/>
    </row>
    <row r="215" spans="1:14" ht="24">
      <c r="A215" s="422"/>
      <c r="B215" s="486" t="s">
        <v>565</v>
      </c>
      <c r="C215" s="476"/>
      <c r="D215" s="487"/>
      <c r="E215" s="397"/>
      <c r="F215" s="443" t="s">
        <v>559</v>
      </c>
      <c r="G215" s="413"/>
      <c r="H215" s="419"/>
      <c r="I215" s="450"/>
      <c r="J215" s="419"/>
      <c r="K215" s="444"/>
      <c r="L215" s="406"/>
    </row>
    <row r="216" spans="1:14" ht="24">
      <c r="A216" s="422"/>
      <c r="B216" s="471" t="s">
        <v>566</v>
      </c>
      <c r="C216" s="476"/>
      <c r="D216" s="487"/>
      <c r="E216" s="402"/>
      <c r="F216" s="443" t="s">
        <v>559</v>
      </c>
      <c r="G216" s="413"/>
      <c r="H216" s="419"/>
      <c r="I216" s="450"/>
      <c r="J216" s="419"/>
      <c r="K216" s="444"/>
      <c r="L216" s="406"/>
    </row>
    <row r="217" spans="1:14" ht="24">
      <c r="A217" s="449"/>
      <c r="B217" s="471" t="s">
        <v>567</v>
      </c>
      <c r="C217" s="476"/>
      <c r="D217" s="487"/>
      <c r="E217" s="402"/>
      <c r="F217" s="443" t="s">
        <v>559</v>
      </c>
      <c r="G217" s="413"/>
      <c r="H217" s="419"/>
      <c r="I217" s="450"/>
      <c r="J217" s="419"/>
      <c r="K217" s="444"/>
      <c r="L217" s="406"/>
      <c r="N217" s="367">
        <f>SUM(E212:E217)</f>
        <v>0</v>
      </c>
    </row>
    <row r="218" spans="1:14" ht="24">
      <c r="A218" s="449" t="s">
        <v>665</v>
      </c>
      <c r="B218" s="471" t="s">
        <v>569</v>
      </c>
      <c r="C218" s="476"/>
      <c r="D218" s="487"/>
      <c r="E218" s="402"/>
      <c r="F218" s="443" t="s">
        <v>559</v>
      </c>
      <c r="G218" s="413"/>
      <c r="H218" s="419"/>
      <c r="I218" s="413"/>
      <c r="J218" s="419"/>
      <c r="K218" s="444"/>
      <c r="L218" s="406"/>
    </row>
    <row r="219" spans="1:14" ht="24">
      <c r="A219" s="449" t="s">
        <v>666</v>
      </c>
      <c r="B219" s="471" t="s">
        <v>667</v>
      </c>
      <c r="C219" s="476"/>
      <c r="D219" s="487"/>
      <c r="E219" s="402"/>
      <c r="F219" s="443" t="s">
        <v>559</v>
      </c>
      <c r="G219" s="413"/>
      <c r="H219" s="419"/>
      <c r="I219" s="413"/>
      <c r="J219" s="419"/>
      <c r="K219" s="444"/>
      <c r="L219" s="406"/>
    </row>
    <row r="220" spans="1:14" ht="24">
      <c r="A220" s="449" t="s">
        <v>668</v>
      </c>
      <c r="B220" s="471" t="s">
        <v>669</v>
      </c>
      <c r="C220" s="476"/>
      <c r="D220" s="487"/>
      <c r="E220" s="402"/>
      <c r="F220" s="443" t="s">
        <v>559</v>
      </c>
      <c r="G220" s="413"/>
      <c r="H220" s="419"/>
      <c r="I220" s="413"/>
      <c r="J220" s="419"/>
      <c r="K220" s="444"/>
      <c r="L220" s="406"/>
    </row>
    <row r="221" spans="1:14" ht="24">
      <c r="A221" s="449" t="s">
        <v>670</v>
      </c>
      <c r="B221" s="471" t="s">
        <v>671</v>
      </c>
      <c r="C221" s="476"/>
      <c r="D221" s="487"/>
      <c r="E221" s="402"/>
      <c r="F221" s="443" t="s">
        <v>559</v>
      </c>
      <c r="G221" s="413"/>
      <c r="H221" s="419"/>
      <c r="I221" s="413"/>
      <c r="J221" s="419"/>
      <c r="K221" s="444"/>
      <c r="L221" s="406"/>
    </row>
    <row r="222" spans="1:14" ht="24">
      <c r="A222" s="449" t="s">
        <v>672</v>
      </c>
      <c r="B222" s="471" t="s">
        <v>673</v>
      </c>
      <c r="C222" s="476"/>
      <c r="D222" s="487"/>
      <c r="E222" s="402"/>
      <c r="F222" s="443" t="s">
        <v>559</v>
      </c>
      <c r="G222" s="413"/>
      <c r="H222" s="419"/>
      <c r="I222" s="413"/>
      <c r="J222" s="419"/>
      <c r="K222" s="444"/>
      <c r="L222" s="406"/>
    </row>
    <row r="223" spans="1:14" ht="24">
      <c r="A223" s="449" t="s">
        <v>674</v>
      </c>
      <c r="B223" s="471" t="s">
        <v>601</v>
      </c>
      <c r="C223" s="476"/>
      <c r="D223" s="487"/>
      <c r="E223" s="444"/>
      <c r="F223" s="443" t="s">
        <v>183</v>
      </c>
      <c r="G223" s="413"/>
      <c r="H223" s="419"/>
      <c r="I223" s="413"/>
      <c r="J223" s="419"/>
      <c r="K223" s="444"/>
      <c r="L223" s="406"/>
    </row>
    <row r="224" spans="1:14" ht="24">
      <c r="A224" s="449" t="s">
        <v>675</v>
      </c>
      <c r="B224" s="471" t="s">
        <v>603</v>
      </c>
      <c r="C224" s="476"/>
      <c r="D224" s="487"/>
      <c r="E224" s="444"/>
      <c r="F224" s="443" t="s">
        <v>183</v>
      </c>
      <c r="G224" s="413"/>
      <c r="H224" s="419"/>
      <c r="I224" s="413"/>
      <c r="J224" s="419"/>
      <c r="K224" s="444"/>
      <c r="L224" s="406"/>
    </row>
    <row r="225" spans="1:12" ht="21" customHeight="1">
      <c r="A225" s="426"/>
      <c r="B225" s="471"/>
      <c r="C225" s="476"/>
      <c r="D225" s="487"/>
      <c r="E225" s="444"/>
      <c r="F225" s="443"/>
      <c r="G225" s="413"/>
      <c r="H225" s="419"/>
      <c r="I225" s="413"/>
      <c r="J225" s="419"/>
      <c r="K225" s="444"/>
      <c r="L225" s="406"/>
    </row>
    <row r="226" spans="1:12" ht="20.25" customHeight="1">
      <c r="A226" s="449"/>
      <c r="B226" s="425"/>
      <c r="C226" s="476"/>
      <c r="D226" s="418"/>
      <c r="E226" s="444"/>
      <c r="F226" s="443"/>
      <c r="G226" s="413"/>
      <c r="H226" s="419"/>
      <c r="I226" s="413"/>
      <c r="J226" s="419"/>
      <c r="K226" s="444"/>
      <c r="L226" s="406"/>
    </row>
    <row r="227" spans="1:12" ht="21" customHeight="1" thickBot="1">
      <c r="A227" s="449"/>
      <c r="B227" s="425"/>
      <c r="C227" s="476"/>
      <c r="D227" s="418"/>
      <c r="E227" s="444"/>
      <c r="F227" s="443"/>
      <c r="G227" s="413"/>
      <c r="H227" s="419"/>
      <c r="I227" s="413"/>
      <c r="J227" s="419"/>
      <c r="K227" s="444"/>
      <c r="L227" s="406"/>
    </row>
    <row r="228" spans="1:12" ht="24" customHeight="1" thickTop="1">
      <c r="A228" s="427"/>
      <c r="B228" s="2084" t="s">
        <v>676</v>
      </c>
      <c r="C228" s="2085"/>
      <c r="D228" s="2086"/>
      <c r="E228" s="428"/>
      <c r="F228" s="429"/>
      <c r="G228" s="461"/>
      <c r="H228" s="431"/>
      <c r="I228" s="432"/>
      <c r="J228" s="431"/>
      <c r="K228" s="431"/>
      <c r="L228" s="434"/>
    </row>
    <row r="229" spans="1:12" ht="24">
      <c r="A229" s="488">
        <v>1.1000000000000001</v>
      </c>
      <c r="B229" s="2081" t="s">
        <v>677</v>
      </c>
      <c r="C229" s="2082"/>
      <c r="D229" s="2083"/>
      <c r="E229" s="397"/>
      <c r="F229" s="481"/>
      <c r="G229" s="413"/>
      <c r="H229" s="412"/>
      <c r="I229" s="413"/>
      <c r="J229" s="412"/>
      <c r="K229" s="414"/>
      <c r="L229" s="415"/>
    </row>
    <row r="230" spans="1:12" ht="24">
      <c r="A230" s="422" t="s">
        <v>678</v>
      </c>
      <c r="B230" s="483" t="s">
        <v>679</v>
      </c>
      <c r="C230" s="408"/>
      <c r="D230" s="409"/>
      <c r="E230" s="402"/>
      <c r="F230" s="443" t="s">
        <v>559</v>
      </c>
      <c r="G230" s="413"/>
      <c r="H230" s="419"/>
      <c r="I230" s="413"/>
      <c r="J230" s="419"/>
      <c r="K230" s="444"/>
      <c r="L230" s="445"/>
    </row>
    <row r="231" spans="1:12" ht="24">
      <c r="A231" s="422" t="s">
        <v>680</v>
      </c>
      <c r="B231" s="484" t="s">
        <v>681</v>
      </c>
      <c r="C231" s="408"/>
      <c r="D231" s="417"/>
      <c r="E231" s="397"/>
      <c r="F231" s="443" t="s">
        <v>559</v>
      </c>
      <c r="G231" s="413"/>
      <c r="H231" s="419"/>
      <c r="I231" s="413"/>
      <c r="J231" s="419"/>
      <c r="K231" s="444"/>
      <c r="L231" s="415"/>
    </row>
    <row r="232" spans="1:12" ht="24">
      <c r="A232" s="422" t="s">
        <v>682</v>
      </c>
      <c r="B232" s="484" t="s">
        <v>683</v>
      </c>
      <c r="C232" s="408"/>
      <c r="D232" s="418"/>
      <c r="E232" s="397"/>
      <c r="F232" s="443" t="s">
        <v>559</v>
      </c>
      <c r="G232" s="413"/>
      <c r="H232" s="419"/>
      <c r="I232" s="413"/>
      <c r="J232" s="419"/>
      <c r="K232" s="444"/>
      <c r="L232" s="415"/>
    </row>
    <row r="233" spans="1:12" ht="24">
      <c r="A233" s="422" t="s">
        <v>684</v>
      </c>
      <c r="B233" s="485" t="s">
        <v>685</v>
      </c>
      <c r="C233" s="408"/>
      <c r="D233" s="418"/>
      <c r="E233" s="397"/>
      <c r="F233" s="443" t="s">
        <v>559</v>
      </c>
      <c r="G233" s="413"/>
      <c r="H233" s="419"/>
      <c r="I233" s="413"/>
      <c r="J233" s="419"/>
      <c r="K233" s="444"/>
      <c r="L233" s="415"/>
    </row>
    <row r="234" spans="1:12" ht="24">
      <c r="A234" s="422" t="s">
        <v>686</v>
      </c>
      <c r="B234" s="485" t="s">
        <v>687</v>
      </c>
      <c r="C234" s="408"/>
      <c r="D234" s="418"/>
      <c r="E234" s="397"/>
      <c r="F234" s="443" t="s">
        <v>559</v>
      </c>
      <c r="G234" s="413"/>
      <c r="H234" s="419"/>
      <c r="I234" s="413"/>
      <c r="J234" s="419"/>
      <c r="K234" s="444"/>
      <c r="L234" s="415"/>
    </row>
    <row r="235" spans="1:12" ht="24">
      <c r="A235" s="422" t="s">
        <v>688</v>
      </c>
      <c r="B235" s="485" t="s">
        <v>689</v>
      </c>
      <c r="C235" s="408"/>
      <c r="D235" s="418"/>
      <c r="E235" s="402"/>
      <c r="F235" s="443" t="s">
        <v>559</v>
      </c>
      <c r="G235" s="413"/>
      <c r="H235" s="419"/>
      <c r="I235" s="413"/>
      <c r="J235" s="419"/>
      <c r="K235" s="444"/>
      <c r="L235" s="406"/>
    </row>
    <row r="236" spans="1:12" ht="24">
      <c r="A236" s="422" t="s">
        <v>690</v>
      </c>
      <c r="B236" s="486" t="s">
        <v>601</v>
      </c>
      <c r="C236" s="476"/>
      <c r="D236" s="487"/>
      <c r="E236" s="397"/>
      <c r="F236" s="443" t="s">
        <v>183</v>
      </c>
      <c r="G236" s="413"/>
      <c r="H236" s="419"/>
      <c r="I236" s="413"/>
      <c r="J236" s="419"/>
      <c r="K236" s="444"/>
      <c r="L236" s="406"/>
    </row>
    <row r="237" spans="1:12" ht="24">
      <c r="A237" s="422" t="s">
        <v>691</v>
      </c>
      <c r="B237" s="486" t="s">
        <v>603</v>
      </c>
      <c r="C237" s="476"/>
      <c r="D237" s="487"/>
      <c r="E237" s="397"/>
      <c r="F237" s="443" t="s">
        <v>183</v>
      </c>
      <c r="G237" s="413"/>
      <c r="H237" s="419"/>
      <c r="I237" s="413"/>
      <c r="J237" s="419"/>
      <c r="K237" s="444"/>
      <c r="L237" s="406"/>
    </row>
    <row r="238" spans="1:12" ht="24">
      <c r="A238" s="422" t="s">
        <v>692</v>
      </c>
      <c r="B238" s="471" t="s">
        <v>693</v>
      </c>
      <c r="C238" s="476"/>
      <c r="D238" s="487"/>
      <c r="E238" s="402"/>
      <c r="F238" s="443" t="s">
        <v>184</v>
      </c>
      <c r="G238" s="413"/>
      <c r="H238" s="419"/>
      <c r="I238" s="413"/>
      <c r="J238" s="419"/>
      <c r="K238" s="444"/>
      <c r="L238" s="406"/>
    </row>
    <row r="239" spans="1:12" ht="24">
      <c r="A239" s="449" t="s">
        <v>694</v>
      </c>
      <c r="B239" s="471" t="s">
        <v>695</v>
      </c>
      <c r="C239" s="476"/>
      <c r="D239" s="487"/>
      <c r="E239" s="402"/>
      <c r="F239" s="443" t="s">
        <v>185</v>
      </c>
      <c r="G239" s="413"/>
      <c r="H239" s="419"/>
      <c r="I239" s="413"/>
      <c r="J239" s="419"/>
      <c r="K239" s="444"/>
      <c r="L239" s="406"/>
    </row>
    <row r="240" spans="1:12" ht="24">
      <c r="A240" s="426"/>
      <c r="B240" s="471"/>
      <c r="C240" s="476"/>
      <c r="D240" s="487"/>
      <c r="E240" s="402"/>
      <c r="F240" s="443"/>
      <c r="G240" s="413"/>
      <c r="H240" s="419"/>
      <c r="I240" s="413"/>
      <c r="J240" s="419"/>
      <c r="K240" s="444"/>
      <c r="L240" s="406"/>
    </row>
    <row r="241" spans="1:12" ht="24">
      <c r="A241" s="426"/>
      <c r="B241" s="471"/>
      <c r="C241" s="476"/>
      <c r="D241" s="487"/>
      <c r="E241" s="402"/>
      <c r="F241" s="443"/>
      <c r="G241" s="413"/>
      <c r="H241" s="419"/>
      <c r="I241" s="413"/>
      <c r="J241" s="419"/>
      <c r="K241" s="444"/>
      <c r="L241" s="406"/>
    </row>
    <row r="242" spans="1:12" ht="24">
      <c r="A242" s="426"/>
      <c r="B242" s="471"/>
      <c r="C242" s="476"/>
      <c r="D242" s="487"/>
      <c r="E242" s="402"/>
      <c r="F242" s="443"/>
      <c r="G242" s="413"/>
      <c r="H242" s="419"/>
      <c r="I242" s="413"/>
      <c r="J242" s="419"/>
      <c r="K242" s="444"/>
      <c r="L242" s="406"/>
    </row>
    <row r="243" spans="1:12" ht="21.75" customHeight="1">
      <c r="A243" s="426"/>
      <c r="B243" s="471"/>
      <c r="C243" s="476"/>
      <c r="D243" s="487"/>
      <c r="E243" s="402"/>
      <c r="F243" s="443"/>
      <c r="G243" s="413"/>
      <c r="H243" s="419"/>
      <c r="I243" s="413"/>
      <c r="J243" s="419"/>
      <c r="K243" s="444"/>
      <c r="L243" s="406"/>
    </row>
    <row r="244" spans="1:12" ht="24">
      <c r="A244" s="426"/>
      <c r="B244" s="471"/>
      <c r="C244" s="476"/>
      <c r="D244" s="487"/>
      <c r="E244" s="402"/>
      <c r="F244" s="443"/>
      <c r="G244" s="413"/>
      <c r="H244" s="419"/>
      <c r="I244" s="413"/>
      <c r="J244" s="419"/>
      <c r="K244" s="444"/>
      <c r="L244" s="406"/>
    </row>
    <row r="245" spans="1:12" ht="23.25" customHeight="1">
      <c r="A245" s="426"/>
      <c r="B245" s="471"/>
      <c r="C245" s="476"/>
      <c r="D245" s="487"/>
      <c r="E245" s="444"/>
      <c r="F245" s="443"/>
      <c r="G245" s="413"/>
      <c r="H245" s="419"/>
      <c r="I245" s="413"/>
      <c r="J245" s="419"/>
      <c r="K245" s="444"/>
      <c r="L245" s="406"/>
    </row>
    <row r="246" spans="1:12" ht="21.75" customHeight="1">
      <c r="A246" s="426"/>
      <c r="B246" s="471"/>
      <c r="C246" s="476"/>
      <c r="D246" s="487"/>
      <c r="E246" s="444"/>
      <c r="F246" s="443"/>
      <c r="G246" s="413"/>
      <c r="H246" s="419"/>
      <c r="I246" s="413"/>
      <c r="J246" s="419"/>
      <c r="K246" s="444"/>
      <c r="L246" s="406"/>
    </row>
    <row r="247" spans="1:12" ht="21" customHeight="1">
      <c r="A247" s="426"/>
      <c r="B247" s="471"/>
      <c r="C247" s="476"/>
      <c r="D247" s="487"/>
      <c r="E247" s="444"/>
      <c r="F247" s="443"/>
      <c r="G247" s="413"/>
      <c r="H247" s="419"/>
      <c r="I247" s="413"/>
      <c r="J247" s="419"/>
      <c r="K247" s="444"/>
      <c r="L247" s="406"/>
    </row>
    <row r="248" spans="1:12" ht="21" customHeight="1">
      <c r="A248" s="449"/>
      <c r="B248" s="425"/>
      <c r="C248" s="476"/>
      <c r="D248" s="418"/>
      <c r="E248" s="444"/>
      <c r="F248" s="443"/>
      <c r="G248" s="413"/>
      <c r="H248" s="419"/>
      <c r="I248" s="413"/>
      <c r="J248" s="419"/>
      <c r="K248" s="444"/>
      <c r="L248" s="406"/>
    </row>
    <row r="249" spans="1:12" ht="21.75" customHeight="1" thickBot="1">
      <c r="A249" s="449"/>
      <c r="B249" s="425"/>
      <c r="C249" s="476"/>
      <c r="D249" s="418"/>
      <c r="E249" s="444"/>
      <c r="F249" s="443"/>
      <c r="G249" s="413"/>
      <c r="H249" s="419"/>
      <c r="I249" s="413"/>
      <c r="J249" s="419"/>
      <c r="K249" s="444"/>
      <c r="L249" s="406"/>
    </row>
    <row r="250" spans="1:12" ht="24" customHeight="1" thickTop="1">
      <c r="A250" s="427"/>
      <c r="B250" s="2084" t="s">
        <v>696</v>
      </c>
      <c r="C250" s="2085"/>
      <c r="D250" s="2086"/>
      <c r="E250" s="428"/>
      <c r="F250" s="429"/>
      <c r="G250" s="461"/>
      <c r="H250" s="431"/>
      <c r="I250" s="432"/>
      <c r="J250" s="431"/>
      <c r="K250" s="431"/>
      <c r="L250" s="489"/>
    </row>
    <row r="251" spans="1:12" ht="24">
      <c r="A251" s="482">
        <v>1.1100000000000001</v>
      </c>
      <c r="B251" s="2087" t="s">
        <v>539</v>
      </c>
      <c r="C251" s="2088"/>
      <c r="D251" s="2089"/>
      <c r="E251" s="397"/>
      <c r="F251" s="481"/>
      <c r="G251" s="413"/>
      <c r="H251" s="412"/>
      <c r="I251" s="413"/>
      <c r="J251" s="412"/>
      <c r="K251" s="414"/>
      <c r="L251" s="415"/>
    </row>
    <row r="252" spans="1:12" ht="24">
      <c r="A252" s="422" t="s">
        <v>697</v>
      </c>
      <c r="B252" s="483" t="s">
        <v>554</v>
      </c>
      <c r="C252" s="408"/>
      <c r="D252" s="409"/>
      <c r="E252" s="402"/>
      <c r="F252" s="443" t="s">
        <v>546</v>
      </c>
      <c r="G252" s="413"/>
      <c r="H252" s="419"/>
      <c r="I252" s="413"/>
      <c r="J252" s="419"/>
      <c r="K252" s="444"/>
      <c r="L252" s="445"/>
    </row>
    <row r="253" spans="1:12" ht="24">
      <c r="A253" s="422" t="s">
        <v>698</v>
      </c>
      <c r="B253" s="484" t="s">
        <v>556</v>
      </c>
      <c r="C253" s="408"/>
      <c r="D253" s="417"/>
      <c r="E253" s="397"/>
      <c r="F253" s="443" t="s">
        <v>183</v>
      </c>
      <c r="G253" s="470"/>
      <c r="H253" s="419"/>
      <c r="I253" s="413"/>
      <c r="J253" s="419"/>
      <c r="K253" s="444"/>
      <c r="L253" s="415"/>
    </row>
    <row r="254" spans="1:12" ht="24">
      <c r="A254" s="422" t="s">
        <v>699</v>
      </c>
      <c r="B254" s="484" t="s">
        <v>558</v>
      </c>
      <c r="C254" s="408"/>
      <c r="D254" s="418"/>
      <c r="E254" s="397"/>
      <c r="F254" s="443" t="s">
        <v>559</v>
      </c>
      <c r="G254" s="413"/>
      <c r="H254" s="419"/>
      <c r="I254" s="413"/>
      <c r="J254" s="419"/>
      <c r="K254" s="444"/>
      <c r="L254" s="415"/>
    </row>
    <row r="255" spans="1:12" ht="24">
      <c r="A255" s="422" t="s">
        <v>700</v>
      </c>
      <c r="B255" s="485" t="s">
        <v>561</v>
      </c>
      <c r="C255" s="408"/>
      <c r="D255" s="418"/>
      <c r="E255" s="397"/>
      <c r="F255" s="443"/>
      <c r="G255" s="413"/>
      <c r="H255" s="419"/>
      <c r="I255" s="413"/>
      <c r="J255" s="419"/>
      <c r="K255" s="444"/>
      <c r="L255" s="415"/>
    </row>
    <row r="256" spans="1:12" ht="24">
      <c r="A256" s="422"/>
      <c r="B256" s="485" t="s">
        <v>562</v>
      </c>
      <c r="C256" s="408"/>
      <c r="D256" s="418"/>
      <c r="E256" s="397"/>
      <c r="F256" s="443" t="s">
        <v>559</v>
      </c>
      <c r="G256" s="413"/>
      <c r="H256" s="419"/>
      <c r="I256" s="450"/>
      <c r="J256" s="419"/>
      <c r="K256" s="444"/>
      <c r="L256" s="415"/>
    </row>
    <row r="257" spans="1:14" ht="24">
      <c r="A257" s="422"/>
      <c r="B257" s="485" t="s">
        <v>563</v>
      </c>
      <c r="C257" s="408"/>
      <c r="D257" s="418"/>
      <c r="E257" s="402"/>
      <c r="F257" s="443" t="s">
        <v>559</v>
      </c>
      <c r="G257" s="413"/>
      <c r="H257" s="419"/>
      <c r="I257" s="450"/>
      <c r="J257" s="419"/>
      <c r="K257" s="444"/>
      <c r="L257" s="406"/>
    </row>
    <row r="258" spans="1:14" ht="24">
      <c r="A258" s="422"/>
      <c r="B258" s="486" t="s">
        <v>564</v>
      </c>
      <c r="C258" s="476"/>
      <c r="D258" s="487"/>
      <c r="E258" s="397"/>
      <c r="F258" s="443" t="s">
        <v>559</v>
      </c>
      <c r="G258" s="413"/>
      <c r="H258" s="419"/>
      <c r="I258" s="450"/>
      <c r="J258" s="419"/>
      <c r="K258" s="444"/>
      <c r="L258" s="406"/>
    </row>
    <row r="259" spans="1:14" ht="24">
      <c r="A259" s="422"/>
      <c r="B259" s="486" t="s">
        <v>565</v>
      </c>
      <c r="C259" s="476"/>
      <c r="D259" s="487"/>
      <c r="E259" s="397"/>
      <c r="F259" s="443" t="s">
        <v>559</v>
      </c>
      <c r="G259" s="413"/>
      <c r="H259" s="419"/>
      <c r="I259" s="450"/>
      <c r="J259" s="419"/>
      <c r="K259" s="444"/>
      <c r="L259" s="406"/>
    </row>
    <row r="260" spans="1:14" ht="24">
      <c r="A260" s="422"/>
      <c r="B260" s="471" t="s">
        <v>566</v>
      </c>
      <c r="C260" s="476"/>
      <c r="D260" s="487"/>
      <c r="E260" s="402"/>
      <c r="F260" s="443" t="s">
        <v>559</v>
      </c>
      <c r="G260" s="413"/>
      <c r="H260" s="419"/>
      <c r="I260" s="450"/>
      <c r="J260" s="419"/>
      <c r="K260" s="444"/>
      <c r="L260" s="406"/>
    </row>
    <row r="261" spans="1:14" ht="24">
      <c r="A261" s="449"/>
      <c r="B261" s="471" t="s">
        <v>567</v>
      </c>
      <c r="C261" s="476"/>
      <c r="D261" s="487"/>
      <c r="E261" s="402"/>
      <c r="F261" s="443" t="s">
        <v>559</v>
      </c>
      <c r="G261" s="413"/>
      <c r="H261" s="419"/>
      <c r="I261" s="450"/>
      <c r="J261" s="419"/>
      <c r="K261" s="444"/>
      <c r="L261" s="406"/>
      <c r="N261" s="367">
        <f>SUM(E256:E261)</f>
        <v>0</v>
      </c>
    </row>
    <row r="262" spans="1:14" ht="24">
      <c r="A262" s="449" t="s">
        <v>701</v>
      </c>
      <c r="B262" s="471" t="s">
        <v>569</v>
      </c>
      <c r="C262" s="476"/>
      <c r="D262" s="487"/>
      <c r="E262" s="402"/>
      <c r="F262" s="443" t="s">
        <v>559</v>
      </c>
      <c r="G262" s="413"/>
      <c r="H262" s="419"/>
      <c r="I262" s="413"/>
      <c r="J262" s="419"/>
      <c r="K262" s="444"/>
      <c r="L262" s="406"/>
    </row>
    <row r="263" spans="1:14" ht="24">
      <c r="A263" s="426"/>
      <c r="B263" s="471"/>
      <c r="C263" s="476"/>
      <c r="D263" s="487"/>
      <c r="E263" s="402"/>
      <c r="F263" s="443"/>
      <c r="G263" s="413"/>
      <c r="H263" s="419"/>
      <c r="I263" s="413"/>
      <c r="J263" s="419"/>
      <c r="K263" s="444"/>
      <c r="L263" s="406"/>
    </row>
    <row r="264" spans="1:14" ht="24">
      <c r="A264" s="426"/>
      <c r="B264" s="471"/>
      <c r="C264" s="476"/>
      <c r="D264" s="487"/>
      <c r="E264" s="402"/>
      <c r="F264" s="443"/>
      <c r="G264" s="413"/>
      <c r="H264" s="419"/>
      <c r="I264" s="413"/>
      <c r="J264" s="419"/>
      <c r="K264" s="444"/>
      <c r="L264" s="406"/>
    </row>
    <row r="265" spans="1:14" ht="24">
      <c r="A265" s="426"/>
      <c r="B265" s="471"/>
      <c r="C265" s="476"/>
      <c r="D265" s="487"/>
      <c r="E265" s="402"/>
      <c r="F265" s="443"/>
      <c r="G265" s="413"/>
      <c r="H265" s="419"/>
      <c r="I265" s="413"/>
      <c r="J265" s="419"/>
      <c r="K265" s="444"/>
      <c r="L265" s="406"/>
    </row>
    <row r="266" spans="1:14" ht="21.75" customHeight="1">
      <c r="A266" s="426"/>
      <c r="B266" s="471"/>
      <c r="C266" s="476"/>
      <c r="D266" s="487"/>
      <c r="E266" s="402"/>
      <c r="F266" s="443"/>
      <c r="G266" s="413"/>
      <c r="H266" s="419"/>
      <c r="I266" s="413"/>
      <c r="J266" s="419"/>
      <c r="K266" s="444"/>
      <c r="L266" s="406"/>
    </row>
    <row r="267" spans="1:14" ht="21.75" customHeight="1">
      <c r="A267" s="426"/>
      <c r="B267" s="471"/>
      <c r="C267" s="476"/>
      <c r="D267" s="487"/>
      <c r="E267" s="444"/>
      <c r="F267" s="443"/>
      <c r="G267" s="413"/>
      <c r="H267" s="419"/>
      <c r="I267" s="413"/>
      <c r="J267" s="419"/>
      <c r="K267" s="444"/>
      <c r="L267" s="406"/>
    </row>
    <row r="268" spans="1:14" ht="21.75" customHeight="1">
      <c r="A268" s="426"/>
      <c r="B268" s="471"/>
      <c r="C268" s="476"/>
      <c r="D268" s="487"/>
      <c r="E268" s="444"/>
      <c r="F268" s="443"/>
      <c r="G268" s="413"/>
      <c r="H268" s="419"/>
      <c r="I268" s="413"/>
      <c r="J268" s="419"/>
      <c r="K268" s="444"/>
      <c r="L268" s="406"/>
    </row>
    <row r="269" spans="1:14" ht="21.75" customHeight="1">
      <c r="A269" s="426"/>
      <c r="B269" s="471"/>
      <c r="C269" s="476"/>
      <c r="D269" s="487"/>
      <c r="E269" s="444"/>
      <c r="F269" s="443"/>
      <c r="G269" s="413"/>
      <c r="H269" s="419"/>
      <c r="I269" s="413"/>
      <c r="J269" s="419"/>
      <c r="K269" s="444"/>
      <c r="L269" s="406"/>
    </row>
    <row r="270" spans="1:14" ht="21.75" customHeight="1">
      <c r="A270" s="449"/>
      <c r="B270" s="425"/>
      <c r="C270" s="476"/>
      <c r="D270" s="418"/>
      <c r="E270" s="444"/>
      <c r="F270" s="443"/>
      <c r="G270" s="413"/>
      <c r="H270" s="419"/>
      <c r="I270" s="413"/>
      <c r="J270" s="419"/>
      <c r="K270" s="444"/>
      <c r="L270" s="406"/>
    </row>
    <row r="271" spans="1:14" ht="24.75" thickBot="1">
      <c r="A271" s="449"/>
      <c r="B271" s="425"/>
      <c r="C271" s="476"/>
      <c r="D271" s="418"/>
      <c r="E271" s="444"/>
      <c r="F271" s="443"/>
      <c r="G271" s="413"/>
      <c r="H271" s="419"/>
      <c r="I271" s="413"/>
      <c r="J271" s="419"/>
      <c r="K271" s="444"/>
      <c r="L271" s="406"/>
    </row>
    <row r="272" spans="1:14" ht="24" customHeight="1" thickTop="1">
      <c r="A272" s="427"/>
      <c r="B272" s="2084" t="s">
        <v>702</v>
      </c>
      <c r="C272" s="2085"/>
      <c r="D272" s="2086"/>
      <c r="E272" s="428"/>
      <c r="F272" s="429"/>
      <c r="G272" s="461"/>
      <c r="H272" s="431">
        <f>SUM(H251:H271)</f>
        <v>0</v>
      </c>
      <c r="I272" s="432"/>
      <c r="J272" s="431">
        <f t="shared" ref="J272:K272" si="0">SUM(J251:J271)</f>
        <v>0</v>
      </c>
      <c r="K272" s="431">
        <f t="shared" si="0"/>
        <v>0</v>
      </c>
      <c r="L272" s="489"/>
    </row>
    <row r="273" spans="11:14">
      <c r="N273" s="490"/>
    </row>
    <row r="274" spans="11:14">
      <c r="N274" s="491"/>
    </row>
    <row r="276" spans="11:14">
      <c r="N276" s="490"/>
    </row>
    <row r="277" spans="11:14">
      <c r="N277" s="491"/>
    </row>
    <row r="279" spans="11:14">
      <c r="K279" s="492"/>
      <c r="L279" s="493"/>
      <c r="M279" s="494"/>
      <c r="N279" s="495"/>
    </row>
  </sheetData>
  <mergeCells count="98">
    <mergeCell ref="B34:D34"/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60:D60"/>
    <mergeCell ref="B47:D47"/>
    <mergeCell ref="B48:D48"/>
    <mergeCell ref="B49:D49"/>
    <mergeCell ref="B50:D50"/>
    <mergeCell ref="B52:D52"/>
    <mergeCell ref="B54:D54"/>
    <mergeCell ref="B55:D55"/>
    <mergeCell ref="B56:D56"/>
    <mergeCell ref="B57:D57"/>
    <mergeCell ref="B58:D58"/>
    <mergeCell ref="B59:D59"/>
    <mergeCell ref="B78:D78"/>
    <mergeCell ref="B61:D61"/>
    <mergeCell ref="B62:D62"/>
    <mergeCell ref="B63:D63"/>
    <mergeCell ref="B64:D64"/>
    <mergeCell ref="B65:D65"/>
    <mergeCell ref="B66:D66"/>
    <mergeCell ref="B67:D67"/>
    <mergeCell ref="B68:D68"/>
    <mergeCell ref="C72:D72"/>
    <mergeCell ref="B74:D74"/>
    <mergeCell ref="B75:D75"/>
    <mergeCell ref="B92:D92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91:D91"/>
    <mergeCell ref="B106:D106"/>
    <mergeCell ref="C94:D94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62:D162"/>
    <mergeCell ref="B107:D107"/>
    <mergeCell ref="B108:D108"/>
    <mergeCell ref="B109:D109"/>
    <mergeCell ref="B110:D110"/>
    <mergeCell ref="B111:D111"/>
    <mergeCell ref="B112:D112"/>
    <mergeCell ref="B113:D113"/>
    <mergeCell ref="B118:D118"/>
    <mergeCell ref="B119:D119"/>
    <mergeCell ref="B140:D140"/>
    <mergeCell ref="B141:D141"/>
    <mergeCell ref="B229:D229"/>
    <mergeCell ref="B250:D250"/>
    <mergeCell ref="B251:D251"/>
    <mergeCell ref="B272:D272"/>
    <mergeCell ref="B163:D163"/>
    <mergeCell ref="B184:D184"/>
    <mergeCell ref="B185:D185"/>
    <mergeCell ref="B206:D206"/>
    <mergeCell ref="B207:D207"/>
    <mergeCell ref="B228:D228"/>
  </mergeCells>
  <printOptions horizontalCentered="1"/>
  <pageMargins left="0" right="0" top="0.35433070866141736" bottom="0.31496062992125984" header="0.31496062992125984" footer="0.15748031496062992"/>
  <pageSetup paperSize="9" scale="80" orientation="landscape" r:id="rId1"/>
  <headerFooter>
    <oddHeader xml:space="preserve">&amp;Rแผ่นที่ &amp;P ใน &amp;N แผ่น            </oddHeader>
    <oddFooter xml:space="preserve">&amp;Rงานโครงสร้าง - อาคารส่วนบริการและกิจกรรม            </oddFooter>
  </headerFooter>
  <rowBreaks count="1" manualBreakCount="1">
    <brk id="3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X413"/>
  <sheetViews>
    <sheetView showGridLines="0" view="pageBreakPreview" zoomScaleNormal="80" zoomScaleSheetLayoutView="100" workbookViewId="0">
      <selection activeCell="D21" sqref="D21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66.5703125" style="361" customWidth="1"/>
    <col min="5" max="5" width="9.85546875" style="729" customWidth="1"/>
    <col min="6" max="6" width="8.7109375" style="361" customWidth="1"/>
    <col min="7" max="7" width="14.140625" style="361" customWidth="1"/>
    <col min="8" max="8" width="14.85546875" style="361" customWidth="1"/>
    <col min="9" max="9" width="13.7109375" style="361" customWidth="1"/>
    <col min="10" max="10" width="14.5703125" style="361" customWidth="1"/>
    <col min="11" max="11" width="16.28515625" style="361" customWidth="1"/>
    <col min="12" max="12" width="12.5703125" style="361" customWidth="1"/>
    <col min="13" max="17" width="9.140625" style="361"/>
    <col min="18" max="18" width="9.28515625" style="361" bestFit="1" customWidth="1"/>
    <col min="19" max="19" width="9.140625" style="361"/>
    <col min="20" max="20" width="9.28515625" style="361" bestFit="1" customWidth="1"/>
    <col min="21" max="21" width="14.5703125" style="361" bestFit="1" customWidth="1"/>
    <col min="22" max="22" width="9.28515625" style="361" bestFit="1" customWidth="1"/>
    <col min="23" max="23" width="12.7109375" style="361" bestFit="1" customWidth="1"/>
    <col min="24" max="24" width="14.5703125" style="361" bestFit="1" customWidth="1"/>
    <col min="25" max="16384" width="9.140625" style="361"/>
  </cols>
  <sheetData>
    <row r="1" spans="1:12" ht="36.75" customHeight="1">
      <c r="E1" s="496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705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706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30"/>
      <c r="L4" s="213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0.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4.7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4">
        <v>2</v>
      </c>
      <c r="B10" s="1994" t="s">
        <v>29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v>2.1</v>
      </c>
      <c r="B11" s="134" t="s">
        <v>707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>
        <v>2.2000000000000002</v>
      </c>
      <c r="B12" s="133" t="s">
        <v>708</v>
      </c>
      <c r="C12" s="61"/>
      <c r="D12" s="62"/>
      <c r="E12" s="498"/>
      <c r="F12" s="57" t="s">
        <v>10</v>
      </c>
      <c r="G12" s="113"/>
      <c r="H12" s="157"/>
      <c r="I12" s="156"/>
      <c r="J12" s="157"/>
      <c r="K12" s="159"/>
      <c r="L12" s="66"/>
    </row>
    <row r="13" spans="1:12" ht="24">
      <c r="A13" s="132">
        <v>2.2999999999999998</v>
      </c>
      <c r="B13" s="133" t="s">
        <v>709</v>
      </c>
      <c r="C13" s="61"/>
      <c r="D13" s="62"/>
      <c r="E13" s="498"/>
      <c r="F13" s="57" t="s">
        <v>10</v>
      </c>
      <c r="G13" s="113"/>
      <c r="H13" s="120"/>
      <c r="I13" s="113"/>
      <c r="J13" s="120"/>
      <c r="K13" s="159"/>
      <c r="L13" s="66"/>
    </row>
    <row r="14" spans="1:12" ht="24">
      <c r="A14" s="132">
        <v>2.4</v>
      </c>
      <c r="B14" s="133" t="s">
        <v>710</v>
      </c>
      <c r="C14" s="61"/>
      <c r="D14" s="67"/>
      <c r="E14" s="498"/>
      <c r="F14" s="57" t="s">
        <v>10</v>
      </c>
      <c r="G14" s="114"/>
      <c r="H14" s="121"/>
      <c r="I14" s="114"/>
      <c r="J14" s="121"/>
      <c r="K14" s="159"/>
      <c r="L14" s="58"/>
    </row>
    <row r="15" spans="1:12" ht="24">
      <c r="A15" s="132">
        <v>2.5</v>
      </c>
      <c r="B15" s="133" t="s">
        <v>711</v>
      </c>
      <c r="C15" s="61"/>
      <c r="D15" s="67"/>
      <c r="E15" s="498"/>
      <c r="F15" s="57" t="s">
        <v>10</v>
      </c>
      <c r="G15" s="114"/>
      <c r="H15" s="121"/>
      <c r="I15" s="114"/>
      <c r="J15" s="121"/>
      <c r="K15" s="159"/>
      <c r="L15" s="58"/>
    </row>
    <row r="16" spans="1:12" ht="24">
      <c r="A16" s="132">
        <v>2.6</v>
      </c>
      <c r="B16" s="133" t="s">
        <v>712</v>
      </c>
      <c r="C16" s="61"/>
      <c r="D16" s="67"/>
      <c r="E16" s="498"/>
      <c r="F16" s="57" t="s">
        <v>10</v>
      </c>
      <c r="G16" s="114"/>
      <c r="H16" s="121"/>
      <c r="I16" s="114"/>
      <c r="J16" s="121"/>
      <c r="K16" s="159"/>
      <c r="L16" s="58"/>
    </row>
    <row r="17" spans="1:12" ht="24">
      <c r="A17" s="132">
        <v>2.7</v>
      </c>
      <c r="B17" s="133" t="s">
        <v>713</v>
      </c>
      <c r="C17" s="61"/>
      <c r="D17" s="67"/>
      <c r="E17" s="498"/>
      <c r="F17" s="57" t="s">
        <v>10</v>
      </c>
      <c r="G17" s="114"/>
      <c r="H17" s="121"/>
      <c r="I17" s="114"/>
      <c r="J17" s="121"/>
      <c r="K17" s="159"/>
      <c r="L17" s="58"/>
    </row>
    <row r="18" spans="1:12" ht="24">
      <c r="A18" s="132">
        <v>2.8</v>
      </c>
      <c r="B18" s="133" t="s">
        <v>714</v>
      </c>
      <c r="C18" s="61"/>
      <c r="D18" s="67"/>
      <c r="E18" s="498"/>
      <c r="F18" s="57" t="s">
        <v>10</v>
      </c>
      <c r="G18" s="114"/>
      <c r="H18" s="121"/>
      <c r="I18" s="114"/>
      <c r="J18" s="121"/>
      <c r="K18" s="159"/>
      <c r="L18" s="58"/>
    </row>
    <row r="19" spans="1:12" ht="24">
      <c r="A19" s="132">
        <v>2.9</v>
      </c>
      <c r="B19" s="133" t="s">
        <v>715</v>
      </c>
      <c r="C19" s="61"/>
      <c r="D19" s="67"/>
      <c r="E19" s="498"/>
      <c r="F19" s="57" t="s">
        <v>10</v>
      </c>
      <c r="G19" s="114"/>
      <c r="H19" s="499"/>
      <c r="I19" s="114"/>
      <c r="J19" s="499"/>
      <c r="K19" s="159"/>
      <c r="L19" s="58"/>
    </row>
    <row r="20" spans="1:12" ht="24">
      <c r="A20" s="500"/>
      <c r="B20" s="222"/>
      <c r="C20" s="61"/>
      <c r="D20" s="67"/>
      <c r="E20" s="498"/>
      <c r="F20" s="57"/>
      <c r="G20" s="114"/>
      <c r="H20" s="121"/>
      <c r="I20" s="114"/>
      <c r="J20" s="121"/>
      <c r="K20" s="159"/>
      <c r="L20" s="58"/>
    </row>
    <row r="21" spans="1:12" ht="24">
      <c r="A21" s="132"/>
      <c r="B21" s="60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2" ht="24">
      <c r="A22" s="132"/>
      <c r="B22" s="133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2" ht="24">
      <c r="A23" s="132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2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2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2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2" ht="24.75" thickTop="1">
      <c r="A30" s="501"/>
      <c r="B30" s="2121" t="s">
        <v>69</v>
      </c>
      <c r="C30" s="2122"/>
      <c r="D30" s="2123"/>
      <c r="E30" s="502"/>
      <c r="F30" s="503"/>
      <c r="G30" s="504"/>
      <c r="H30" s="505"/>
      <c r="I30" s="504"/>
      <c r="J30" s="505"/>
      <c r="K30" s="506"/>
      <c r="L30" s="74"/>
    </row>
    <row r="31" spans="1:12" ht="24">
      <c r="A31" s="104">
        <v>2.1</v>
      </c>
      <c r="B31" s="2127" t="str">
        <f>B11</f>
        <v>งานวัสดุพื้น และผิวพื้น</v>
      </c>
      <c r="C31" s="2128"/>
      <c r="D31" s="2129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140" t="s">
        <v>716</v>
      </c>
      <c r="B32" s="136" t="s">
        <v>717</v>
      </c>
      <c r="C32" s="61" t="s">
        <v>718</v>
      </c>
      <c r="D32" s="507"/>
      <c r="E32" s="508"/>
      <c r="F32" s="159" t="s">
        <v>183</v>
      </c>
      <c r="G32" s="156"/>
      <c r="H32" s="161"/>
      <c r="I32" s="156"/>
      <c r="J32" s="161"/>
      <c r="K32" s="159"/>
      <c r="L32" s="107"/>
    </row>
    <row r="33" spans="1:12" ht="24">
      <c r="A33" s="132" t="s">
        <v>108</v>
      </c>
      <c r="B33" s="145" t="s">
        <v>118</v>
      </c>
      <c r="C33" s="61" t="s">
        <v>719</v>
      </c>
      <c r="D33" s="62"/>
      <c r="E33" s="509"/>
      <c r="F33" s="159" t="s">
        <v>183</v>
      </c>
      <c r="G33" s="156"/>
      <c r="H33" s="161"/>
      <c r="I33" s="156"/>
      <c r="J33" s="161"/>
      <c r="K33" s="159"/>
      <c r="L33" s="510"/>
    </row>
    <row r="34" spans="1:12" ht="24">
      <c r="A34" s="132" t="s">
        <v>254</v>
      </c>
      <c r="B34" s="511" t="s">
        <v>119</v>
      </c>
      <c r="C34" s="61" t="s">
        <v>720</v>
      </c>
      <c r="D34" s="62"/>
      <c r="E34" s="509"/>
      <c r="F34" s="159" t="s">
        <v>183</v>
      </c>
      <c r="G34" s="156"/>
      <c r="H34" s="161"/>
      <c r="I34" s="156"/>
      <c r="J34" s="161"/>
      <c r="K34" s="159"/>
      <c r="L34" s="66"/>
    </row>
    <row r="35" spans="1:12" ht="24">
      <c r="A35" s="132" t="s">
        <v>255</v>
      </c>
      <c r="B35" s="145" t="s">
        <v>120</v>
      </c>
      <c r="C35" s="61" t="s">
        <v>721</v>
      </c>
      <c r="D35" s="67"/>
      <c r="E35" s="509"/>
      <c r="F35" s="159" t="s">
        <v>183</v>
      </c>
      <c r="G35" s="156"/>
      <c r="H35" s="161"/>
      <c r="I35" s="156"/>
      <c r="J35" s="161"/>
      <c r="K35" s="159"/>
      <c r="L35" s="66"/>
    </row>
    <row r="36" spans="1:12" ht="24">
      <c r="A36" s="132" t="s">
        <v>258</v>
      </c>
      <c r="B36" s="145" t="s">
        <v>722</v>
      </c>
      <c r="C36" s="61" t="s">
        <v>723</v>
      </c>
      <c r="D36" s="67"/>
      <c r="E36" s="512"/>
      <c r="F36" s="159" t="s">
        <v>183</v>
      </c>
      <c r="G36" s="156"/>
      <c r="H36" s="161"/>
      <c r="I36" s="156"/>
      <c r="J36" s="161"/>
      <c r="K36" s="159"/>
      <c r="L36" s="513" t="s">
        <v>724</v>
      </c>
    </row>
    <row r="37" spans="1:12" ht="24">
      <c r="A37" s="132" t="s">
        <v>725</v>
      </c>
      <c r="B37" s="145" t="s">
        <v>121</v>
      </c>
      <c r="C37" s="61" t="s">
        <v>726</v>
      </c>
      <c r="D37" s="67"/>
      <c r="E37" s="509"/>
      <c r="F37" s="159" t="s">
        <v>183</v>
      </c>
      <c r="G37" s="156"/>
      <c r="H37" s="161"/>
      <c r="I37" s="156"/>
      <c r="J37" s="161"/>
      <c r="K37" s="159"/>
      <c r="L37" s="514"/>
    </row>
    <row r="38" spans="1:12" ht="24">
      <c r="A38" s="132" t="s">
        <v>727</v>
      </c>
      <c r="B38" s="145" t="s">
        <v>122</v>
      </c>
      <c r="C38" s="61" t="s">
        <v>728</v>
      </c>
      <c r="D38" s="67"/>
      <c r="E38" s="509"/>
      <c r="F38" s="159" t="s">
        <v>183</v>
      </c>
      <c r="G38" s="156"/>
      <c r="H38" s="161"/>
      <c r="I38" s="156"/>
      <c r="J38" s="161"/>
      <c r="K38" s="159"/>
      <c r="L38" s="514"/>
    </row>
    <row r="39" spans="1:12" s="515" customFormat="1" ht="24">
      <c r="A39" s="132" t="s">
        <v>729</v>
      </c>
      <c r="B39" s="145" t="s">
        <v>123</v>
      </c>
      <c r="C39" s="61" t="s">
        <v>730</v>
      </c>
      <c r="D39" s="67"/>
      <c r="E39" s="512"/>
      <c r="F39" s="159" t="s">
        <v>183</v>
      </c>
      <c r="G39" s="156"/>
      <c r="H39" s="161"/>
      <c r="I39" s="156"/>
      <c r="J39" s="161"/>
      <c r="K39" s="159"/>
      <c r="L39" s="513" t="s">
        <v>724</v>
      </c>
    </row>
    <row r="40" spans="1:12" ht="24">
      <c r="A40" s="132" t="s">
        <v>731</v>
      </c>
      <c r="B40" s="145" t="s">
        <v>124</v>
      </c>
      <c r="C40" s="61" t="s">
        <v>732</v>
      </c>
      <c r="D40" s="67"/>
      <c r="E40" s="509"/>
      <c r="F40" s="159" t="s">
        <v>183</v>
      </c>
      <c r="G40" s="156"/>
      <c r="H40" s="161"/>
      <c r="I40" s="156"/>
      <c r="J40" s="161"/>
      <c r="K40" s="159"/>
      <c r="L40" s="514"/>
    </row>
    <row r="41" spans="1:12" ht="24">
      <c r="A41" s="132" t="s">
        <v>733</v>
      </c>
      <c r="B41" s="145" t="s">
        <v>216</v>
      </c>
      <c r="C41" s="61" t="s">
        <v>734</v>
      </c>
      <c r="D41" s="67"/>
      <c r="E41" s="509"/>
      <c r="F41" s="159" t="s">
        <v>183</v>
      </c>
      <c r="G41" s="156"/>
      <c r="H41" s="161"/>
      <c r="I41" s="156"/>
      <c r="J41" s="161"/>
      <c r="K41" s="159"/>
      <c r="L41" s="514"/>
    </row>
    <row r="42" spans="1:12" ht="24">
      <c r="A42" s="132" t="s">
        <v>735</v>
      </c>
      <c r="B42" s="145" t="s">
        <v>219</v>
      </c>
      <c r="C42" s="61" t="s">
        <v>736</v>
      </c>
      <c r="D42" s="62"/>
      <c r="E42" s="512"/>
      <c r="F42" s="159" t="s">
        <v>183</v>
      </c>
      <c r="G42" s="156"/>
      <c r="H42" s="161"/>
      <c r="I42" s="156"/>
      <c r="J42" s="161"/>
      <c r="K42" s="159"/>
      <c r="L42" s="513" t="s">
        <v>724</v>
      </c>
    </row>
    <row r="43" spans="1:12" ht="24">
      <c r="A43" s="132" t="s">
        <v>737</v>
      </c>
      <c r="B43" s="145" t="s">
        <v>221</v>
      </c>
      <c r="C43" s="61" t="s">
        <v>738</v>
      </c>
      <c r="D43" s="67"/>
      <c r="E43" s="509"/>
      <c r="F43" s="159" t="s">
        <v>183</v>
      </c>
      <c r="G43" s="156"/>
      <c r="H43" s="161"/>
      <c r="I43" s="156"/>
      <c r="J43" s="161"/>
      <c r="K43" s="159"/>
      <c r="L43" s="514"/>
    </row>
    <row r="44" spans="1:12" ht="24">
      <c r="A44" s="132"/>
      <c r="B44" s="145"/>
      <c r="C44" s="61" t="s">
        <v>739</v>
      </c>
      <c r="D44" s="67"/>
      <c r="E44" s="509"/>
      <c r="F44" s="159"/>
      <c r="G44" s="156"/>
      <c r="H44" s="161"/>
      <c r="I44" s="156"/>
      <c r="J44" s="161"/>
      <c r="K44" s="159"/>
      <c r="L44" s="514"/>
    </row>
    <row r="45" spans="1:12" ht="24">
      <c r="A45" s="132" t="s">
        <v>740</v>
      </c>
      <c r="B45" s="145" t="s">
        <v>285</v>
      </c>
      <c r="C45" s="61" t="s">
        <v>741</v>
      </c>
      <c r="D45" s="67"/>
      <c r="E45" s="512"/>
      <c r="F45" s="159" t="s">
        <v>183</v>
      </c>
      <c r="G45" s="156"/>
      <c r="H45" s="161"/>
      <c r="I45" s="156"/>
      <c r="J45" s="161"/>
      <c r="K45" s="159"/>
      <c r="L45" s="513" t="s">
        <v>724</v>
      </c>
    </row>
    <row r="46" spans="1:12" ht="24">
      <c r="A46" s="132"/>
      <c r="B46" s="145"/>
      <c r="C46" s="61" t="s">
        <v>742</v>
      </c>
      <c r="D46" s="67"/>
      <c r="E46" s="516"/>
      <c r="F46" s="159"/>
      <c r="G46" s="156"/>
      <c r="H46" s="161"/>
      <c r="I46" s="156"/>
      <c r="J46" s="161"/>
      <c r="K46" s="159"/>
      <c r="L46" s="514"/>
    </row>
    <row r="47" spans="1:12" ht="24">
      <c r="A47" s="132" t="s">
        <v>743</v>
      </c>
      <c r="B47" s="145" t="s">
        <v>388</v>
      </c>
      <c r="C47" s="61" t="s">
        <v>744</v>
      </c>
      <c r="D47" s="67"/>
      <c r="E47" s="512"/>
      <c r="F47" s="159" t="s">
        <v>183</v>
      </c>
      <c r="G47" s="156"/>
      <c r="H47" s="161"/>
      <c r="I47" s="156"/>
      <c r="J47" s="161"/>
      <c r="K47" s="159"/>
      <c r="L47" s="513" t="s">
        <v>724</v>
      </c>
    </row>
    <row r="48" spans="1:12" ht="24">
      <c r="A48" s="132" t="s">
        <v>745</v>
      </c>
      <c r="B48" s="145" t="s">
        <v>746</v>
      </c>
      <c r="C48" s="61" t="s">
        <v>747</v>
      </c>
      <c r="D48" s="67"/>
      <c r="E48" s="516"/>
      <c r="F48" s="159" t="s">
        <v>183</v>
      </c>
      <c r="G48" s="156"/>
      <c r="H48" s="161"/>
      <c r="I48" s="156"/>
      <c r="J48" s="161"/>
      <c r="K48" s="159"/>
      <c r="L48" s="58"/>
    </row>
    <row r="49" spans="1:12" ht="24">
      <c r="A49" s="517"/>
      <c r="B49" s="145"/>
      <c r="C49" s="61" t="s">
        <v>748</v>
      </c>
      <c r="D49" s="67"/>
      <c r="E49" s="516"/>
      <c r="F49" s="159"/>
      <c r="G49" s="156"/>
      <c r="H49" s="161"/>
      <c r="I49" s="156"/>
      <c r="J49" s="161"/>
      <c r="K49" s="159"/>
      <c r="L49" s="58"/>
    </row>
    <row r="50" spans="1:12" ht="24.75" thickBot="1">
      <c r="A50" s="517"/>
      <c r="B50" s="145"/>
      <c r="C50" s="61"/>
      <c r="D50" s="67"/>
      <c r="E50" s="56"/>
      <c r="F50" s="159"/>
      <c r="G50" s="156"/>
      <c r="H50" s="161"/>
      <c r="I50" s="156"/>
      <c r="J50" s="161"/>
      <c r="K50" s="159"/>
      <c r="L50" s="58"/>
    </row>
    <row r="51" spans="1:12" ht="24.75" thickTop="1">
      <c r="A51" s="501"/>
      <c r="B51" s="2121" t="s">
        <v>749</v>
      </c>
      <c r="C51" s="2122"/>
      <c r="D51" s="2123"/>
      <c r="E51" s="502"/>
      <c r="F51" s="503"/>
      <c r="G51" s="504"/>
      <c r="H51" s="518"/>
      <c r="I51" s="504"/>
      <c r="J51" s="518"/>
      <c r="K51" s="518"/>
      <c r="L51" s="74"/>
    </row>
    <row r="52" spans="1:12" ht="24">
      <c r="A52" s="104">
        <v>2.2000000000000002</v>
      </c>
      <c r="B52" s="2127" t="s">
        <v>109</v>
      </c>
      <c r="C52" s="2128"/>
      <c r="D52" s="2129"/>
      <c r="E52" s="519"/>
      <c r="F52" s="155"/>
      <c r="G52" s="156"/>
      <c r="H52" s="157"/>
      <c r="I52" s="156"/>
      <c r="J52" s="157"/>
      <c r="K52" s="158"/>
      <c r="L52" s="520"/>
    </row>
    <row r="53" spans="1:12" ht="24">
      <c r="A53" s="132" t="s">
        <v>268</v>
      </c>
      <c r="B53" s="145" t="s">
        <v>750</v>
      </c>
      <c r="C53" s="61" t="s">
        <v>751</v>
      </c>
      <c r="D53" s="62"/>
      <c r="E53" s="509"/>
      <c r="F53" s="159" t="s">
        <v>183</v>
      </c>
      <c r="G53" s="156"/>
      <c r="H53" s="161"/>
      <c r="I53" s="156"/>
      <c r="J53" s="161"/>
      <c r="K53" s="159"/>
      <c r="L53" s="66"/>
    </row>
    <row r="54" spans="1:12" ht="24">
      <c r="A54" s="132"/>
      <c r="B54" s="145"/>
      <c r="C54" s="61" t="s">
        <v>752</v>
      </c>
      <c r="D54" s="62"/>
      <c r="E54" s="509"/>
      <c r="F54" s="159"/>
      <c r="G54" s="156"/>
      <c r="H54" s="161"/>
      <c r="I54" s="156"/>
      <c r="J54" s="161"/>
      <c r="K54" s="159"/>
      <c r="L54" s="58"/>
    </row>
    <row r="55" spans="1:12" ht="24">
      <c r="A55" s="132" t="s">
        <v>269</v>
      </c>
      <c r="B55" s="145" t="s">
        <v>753</v>
      </c>
      <c r="C55" s="61" t="s">
        <v>754</v>
      </c>
      <c r="D55" s="62"/>
      <c r="E55" s="509"/>
      <c r="F55" s="220" t="s">
        <v>183</v>
      </c>
      <c r="G55" s="156"/>
      <c r="H55" s="161"/>
      <c r="I55" s="156"/>
      <c r="J55" s="161"/>
      <c r="K55" s="159"/>
      <c r="L55" s="521" t="s">
        <v>755</v>
      </c>
    </row>
    <row r="56" spans="1:12" ht="24">
      <c r="A56" s="132"/>
      <c r="B56" s="145"/>
      <c r="C56" s="61" t="s">
        <v>756</v>
      </c>
      <c r="D56" s="62"/>
      <c r="E56" s="509"/>
      <c r="F56" s="220"/>
      <c r="G56" s="156"/>
      <c r="H56" s="161"/>
      <c r="I56" s="156"/>
      <c r="J56" s="161"/>
      <c r="K56" s="159"/>
      <c r="L56" s="513"/>
    </row>
    <row r="57" spans="1:12" ht="24">
      <c r="A57" s="132" t="s">
        <v>270</v>
      </c>
      <c r="B57" s="522" t="s">
        <v>129</v>
      </c>
      <c r="C57" s="90" t="s">
        <v>222</v>
      </c>
      <c r="D57" s="523"/>
      <c r="E57" s="524"/>
      <c r="F57" s="220" t="s">
        <v>183</v>
      </c>
      <c r="G57" s="156"/>
      <c r="H57" s="161"/>
      <c r="I57" s="156"/>
      <c r="J57" s="161"/>
      <c r="K57" s="159"/>
      <c r="L57" s="514"/>
    </row>
    <row r="58" spans="1:12" ht="24">
      <c r="A58" s="132" t="s">
        <v>271</v>
      </c>
      <c r="B58" s="522" t="s">
        <v>130</v>
      </c>
      <c r="C58" s="90" t="s">
        <v>757</v>
      </c>
      <c r="D58" s="523"/>
      <c r="E58" s="524"/>
      <c r="F58" s="220" t="s">
        <v>183</v>
      </c>
      <c r="G58" s="156"/>
      <c r="H58" s="161"/>
      <c r="I58" s="156"/>
      <c r="J58" s="161"/>
      <c r="K58" s="159"/>
      <c r="L58" s="514"/>
    </row>
    <row r="59" spans="1:12" ht="24">
      <c r="A59" s="132" t="s">
        <v>272</v>
      </c>
      <c r="B59" s="522" t="s">
        <v>128</v>
      </c>
      <c r="C59" s="90" t="s">
        <v>758</v>
      </c>
      <c r="D59" s="523"/>
      <c r="E59" s="524"/>
      <c r="F59" s="220" t="s">
        <v>183</v>
      </c>
      <c r="G59" s="156"/>
      <c r="H59" s="161"/>
      <c r="I59" s="156"/>
      <c r="J59" s="161"/>
      <c r="K59" s="159"/>
      <c r="L59" s="514"/>
    </row>
    <row r="60" spans="1:12" ht="24">
      <c r="A60" s="132" t="s">
        <v>280</v>
      </c>
      <c r="B60" s="522" t="s">
        <v>759</v>
      </c>
      <c r="C60" s="90" t="s">
        <v>760</v>
      </c>
      <c r="D60" s="523"/>
      <c r="E60" s="524"/>
      <c r="F60" s="194" t="s">
        <v>183</v>
      </c>
      <c r="G60" s="156"/>
      <c r="H60" s="161"/>
      <c r="I60" s="156"/>
      <c r="J60" s="161"/>
      <c r="K60" s="159"/>
      <c r="L60" s="513" t="s">
        <v>724</v>
      </c>
    </row>
    <row r="61" spans="1:12" ht="24">
      <c r="A61" s="132" t="s">
        <v>761</v>
      </c>
      <c r="B61" s="522" t="s">
        <v>762</v>
      </c>
      <c r="C61" s="90" t="s">
        <v>763</v>
      </c>
      <c r="D61" s="523"/>
      <c r="E61" s="524"/>
      <c r="F61" s="194" t="s">
        <v>183</v>
      </c>
      <c r="G61" s="156"/>
      <c r="H61" s="161"/>
      <c r="I61" s="156"/>
      <c r="J61" s="161"/>
      <c r="K61" s="159"/>
      <c r="L61" s="58"/>
    </row>
    <row r="62" spans="1:12" ht="24">
      <c r="A62" s="132" t="s">
        <v>764</v>
      </c>
      <c r="B62" s="522" t="s">
        <v>765</v>
      </c>
      <c r="C62" s="90" t="s">
        <v>766</v>
      </c>
      <c r="D62" s="525"/>
      <c r="E62" s="512"/>
      <c r="F62" s="194" t="s">
        <v>183</v>
      </c>
      <c r="G62" s="156"/>
      <c r="H62" s="161"/>
      <c r="I62" s="156"/>
      <c r="J62" s="161"/>
      <c r="K62" s="159"/>
      <c r="L62" s="58"/>
    </row>
    <row r="63" spans="1:12" ht="24">
      <c r="A63" s="132"/>
      <c r="B63" s="522"/>
      <c r="C63" s="90" t="s">
        <v>767</v>
      </c>
      <c r="D63" s="525"/>
      <c r="E63" s="512"/>
      <c r="F63" s="194"/>
      <c r="G63" s="156"/>
      <c r="H63" s="161"/>
      <c r="I63" s="156"/>
      <c r="J63" s="161"/>
      <c r="K63" s="159"/>
      <c r="L63" s="58"/>
    </row>
    <row r="64" spans="1:12" ht="24">
      <c r="A64" s="132" t="s">
        <v>768</v>
      </c>
      <c r="B64" s="522" t="s">
        <v>769</v>
      </c>
      <c r="C64" s="90" t="s">
        <v>770</v>
      </c>
      <c r="D64" s="525"/>
      <c r="E64" s="512"/>
      <c r="F64" s="194" t="s">
        <v>183</v>
      </c>
      <c r="G64" s="156"/>
      <c r="H64" s="161"/>
      <c r="I64" s="156"/>
      <c r="J64" s="161"/>
      <c r="K64" s="159"/>
      <c r="L64" s="58"/>
    </row>
    <row r="65" spans="1:12" ht="24">
      <c r="A65" s="132"/>
      <c r="B65" s="522"/>
      <c r="C65" s="90" t="s">
        <v>771</v>
      </c>
      <c r="D65" s="525"/>
      <c r="E65" s="512"/>
      <c r="F65" s="194"/>
      <c r="G65" s="156"/>
      <c r="H65" s="161"/>
      <c r="I65" s="156"/>
      <c r="J65" s="161"/>
      <c r="K65" s="159"/>
      <c r="L65" s="58"/>
    </row>
    <row r="66" spans="1:12" ht="24">
      <c r="A66" s="132" t="s">
        <v>772</v>
      </c>
      <c r="B66" s="522" t="s">
        <v>773</v>
      </c>
      <c r="C66" s="90" t="s">
        <v>774</v>
      </c>
      <c r="D66" s="525"/>
      <c r="E66" s="512"/>
      <c r="F66" s="194" t="s">
        <v>183</v>
      </c>
      <c r="G66" s="156"/>
      <c r="H66" s="161"/>
      <c r="I66" s="156"/>
      <c r="J66" s="161"/>
      <c r="K66" s="159"/>
      <c r="L66" s="58"/>
    </row>
    <row r="67" spans="1:12" ht="24">
      <c r="A67" s="132"/>
      <c r="B67" s="522"/>
      <c r="C67" s="90" t="s">
        <v>775</v>
      </c>
      <c r="D67" s="525"/>
      <c r="E67" s="512"/>
      <c r="F67" s="194"/>
      <c r="G67" s="156"/>
      <c r="H67" s="161"/>
      <c r="I67" s="156"/>
      <c r="J67" s="161"/>
      <c r="K67" s="159"/>
      <c r="L67" s="58"/>
    </row>
    <row r="68" spans="1:12" ht="24">
      <c r="A68" s="132" t="s">
        <v>776</v>
      </c>
      <c r="B68" s="522" t="s">
        <v>777</v>
      </c>
      <c r="C68" s="90" t="s">
        <v>778</v>
      </c>
      <c r="D68" s="525"/>
      <c r="E68" s="512"/>
      <c r="F68" s="194" t="s">
        <v>183</v>
      </c>
      <c r="G68" s="156"/>
      <c r="H68" s="161"/>
      <c r="I68" s="156"/>
      <c r="J68" s="161"/>
      <c r="K68" s="159"/>
      <c r="L68" s="58"/>
    </row>
    <row r="69" spans="1:12" ht="24">
      <c r="A69" s="132" t="s">
        <v>779</v>
      </c>
      <c r="B69" s="522" t="s">
        <v>131</v>
      </c>
      <c r="C69" s="90" t="s">
        <v>780</v>
      </c>
      <c r="D69" s="525"/>
      <c r="E69" s="512"/>
      <c r="F69" s="194" t="s">
        <v>183</v>
      </c>
      <c r="G69" s="156"/>
      <c r="H69" s="161"/>
      <c r="I69" s="156"/>
      <c r="J69" s="161"/>
      <c r="K69" s="159"/>
      <c r="L69" s="58"/>
    </row>
    <row r="70" spans="1:12" ht="24">
      <c r="A70" s="132" t="s">
        <v>781</v>
      </c>
      <c r="B70" s="522" t="s">
        <v>132</v>
      </c>
      <c r="C70" s="90" t="s">
        <v>782</v>
      </c>
      <c r="D70" s="525"/>
      <c r="E70" s="512"/>
      <c r="F70" s="194" t="s">
        <v>183</v>
      </c>
      <c r="G70" s="156"/>
      <c r="H70" s="161"/>
      <c r="I70" s="156"/>
      <c r="J70" s="161"/>
      <c r="K70" s="159"/>
      <c r="L70" s="58"/>
    </row>
    <row r="71" spans="1:12" ht="24">
      <c r="A71" s="132" t="s">
        <v>783</v>
      </c>
      <c r="B71" s="522" t="s">
        <v>784</v>
      </c>
      <c r="C71" s="90" t="s">
        <v>785</v>
      </c>
      <c r="D71" s="525"/>
      <c r="E71" s="512"/>
      <c r="F71" s="194" t="s">
        <v>183</v>
      </c>
      <c r="G71" s="156"/>
      <c r="H71" s="161"/>
      <c r="I71" s="156"/>
      <c r="J71" s="161"/>
      <c r="K71" s="159"/>
      <c r="L71" s="513" t="s">
        <v>724</v>
      </c>
    </row>
    <row r="72" spans="1:12" ht="24">
      <c r="A72" s="526"/>
      <c r="B72" s="527"/>
      <c r="C72" s="528" t="s">
        <v>771</v>
      </c>
      <c r="D72" s="529"/>
      <c r="E72" s="530"/>
      <c r="F72" s="531"/>
      <c r="G72" s="532"/>
      <c r="H72" s="533"/>
      <c r="I72" s="532"/>
      <c r="J72" s="533"/>
      <c r="K72" s="534"/>
      <c r="L72" s="535"/>
    </row>
    <row r="73" spans="1:12" ht="24">
      <c r="A73" s="132" t="s">
        <v>786</v>
      </c>
      <c r="B73" s="536" t="s">
        <v>787</v>
      </c>
      <c r="C73" s="537" t="s">
        <v>788</v>
      </c>
      <c r="D73" s="538"/>
      <c r="E73" s="524"/>
      <c r="F73" s="220" t="s">
        <v>183</v>
      </c>
      <c r="G73" s="156"/>
      <c r="H73" s="157"/>
      <c r="I73" s="156"/>
      <c r="J73" s="157"/>
      <c r="K73" s="158"/>
      <c r="L73" s="539" t="s">
        <v>789</v>
      </c>
    </row>
    <row r="74" spans="1:12" ht="24">
      <c r="A74" s="132" t="s">
        <v>790</v>
      </c>
      <c r="B74" s="145" t="s">
        <v>134</v>
      </c>
      <c r="C74" s="61" t="s">
        <v>136</v>
      </c>
      <c r="D74" s="67"/>
      <c r="E74" s="516"/>
      <c r="F74" s="57"/>
      <c r="G74" s="114"/>
      <c r="H74" s="121"/>
      <c r="I74" s="114"/>
      <c r="J74" s="121"/>
      <c r="K74" s="68"/>
      <c r="L74" s="58"/>
    </row>
    <row r="75" spans="1:12" ht="24">
      <c r="A75" s="132"/>
      <c r="B75" s="60"/>
      <c r="C75" s="61" t="s">
        <v>791</v>
      </c>
      <c r="D75" s="67"/>
      <c r="E75" s="516"/>
      <c r="F75" s="57" t="s">
        <v>184</v>
      </c>
      <c r="G75" s="156"/>
      <c r="H75" s="161"/>
      <c r="I75" s="156"/>
      <c r="J75" s="161"/>
      <c r="K75" s="159"/>
      <c r="L75" s="58"/>
    </row>
    <row r="76" spans="1:12" ht="24">
      <c r="A76" s="69"/>
      <c r="B76" s="60"/>
      <c r="C76" s="61" t="s">
        <v>792</v>
      </c>
      <c r="D76" s="67"/>
      <c r="E76" s="516"/>
      <c r="F76" s="57" t="s">
        <v>184</v>
      </c>
      <c r="G76" s="156"/>
      <c r="H76" s="161"/>
      <c r="I76" s="156"/>
      <c r="J76" s="161"/>
      <c r="K76" s="159"/>
      <c r="L76" s="58"/>
    </row>
    <row r="77" spans="1:12" ht="24">
      <c r="A77" s="69"/>
      <c r="B77" s="60"/>
      <c r="C77" s="61"/>
      <c r="D77" s="67"/>
      <c r="E77" s="516"/>
      <c r="F77" s="57"/>
      <c r="G77" s="156"/>
      <c r="H77" s="161"/>
      <c r="I77" s="156"/>
      <c r="J77" s="161"/>
      <c r="K77" s="159"/>
      <c r="L77" s="58"/>
    </row>
    <row r="78" spans="1:12" ht="24">
      <c r="A78" s="69"/>
      <c r="B78" s="60"/>
      <c r="C78" s="61"/>
      <c r="D78" s="67"/>
      <c r="E78" s="516"/>
      <c r="F78" s="57"/>
      <c r="G78" s="156"/>
      <c r="H78" s="161"/>
      <c r="I78" s="156"/>
      <c r="J78" s="161"/>
      <c r="K78" s="159"/>
      <c r="L78" s="58"/>
    </row>
    <row r="79" spans="1:12" ht="24">
      <c r="A79" s="69"/>
      <c r="B79" s="60"/>
      <c r="C79" s="61"/>
      <c r="D79" s="67"/>
      <c r="E79" s="516"/>
      <c r="F79" s="57"/>
      <c r="G79" s="156"/>
      <c r="H79" s="161"/>
      <c r="I79" s="156"/>
      <c r="J79" s="161"/>
      <c r="K79" s="159"/>
      <c r="L79" s="58"/>
    </row>
    <row r="80" spans="1:12" ht="24">
      <c r="A80" s="69"/>
      <c r="B80" s="60"/>
      <c r="C80" s="61"/>
      <c r="D80" s="67"/>
      <c r="E80" s="516"/>
      <c r="F80" s="57"/>
      <c r="G80" s="156"/>
      <c r="H80" s="161"/>
      <c r="I80" s="156"/>
      <c r="J80" s="161"/>
      <c r="K80" s="159"/>
      <c r="L80" s="58"/>
    </row>
    <row r="81" spans="1:12" ht="24">
      <c r="A81" s="69"/>
      <c r="B81" s="60"/>
      <c r="C81" s="61"/>
      <c r="D81" s="67"/>
      <c r="E81" s="56"/>
      <c r="F81" s="57"/>
      <c r="G81" s="156"/>
      <c r="H81" s="161"/>
      <c r="I81" s="156"/>
      <c r="J81" s="161"/>
      <c r="K81" s="159"/>
      <c r="L81" s="58"/>
    </row>
    <row r="82" spans="1:12" ht="24">
      <c r="A82" s="69"/>
      <c r="B82" s="60"/>
      <c r="C82" s="61"/>
      <c r="D82" s="67"/>
      <c r="E82" s="56"/>
      <c r="F82" s="57"/>
      <c r="G82" s="156"/>
      <c r="H82" s="161"/>
      <c r="I82" s="156"/>
      <c r="J82" s="161"/>
      <c r="K82" s="159"/>
      <c r="L82" s="58"/>
    </row>
    <row r="83" spans="1:12" ht="24">
      <c r="A83" s="69"/>
      <c r="B83" s="60"/>
      <c r="C83" s="61"/>
      <c r="D83" s="67"/>
      <c r="E83" s="56"/>
      <c r="F83" s="57"/>
      <c r="G83" s="156"/>
      <c r="H83" s="161"/>
      <c r="I83" s="156"/>
      <c r="J83" s="161"/>
      <c r="K83" s="159"/>
      <c r="L83" s="58"/>
    </row>
    <row r="84" spans="1:12" ht="24">
      <c r="A84" s="69"/>
      <c r="B84" s="60"/>
      <c r="C84" s="61"/>
      <c r="D84" s="67"/>
      <c r="E84" s="56"/>
      <c r="F84" s="57"/>
      <c r="G84" s="156"/>
      <c r="H84" s="161"/>
      <c r="I84" s="156"/>
      <c r="J84" s="161"/>
      <c r="K84" s="159"/>
      <c r="L84" s="58"/>
    </row>
    <row r="85" spans="1:12" ht="24">
      <c r="A85" s="69"/>
      <c r="B85" s="60"/>
      <c r="C85" s="61"/>
      <c r="D85" s="67"/>
      <c r="E85" s="56"/>
      <c r="F85" s="57"/>
      <c r="G85" s="156"/>
      <c r="H85" s="161"/>
      <c r="I85" s="156"/>
      <c r="J85" s="161"/>
      <c r="K85" s="159"/>
      <c r="L85" s="58"/>
    </row>
    <row r="86" spans="1:12" ht="24">
      <c r="A86" s="69"/>
      <c r="B86" s="60"/>
      <c r="C86" s="61"/>
      <c r="D86" s="67"/>
      <c r="E86" s="56"/>
      <c r="F86" s="57"/>
      <c r="G86" s="156"/>
      <c r="H86" s="161"/>
      <c r="I86" s="156"/>
      <c r="J86" s="161"/>
      <c r="K86" s="159"/>
      <c r="L86" s="58"/>
    </row>
    <row r="87" spans="1:12" ht="24">
      <c r="A87" s="69"/>
      <c r="B87" s="60"/>
      <c r="C87" s="61"/>
      <c r="D87" s="67"/>
      <c r="E87" s="56"/>
      <c r="F87" s="57"/>
      <c r="G87" s="156"/>
      <c r="H87" s="161"/>
      <c r="I87" s="156"/>
      <c r="J87" s="161"/>
      <c r="K87" s="159"/>
      <c r="L87" s="58"/>
    </row>
    <row r="88" spans="1:12" ht="24">
      <c r="A88" s="69"/>
      <c r="B88" s="60"/>
      <c r="C88" s="61"/>
      <c r="D88" s="67"/>
      <c r="E88" s="56"/>
      <c r="F88" s="57"/>
      <c r="G88" s="156"/>
      <c r="H88" s="161"/>
      <c r="I88" s="156"/>
      <c r="J88" s="161"/>
      <c r="K88" s="159"/>
      <c r="L88" s="58"/>
    </row>
    <row r="89" spans="1:12" ht="24">
      <c r="A89" s="69"/>
      <c r="B89" s="60"/>
      <c r="C89" s="61"/>
      <c r="D89" s="67"/>
      <c r="E89" s="56"/>
      <c r="F89" s="57"/>
      <c r="G89" s="156"/>
      <c r="H89" s="161"/>
      <c r="I89" s="156"/>
      <c r="J89" s="161"/>
      <c r="K89" s="159"/>
      <c r="L89" s="58"/>
    </row>
    <row r="90" spans="1:12" ht="24">
      <c r="A90" s="69"/>
      <c r="B90" s="60"/>
      <c r="C90" s="61"/>
      <c r="D90" s="67"/>
      <c r="E90" s="56"/>
      <c r="F90" s="57"/>
      <c r="G90" s="156"/>
      <c r="H90" s="161"/>
      <c r="I90" s="156"/>
      <c r="J90" s="161"/>
      <c r="K90" s="159"/>
      <c r="L90" s="58"/>
    </row>
    <row r="91" spans="1:12" ht="24">
      <c r="A91" s="69"/>
      <c r="B91" s="60"/>
      <c r="C91" s="61"/>
      <c r="D91" s="67"/>
      <c r="E91" s="56"/>
      <c r="F91" s="57"/>
      <c r="G91" s="156"/>
      <c r="H91" s="161"/>
      <c r="I91" s="156"/>
      <c r="J91" s="161"/>
      <c r="K91" s="159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501"/>
      <c r="B93" s="2121" t="s">
        <v>793</v>
      </c>
      <c r="C93" s="2122"/>
      <c r="D93" s="2123"/>
      <c r="E93" s="502"/>
      <c r="F93" s="503"/>
      <c r="G93" s="504"/>
      <c r="H93" s="518"/>
      <c r="I93" s="504"/>
      <c r="J93" s="518"/>
      <c r="K93" s="506"/>
      <c r="L93" s="74"/>
    </row>
    <row r="94" spans="1:12" ht="24">
      <c r="A94" s="104">
        <v>2.2999999999999998</v>
      </c>
      <c r="B94" s="2127" t="s">
        <v>110</v>
      </c>
      <c r="C94" s="2128"/>
      <c r="D94" s="2129"/>
      <c r="E94" s="519"/>
      <c r="F94" s="155"/>
      <c r="G94" s="156"/>
      <c r="H94" s="157"/>
      <c r="I94" s="156"/>
      <c r="J94" s="157"/>
      <c r="K94" s="158"/>
      <c r="L94" s="520"/>
    </row>
    <row r="95" spans="1:12" ht="24">
      <c r="A95" s="132" t="s">
        <v>794</v>
      </c>
      <c r="B95" s="144" t="s">
        <v>795</v>
      </c>
      <c r="C95" s="61" t="s">
        <v>796</v>
      </c>
      <c r="D95" s="55"/>
      <c r="E95" s="512"/>
      <c r="F95" s="159" t="s">
        <v>183</v>
      </c>
      <c r="G95" s="156"/>
      <c r="H95" s="161"/>
      <c r="I95" s="156"/>
      <c r="J95" s="161"/>
      <c r="K95" s="159"/>
      <c r="L95" s="513" t="s">
        <v>724</v>
      </c>
    </row>
    <row r="96" spans="1:12" ht="24">
      <c r="A96" s="132" t="s">
        <v>797</v>
      </c>
      <c r="B96" s="145" t="s">
        <v>139</v>
      </c>
      <c r="C96" s="61" t="s">
        <v>798</v>
      </c>
      <c r="D96" s="62"/>
      <c r="E96" s="516"/>
      <c r="F96" s="159" t="s">
        <v>183</v>
      </c>
      <c r="G96" s="156"/>
      <c r="H96" s="161"/>
      <c r="I96" s="156"/>
      <c r="J96" s="161"/>
      <c r="K96" s="159"/>
      <c r="L96" s="540"/>
    </row>
    <row r="97" spans="1:12" ht="24">
      <c r="A97" s="132" t="s">
        <v>799</v>
      </c>
      <c r="B97" s="145" t="s">
        <v>141</v>
      </c>
      <c r="C97" s="61" t="s">
        <v>800</v>
      </c>
      <c r="D97" s="67"/>
      <c r="E97" s="516"/>
      <c r="F97" s="159" t="s">
        <v>183</v>
      </c>
      <c r="G97" s="156"/>
      <c r="H97" s="161"/>
      <c r="I97" s="156"/>
      <c r="J97" s="161"/>
      <c r="K97" s="159"/>
      <c r="L97" s="539"/>
    </row>
    <row r="98" spans="1:12" ht="24">
      <c r="A98" s="132" t="s">
        <v>801</v>
      </c>
      <c r="B98" s="145" t="s">
        <v>143</v>
      </c>
      <c r="C98" s="61" t="s">
        <v>802</v>
      </c>
      <c r="D98" s="67"/>
      <c r="E98" s="512"/>
      <c r="F98" s="159" t="s">
        <v>183</v>
      </c>
      <c r="G98" s="156"/>
      <c r="H98" s="161"/>
      <c r="I98" s="156"/>
      <c r="J98" s="161"/>
      <c r="K98" s="159"/>
      <c r="L98" s="513" t="s">
        <v>724</v>
      </c>
    </row>
    <row r="99" spans="1:12" ht="24">
      <c r="A99" s="132" t="s">
        <v>803</v>
      </c>
      <c r="B99" s="145" t="s">
        <v>804</v>
      </c>
      <c r="C99" s="61" t="s">
        <v>805</v>
      </c>
      <c r="D99" s="67"/>
      <c r="E99" s="516"/>
      <c r="F99" s="159" t="s">
        <v>183</v>
      </c>
      <c r="G99" s="156"/>
      <c r="H99" s="161"/>
      <c r="I99" s="156"/>
      <c r="J99" s="161"/>
      <c r="K99" s="159"/>
      <c r="L99" s="514"/>
    </row>
    <row r="100" spans="1:12" ht="24">
      <c r="A100" s="132" t="s">
        <v>806</v>
      </c>
      <c r="B100" s="522" t="s">
        <v>807</v>
      </c>
      <c r="C100" s="61" t="s">
        <v>808</v>
      </c>
      <c r="D100" s="67"/>
      <c r="E100" s="516"/>
      <c r="F100" s="159" t="s">
        <v>183</v>
      </c>
      <c r="G100" s="156"/>
      <c r="H100" s="161"/>
      <c r="I100" s="156"/>
      <c r="J100" s="161"/>
      <c r="K100" s="159"/>
      <c r="L100" s="514"/>
    </row>
    <row r="101" spans="1:12" ht="24">
      <c r="A101" s="132" t="s">
        <v>809</v>
      </c>
      <c r="B101" s="522" t="s">
        <v>810</v>
      </c>
      <c r="C101" s="61" t="s">
        <v>811</v>
      </c>
      <c r="D101" s="523"/>
      <c r="E101" s="512"/>
      <c r="F101" s="159" t="s">
        <v>183</v>
      </c>
      <c r="G101" s="156"/>
      <c r="H101" s="161"/>
      <c r="I101" s="156"/>
      <c r="J101" s="161"/>
      <c r="K101" s="159"/>
      <c r="L101" s="513" t="s">
        <v>724</v>
      </c>
    </row>
    <row r="102" spans="1:12" ht="24">
      <c r="A102" s="132" t="s">
        <v>812</v>
      </c>
      <c r="B102" s="522" t="s">
        <v>813</v>
      </c>
      <c r="C102" s="61" t="s">
        <v>751</v>
      </c>
      <c r="D102" s="62"/>
      <c r="E102" s="512"/>
      <c r="F102" s="159" t="s">
        <v>183</v>
      </c>
      <c r="G102" s="156"/>
      <c r="H102" s="161"/>
      <c r="I102" s="156"/>
      <c r="J102" s="161"/>
      <c r="K102" s="159"/>
      <c r="L102" s="513" t="s">
        <v>724</v>
      </c>
    </row>
    <row r="103" spans="1:12" ht="24">
      <c r="A103" s="132"/>
      <c r="B103" s="522"/>
      <c r="C103" s="61" t="s">
        <v>752</v>
      </c>
      <c r="D103" s="62"/>
      <c r="E103" s="509"/>
      <c r="F103" s="159"/>
      <c r="G103" s="156"/>
      <c r="H103" s="161"/>
      <c r="I103" s="156"/>
      <c r="J103" s="161"/>
      <c r="K103" s="159"/>
      <c r="L103" s="58"/>
    </row>
    <row r="104" spans="1:12" s="515" customFormat="1" ht="24">
      <c r="A104" s="132" t="s">
        <v>814</v>
      </c>
      <c r="B104" s="145" t="s">
        <v>815</v>
      </c>
      <c r="C104" s="61" t="s">
        <v>816</v>
      </c>
      <c r="D104" s="62"/>
      <c r="E104" s="509"/>
      <c r="F104" s="159" t="s">
        <v>183</v>
      </c>
      <c r="G104" s="156"/>
      <c r="H104" s="161"/>
      <c r="I104" s="156"/>
      <c r="J104" s="161"/>
      <c r="K104" s="159"/>
      <c r="L104" s="58"/>
    </row>
    <row r="105" spans="1:12" ht="24">
      <c r="A105" s="132"/>
      <c r="B105" s="522"/>
      <c r="C105" s="61" t="s">
        <v>817</v>
      </c>
      <c r="D105" s="62"/>
      <c r="E105" s="509"/>
      <c r="F105" s="159"/>
      <c r="G105" s="156"/>
      <c r="H105" s="161"/>
      <c r="I105" s="156"/>
      <c r="J105" s="161"/>
      <c r="K105" s="159"/>
      <c r="L105" s="58"/>
    </row>
    <row r="106" spans="1:12" ht="24">
      <c r="A106" s="132"/>
      <c r="B106" s="522"/>
      <c r="C106" s="61"/>
      <c r="D106" s="62"/>
      <c r="E106" s="509"/>
      <c r="F106" s="159"/>
      <c r="G106" s="156"/>
      <c r="H106" s="161"/>
      <c r="I106" s="156"/>
      <c r="J106" s="161"/>
      <c r="K106" s="159"/>
      <c r="L106" s="58"/>
    </row>
    <row r="107" spans="1:12" ht="24">
      <c r="A107" s="132"/>
      <c r="B107" s="522"/>
      <c r="C107" s="61"/>
      <c r="D107" s="62"/>
      <c r="E107" s="509"/>
      <c r="F107" s="159"/>
      <c r="G107" s="156"/>
      <c r="H107" s="161"/>
      <c r="I107" s="156"/>
      <c r="J107" s="161"/>
      <c r="K107" s="159"/>
      <c r="L107" s="58"/>
    </row>
    <row r="108" spans="1:12" ht="24">
      <c r="A108" s="132"/>
      <c r="B108" s="522"/>
      <c r="C108" s="61"/>
      <c r="D108" s="62"/>
      <c r="E108" s="509"/>
      <c r="F108" s="159"/>
      <c r="G108" s="156"/>
      <c r="H108" s="161"/>
      <c r="I108" s="156"/>
      <c r="J108" s="161"/>
      <c r="K108" s="159"/>
      <c r="L108" s="58"/>
    </row>
    <row r="109" spans="1:12" ht="24">
      <c r="A109" s="132"/>
      <c r="B109" s="522"/>
      <c r="C109" s="61"/>
      <c r="D109" s="62"/>
      <c r="E109" s="63"/>
      <c r="F109" s="159"/>
      <c r="G109" s="156"/>
      <c r="H109" s="161"/>
      <c r="I109" s="156"/>
      <c r="J109" s="161"/>
      <c r="K109" s="159"/>
      <c r="L109" s="58"/>
    </row>
    <row r="110" spans="1:12" ht="24">
      <c r="A110" s="132"/>
      <c r="B110" s="522"/>
      <c r="C110" s="61"/>
      <c r="D110" s="62"/>
      <c r="E110" s="63"/>
      <c r="F110" s="159"/>
      <c r="G110" s="156"/>
      <c r="H110" s="161"/>
      <c r="I110" s="156"/>
      <c r="J110" s="161"/>
      <c r="K110" s="159"/>
      <c r="L110" s="58"/>
    </row>
    <row r="111" spans="1:12" ht="24">
      <c r="A111" s="132"/>
      <c r="B111" s="522"/>
      <c r="C111" s="61"/>
      <c r="D111" s="523"/>
      <c r="E111" s="541"/>
      <c r="F111" s="194"/>
      <c r="G111" s="156"/>
      <c r="H111" s="161"/>
      <c r="I111" s="156"/>
      <c r="J111" s="161"/>
      <c r="K111" s="159"/>
      <c r="L111" s="58"/>
    </row>
    <row r="112" spans="1:12" ht="24">
      <c r="A112" s="132"/>
      <c r="B112" s="522"/>
      <c r="C112" s="90"/>
      <c r="D112" s="525"/>
      <c r="E112" s="542"/>
      <c r="F112" s="194"/>
      <c r="G112" s="156"/>
      <c r="H112" s="161"/>
      <c r="I112" s="156"/>
      <c r="J112" s="161"/>
      <c r="K112" s="159"/>
      <c r="L112" s="58"/>
    </row>
    <row r="113" spans="1:24" ht="24.75" thickBot="1">
      <c r="A113" s="517"/>
      <c r="B113" s="133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24" ht="24.75" thickTop="1">
      <c r="A114" s="501"/>
      <c r="B114" s="2121" t="s">
        <v>818</v>
      </c>
      <c r="C114" s="2122"/>
      <c r="D114" s="2123"/>
      <c r="E114" s="502"/>
      <c r="F114" s="503"/>
      <c r="G114" s="504"/>
      <c r="H114" s="518"/>
      <c r="I114" s="504"/>
      <c r="J114" s="518"/>
      <c r="K114" s="506"/>
      <c r="L114" s="74"/>
    </row>
    <row r="115" spans="1:24" ht="24">
      <c r="A115" s="104">
        <v>2.4</v>
      </c>
      <c r="B115" s="2127" t="s">
        <v>819</v>
      </c>
      <c r="C115" s="2128"/>
      <c r="D115" s="2129"/>
      <c r="E115" s="519"/>
      <c r="F115" s="155"/>
      <c r="G115" s="156"/>
      <c r="H115" s="157"/>
      <c r="I115" s="156"/>
      <c r="J115" s="157"/>
      <c r="K115" s="158"/>
      <c r="L115" s="520"/>
    </row>
    <row r="116" spans="1:24" ht="24">
      <c r="A116" s="132" t="s">
        <v>820</v>
      </c>
      <c r="B116" s="144" t="s">
        <v>821</v>
      </c>
      <c r="C116" s="61" t="s">
        <v>822</v>
      </c>
      <c r="D116" s="543"/>
      <c r="E116" s="512"/>
      <c r="F116" s="159" t="s">
        <v>183</v>
      </c>
      <c r="G116" s="156"/>
      <c r="H116" s="161"/>
      <c r="I116" s="156"/>
      <c r="J116" s="161"/>
      <c r="K116" s="159"/>
      <c r="L116" s="540" t="s">
        <v>823</v>
      </c>
    </row>
    <row r="117" spans="1:24" ht="24">
      <c r="A117" s="132" t="s">
        <v>824</v>
      </c>
      <c r="B117" s="145" t="s">
        <v>153</v>
      </c>
      <c r="C117" s="61" t="s">
        <v>825</v>
      </c>
      <c r="D117" s="544"/>
      <c r="E117" s="509"/>
      <c r="F117" s="159" t="s">
        <v>183</v>
      </c>
      <c r="G117" s="156"/>
      <c r="H117" s="161"/>
      <c r="I117" s="156"/>
      <c r="J117" s="161"/>
      <c r="K117" s="159"/>
      <c r="L117" s="540" t="s">
        <v>823</v>
      </c>
    </row>
    <row r="118" spans="1:24" ht="24">
      <c r="A118" s="132" t="s">
        <v>826</v>
      </c>
      <c r="B118" s="145" t="s">
        <v>155</v>
      </c>
      <c r="C118" s="61" t="s">
        <v>156</v>
      </c>
      <c r="D118" s="544"/>
      <c r="E118" s="509"/>
      <c r="F118" s="158" t="s">
        <v>183</v>
      </c>
      <c r="G118" s="156"/>
      <c r="H118" s="161"/>
      <c r="I118" s="156"/>
      <c r="J118" s="161"/>
      <c r="K118" s="159"/>
      <c r="L118" s="540" t="s">
        <v>823</v>
      </c>
    </row>
    <row r="119" spans="1:24" ht="24">
      <c r="A119" s="132"/>
      <c r="B119" s="145"/>
      <c r="C119" s="61" t="s">
        <v>827</v>
      </c>
      <c r="D119" s="545"/>
      <c r="E119" s="516"/>
      <c r="F119" s="159"/>
      <c r="G119" s="160"/>
      <c r="H119" s="161"/>
      <c r="I119" s="160"/>
      <c r="J119" s="161"/>
      <c r="K119" s="159"/>
      <c r="L119" s="546"/>
    </row>
    <row r="120" spans="1:24" ht="24">
      <c r="A120" s="132" t="s">
        <v>828</v>
      </c>
      <c r="B120" s="145" t="s">
        <v>157</v>
      </c>
      <c r="C120" s="61" t="s">
        <v>829</v>
      </c>
      <c r="D120" s="545"/>
      <c r="E120" s="516"/>
      <c r="F120" s="159" t="s">
        <v>183</v>
      </c>
      <c r="G120" s="156"/>
      <c r="H120" s="161"/>
      <c r="I120" s="156"/>
      <c r="J120" s="161"/>
      <c r="K120" s="159"/>
      <c r="L120" s="540" t="s">
        <v>823</v>
      </c>
    </row>
    <row r="121" spans="1:24" ht="24">
      <c r="A121" s="132"/>
      <c r="B121" s="145"/>
      <c r="C121" s="61" t="s">
        <v>830</v>
      </c>
      <c r="D121" s="545"/>
      <c r="E121" s="516"/>
      <c r="F121" s="159"/>
      <c r="G121" s="160"/>
      <c r="H121" s="161"/>
      <c r="I121" s="160"/>
      <c r="J121" s="161"/>
      <c r="K121" s="159"/>
      <c r="L121" s="546"/>
    </row>
    <row r="122" spans="1:24" ht="24">
      <c r="A122" s="132" t="s">
        <v>831</v>
      </c>
      <c r="B122" s="145" t="s">
        <v>159</v>
      </c>
      <c r="C122" s="61" t="s">
        <v>832</v>
      </c>
      <c r="D122" s="545"/>
      <c r="E122" s="516"/>
      <c r="F122" s="159" t="s">
        <v>183</v>
      </c>
      <c r="G122" s="156"/>
      <c r="H122" s="161"/>
      <c r="I122" s="156"/>
      <c r="J122" s="161"/>
      <c r="K122" s="159"/>
      <c r="L122" s="540" t="s">
        <v>823</v>
      </c>
    </row>
    <row r="123" spans="1:24" ht="24">
      <c r="A123" s="132"/>
      <c r="B123" s="145"/>
      <c r="C123" s="61" t="s">
        <v>833</v>
      </c>
      <c r="D123" s="545"/>
      <c r="E123" s="516"/>
      <c r="F123" s="159"/>
      <c r="G123" s="160"/>
      <c r="H123" s="161"/>
      <c r="I123" s="160"/>
      <c r="J123" s="161"/>
      <c r="K123" s="159"/>
      <c r="L123" s="546"/>
    </row>
    <row r="124" spans="1:24" ht="24">
      <c r="A124" s="132" t="s">
        <v>834</v>
      </c>
      <c r="B124" s="60" t="s">
        <v>134</v>
      </c>
      <c r="C124" s="61" t="s">
        <v>835</v>
      </c>
      <c r="D124" s="67"/>
      <c r="E124" s="516"/>
      <c r="F124" s="159" t="s">
        <v>183</v>
      </c>
      <c r="G124" s="156"/>
      <c r="H124" s="157"/>
      <c r="I124" s="156"/>
      <c r="J124" s="157"/>
      <c r="K124" s="158"/>
      <c r="L124" s="546"/>
    </row>
    <row r="125" spans="1:24" ht="24">
      <c r="A125" s="132" t="s">
        <v>836</v>
      </c>
      <c r="B125" s="60" t="s">
        <v>134</v>
      </c>
      <c r="C125" s="61" t="s">
        <v>837</v>
      </c>
      <c r="D125" s="67"/>
      <c r="E125" s="512"/>
      <c r="F125" s="159" t="s">
        <v>183</v>
      </c>
      <c r="G125" s="160"/>
      <c r="H125" s="157"/>
      <c r="I125" s="160"/>
      <c r="J125" s="157"/>
      <c r="K125" s="158"/>
      <c r="L125" s="513" t="s">
        <v>724</v>
      </c>
    </row>
    <row r="126" spans="1:24" ht="24">
      <c r="A126" s="132" t="s">
        <v>838</v>
      </c>
      <c r="B126" s="60" t="s">
        <v>240</v>
      </c>
      <c r="C126" s="61" t="s">
        <v>839</v>
      </c>
      <c r="D126" s="67"/>
      <c r="E126" s="516"/>
      <c r="F126" s="159" t="s">
        <v>183</v>
      </c>
      <c r="G126" s="156"/>
      <c r="H126" s="157"/>
      <c r="I126" s="156"/>
      <c r="J126" s="157"/>
      <c r="K126" s="158"/>
      <c r="L126" s="547" t="s">
        <v>755</v>
      </c>
    </row>
    <row r="127" spans="1:24" ht="24">
      <c r="A127" s="132"/>
      <c r="B127" s="145"/>
      <c r="C127" s="90" t="s">
        <v>840</v>
      </c>
      <c r="D127" s="545"/>
      <c r="E127" s="516"/>
      <c r="F127" s="159"/>
      <c r="G127" s="160"/>
      <c r="H127" s="161"/>
      <c r="I127" s="160"/>
      <c r="J127" s="161"/>
      <c r="K127" s="159"/>
      <c r="L127" s="510"/>
    </row>
    <row r="128" spans="1:24" ht="24">
      <c r="A128" s="199" t="s">
        <v>841</v>
      </c>
      <c r="B128" s="522" t="s">
        <v>134</v>
      </c>
      <c r="C128" s="90" t="s">
        <v>842</v>
      </c>
      <c r="D128" s="548"/>
      <c r="E128" s="512"/>
      <c r="F128" s="194" t="s">
        <v>183</v>
      </c>
      <c r="G128" s="549"/>
      <c r="H128" s="550"/>
      <c r="I128" s="549"/>
      <c r="J128" s="550"/>
      <c r="K128" s="220"/>
      <c r="L128" s="510"/>
      <c r="N128" s="199" t="s">
        <v>841</v>
      </c>
      <c r="O128" s="522" t="s">
        <v>134</v>
      </c>
      <c r="P128" s="90" t="s">
        <v>842</v>
      </c>
      <c r="Q128" s="548"/>
      <c r="R128" s="512">
        <v>4610</v>
      </c>
      <c r="S128" s="194" t="s">
        <v>183</v>
      </c>
      <c r="T128" s="549">
        <v>325</v>
      </c>
      <c r="U128" s="550">
        <f t="shared" ref="U128" si="0">R128*T128</f>
        <v>1498250</v>
      </c>
      <c r="V128" s="549">
        <v>50</v>
      </c>
      <c r="W128" s="550">
        <f t="shared" ref="W128" si="1">R128*V128</f>
        <v>230500</v>
      </c>
      <c r="X128" s="220">
        <f t="shared" ref="X128" si="2">U128+W128</f>
        <v>1728750</v>
      </c>
    </row>
    <row r="129" spans="1:24" ht="24">
      <c r="A129" s="199"/>
      <c r="B129" s="522"/>
      <c r="C129" s="90" t="s">
        <v>843</v>
      </c>
      <c r="D129" s="548"/>
      <c r="E129" s="512"/>
      <c r="F129" s="194"/>
      <c r="G129" s="551"/>
      <c r="H129" s="550"/>
      <c r="I129" s="551"/>
      <c r="J129" s="550"/>
      <c r="K129" s="220"/>
      <c r="L129" s="510"/>
      <c r="N129" s="199"/>
      <c r="O129" s="522"/>
      <c r="P129" s="90" t="s">
        <v>843</v>
      </c>
      <c r="Q129" s="548"/>
      <c r="R129" s="512"/>
      <c r="S129" s="194"/>
      <c r="T129" s="551"/>
      <c r="U129" s="550"/>
      <c r="V129" s="551"/>
      <c r="W129" s="550"/>
      <c r="X129" s="220"/>
    </row>
    <row r="130" spans="1:24" ht="24">
      <c r="A130" s="132"/>
      <c r="B130" s="145"/>
      <c r="C130" s="61"/>
      <c r="D130" s="545"/>
      <c r="E130" s="516"/>
      <c r="F130" s="159"/>
      <c r="G130" s="551"/>
      <c r="H130" s="157"/>
      <c r="I130" s="551"/>
      <c r="J130" s="157"/>
      <c r="K130" s="158"/>
      <c r="L130" s="510"/>
    </row>
    <row r="131" spans="1:24" ht="24">
      <c r="A131" s="132"/>
      <c r="B131" s="145"/>
      <c r="C131" s="61"/>
      <c r="D131" s="545"/>
      <c r="E131" s="516"/>
      <c r="F131" s="159"/>
      <c r="G131" s="551"/>
      <c r="H131" s="157"/>
      <c r="I131" s="551"/>
      <c r="J131" s="157"/>
      <c r="K131" s="158"/>
      <c r="L131" s="510"/>
    </row>
    <row r="132" spans="1:24" ht="24">
      <c r="A132" s="132"/>
      <c r="B132" s="145"/>
      <c r="C132" s="61"/>
      <c r="D132" s="545"/>
      <c r="E132" s="56"/>
      <c r="F132" s="159"/>
      <c r="G132" s="551"/>
      <c r="H132" s="157"/>
      <c r="I132" s="551"/>
      <c r="J132" s="157"/>
      <c r="K132" s="158"/>
      <c r="L132" s="510"/>
    </row>
    <row r="133" spans="1:24" ht="24">
      <c r="A133" s="132"/>
      <c r="B133" s="145"/>
      <c r="C133" s="61"/>
      <c r="D133" s="545"/>
      <c r="E133" s="56"/>
      <c r="F133" s="159"/>
      <c r="G133" s="551"/>
      <c r="H133" s="157"/>
      <c r="I133" s="551"/>
      <c r="J133" s="157"/>
      <c r="K133" s="158"/>
      <c r="L133" s="510"/>
    </row>
    <row r="134" spans="1:24" ht="24.75" thickBot="1">
      <c r="A134" s="69"/>
      <c r="B134" s="60"/>
      <c r="C134" s="61"/>
      <c r="D134" s="67"/>
      <c r="E134" s="56"/>
      <c r="F134" s="57"/>
      <c r="G134" s="114"/>
      <c r="H134" s="121"/>
      <c r="I134" s="114"/>
      <c r="J134" s="121"/>
      <c r="K134" s="68"/>
      <c r="L134" s="58"/>
    </row>
    <row r="135" spans="1:24" ht="24.75" thickTop="1">
      <c r="A135" s="501"/>
      <c r="B135" s="2121" t="s">
        <v>844</v>
      </c>
      <c r="C135" s="2122"/>
      <c r="D135" s="2123"/>
      <c r="E135" s="502"/>
      <c r="F135" s="503"/>
      <c r="G135" s="504"/>
      <c r="H135" s="518"/>
      <c r="I135" s="504"/>
      <c r="J135" s="518"/>
      <c r="K135" s="506"/>
      <c r="L135" s="74"/>
    </row>
    <row r="136" spans="1:24" ht="24">
      <c r="A136" s="104">
        <v>2.5</v>
      </c>
      <c r="B136" s="2127" t="s">
        <v>845</v>
      </c>
      <c r="C136" s="2128"/>
      <c r="D136" s="2129"/>
      <c r="E136" s="519"/>
      <c r="F136" s="155"/>
      <c r="G136" s="156"/>
      <c r="H136" s="157"/>
      <c r="I136" s="156"/>
      <c r="J136" s="157"/>
      <c r="K136" s="158"/>
      <c r="L136" s="520"/>
    </row>
    <row r="137" spans="1:24" ht="24">
      <c r="A137" s="132" t="s">
        <v>846</v>
      </c>
      <c r="B137" s="145" t="s">
        <v>146</v>
      </c>
      <c r="C137" s="61" t="s">
        <v>847</v>
      </c>
      <c r="D137" s="62"/>
      <c r="E137" s="509"/>
      <c r="F137" s="158" t="s">
        <v>184</v>
      </c>
      <c r="G137" s="156"/>
      <c r="H137" s="161"/>
      <c r="I137" s="156"/>
      <c r="J137" s="161"/>
      <c r="K137" s="159"/>
      <c r="L137" s="520"/>
    </row>
    <row r="138" spans="1:24" ht="24">
      <c r="A138" s="132" t="s">
        <v>848</v>
      </c>
      <c r="B138" s="145" t="s">
        <v>148</v>
      </c>
      <c r="C138" s="61" t="s">
        <v>298</v>
      </c>
      <c r="D138" s="62"/>
      <c r="E138" s="512"/>
      <c r="F138" s="158" t="s">
        <v>184</v>
      </c>
      <c r="G138" s="156"/>
      <c r="H138" s="161"/>
      <c r="I138" s="156"/>
      <c r="J138" s="161"/>
      <c r="K138" s="159"/>
      <c r="L138" s="513" t="s">
        <v>724</v>
      </c>
    </row>
    <row r="139" spans="1:24" ht="24">
      <c r="A139" s="132" t="s">
        <v>849</v>
      </c>
      <c r="B139" s="60" t="s">
        <v>150</v>
      </c>
      <c r="C139" s="61" t="s">
        <v>147</v>
      </c>
      <c r="D139" s="62"/>
      <c r="E139" s="509"/>
      <c r="F139" s="158" t="s">
        <v>184</v>
      </c>
      <c r="G139" s="156"/>
      <c r="H139" s="161"/>
      <c r="I139" s="156"/>
      <c r="J139" s="161"/>
      <c r="K139" s="159"/>
      <c r="L139" s="546"/>
    </row>
    <row r="140" spans="1:24" ht="24">
      <c r="A140" s="132"/>
      <c r="B140" s="60"/>
      <c r="C140" s="61"/>
      <c r="D140" s="62"/>
      <c r="E140" s="512"/>
      <c r="F140" s="158"/>
      <c r="G140" s="156"/>
      <c r="H140" s="161"/>
      <c r="I140" s="156"/>
      <c r="J140" s="161"/>
      <c r="K140" s="159"/>
      <c r="L140" s="513"/>
    </row>
    <row r="141" spans="1:24" ht="24">
      <c r="A141" s="132"/>
      <c r="B141" s="60"/>
      <c r="C141" s="61"/>
      <c r="D141" s="67"/>
      <c r="E141" s="56"/>
      <c r="F141" s="158"/>
      <c r="G141" s="156"/>
      <c r="H141" s="161"/>
      <c r="I141" s="156"/>
      <c r="J141" s="161"/>
      <c r="K141" s="159"/>
      <c r="L141" s="510"/>
    </row>
    <row r="142" spans="1:24" ht="24">
      <c r="A142" s="132"/>
      <c r="B142" s="60"/>
      <c r="C142" s="61"/>
      <c r="D142" s="67"/>
      <c r="E142" s="56"/>
      <c r="F142" s="158"/>
      <c r="G142" s="156"/>
      <c r="H142" s="161"/>
      <c r="I142" s="156"/>
      <c r="J142" s="161"/>
      <c r="K142" s="159"/>
      <c r="L142" s="510"/>
    </row>
    <row r="143" spans="1:24" ht="24">
      <c r="A143" s="132"/>
      <c r="B143" s="60"/>
      <c r="C143" s="61"/>
      <c r="D143" s="67"/>
      <c r="E143" s="56"/>
      <c r="F143" s="158"/>
      <c r="G143" s="156"/>
      <c r="H143" s="161"/>
      <c r="I143" s="156"/>
      <c r="J143" s="161"/>
      <c r="K143" s="159"/>
      <c r="L143" s="510"/>
    </row>
    <row r="144" spans="1:24" ht="24">
      <c r="A144" s="132"/>
      <c r="B144" s="145"/>
      <c r="C144" s="61"/>
      <c r="D144" s="67"/>
      <c r="E144" s="56"/>
      <c r="F144" s="158"/>
      <c r="G144" s="156"/>
      <c r="H144" s="161"/>
      <c r="I144" s="156"/>
      <c r="J144" s="161"/>
      <c r="K144" s="159"/>
      <c r="L144" s="510"/>
    </row>
    <row r="145" spans="1:12" ht="24">
      <c r="A145" s="132"/>
      <c r="B145" s="145"/>
      <c r="C145" s="61"/>
      <c r="D145" s="67"/>
      <c r="E145" s="56"/>
      <c r="F145" s="158"/>
      <c r="G145" s="160"/>
      <c r="H145" s="161"/>
      <c r="I145" s="160"/>
      <c r="J145" s="161"/>
      <c r="K145" s="159"/>
      <c r="L145" s="510"/>
    </row>
    <row r="146" spans="1:12" ht="24">
      <c r="A146" s="132"/>
      <c r="B146" s="60"/>
      <c r="C146" s="61"/>
      <c r="D146" s="67"/>
      <c r="E146" s="56"/>
      <c r="F146" s="159"/>
      <c r="G146" s="160"/>
      <c r="H146" s="161"/>
      <c r="I146" s="160"/>
      <c r="J146" s="161"/>
      <c r="K146" s="159"/>
      <c r="L146" s="510"/>
    </row>
    <row r="147" spans="1:12" ht="24">
      <c r="A147" s="132"/>
      <c r="B147" s="60"/>
      <c r="C147" s="61"/>
      <c r="D147" s="67"/>
      <c r="E147" s="56"/>
      <c r="F147" s="159"/>
      <c r="G147" s="160"/>
      <c r="H147" s="161"/>
      <c r="I147" s="160"/>
      <c r="J147" s="161"/>
      <c r="K147" s="159"/>
      <c r="L147" s="510"/>
    </row>
    <row r="148" spans="1:12" ht="24">
      <c r="A148" s="132"/>
      <c r="B148" s="60"/>
      <c r="C148" s="61"/>
      <c r="D148" s="67"/>
      <c r="E148" s="56"/>
      <c r="F148" s="159"/>
      <c r="G148" s="160"/>
      <c r="H148" s="161"/>
      <c r="I148" s="160"/>
      <c r="J148" s="161"/>
      <c r="K148" s="159"/>
      <c r="L148" s="510"/>
    </row>
    <row r="149" spans="1:12" ht="24">
      <c r="A149" s="132"/>
      <c r="B149" s="60"/>
      <c r="C149" s="61"/>
      <c r="D149" s="67"/>
      <c r="E149" s="56"/>
      <c r="F149" s="159"/>
      <c r="G149" s="160"/>
      <c r="H149" s="161"/>
      <c r="I149" s="160"/>
      <c r="J149" s="161"/>
      <c r="K149" s="159"/>
      <c r="L149" s="510"/>
    </row>
    <row r="150" spans="1:12" ht="24">
      <c r="A150" s="132"/>
      <c r="B150" s="60"/>
      <c r="C150" s="61"/>
      <c r="D150" s="67"/>
      <c r="E150" s="56"/>
      <c r="F150" s="159"/>
      <c r="G150" s="160"/>
      <c r="H150" s="161"/>
      <c r="I150" s="160"/>
      <c r="J150" s="161"/>
      <c r="K150" s="159"/>
      <c r="L150" s="510"/>
    </row>
    <row r="151" spans="1:12" ht="24">
      <c r="A151" s="132"/>
      <c r="B151" s="60"/>
      <c r="C151" s="61"/>
      <c r="D151" s="67"/>
      <c r="E151" s="56"/>
      <c r="F151" s="159"/>
      <c r="G151" s="160"/>
      <c r="H151" s="161"/>
      <c r="I151" s="160"/>
      <c r="J151" s="161"/>
      <c r="K151" s="159"/>
      <c r="L151" s="510"/>
    </row>
    <row r="152" spans="1:12" ht="24">
      <c r="A152" s="132"/>
      <c r="B152" s="60"/>
      <c r="C152" s="61"/>
      <c r="D152" s="67"/>
      <c r="E152" s="56"/>
      <c r="F152" s="159"/>
      <c r="G152" s="160"/>
      <c r="H152" s="161"/>
      <c r="I152" s="160"/>
      <c r="J152" s="161"/>
      <c r="K152" s="159"/>
      <c r="L152" s="510"/>
    </row>
    <row r="153" spans="1:12" ht="24">
      <c r="A153" s="517"/>
      <c r="B153" s="60"/>
      <c r="C153" s="61"/>
      <c r="D153" s="67"/>
      <c r="E153" s="56"/>
      <c r="F153" s="159"/>
      <c r="G153" s="160"/>
      <c r="H153" s="161"/>
      <c r="I153" s="160"/>
      <c r="J153" s="161"/>
      <c r="K153" s="159"/>
      <c r="L153" s="510"/>
    </row>
    <row r="154" spans="1:12" ht="24">
      <c r="A154" s="517"/>
      <c r="B154" s="60"/>
      <c r="C154" s="61"/>
      <c r="D154" s="67"/>
      <c r="E154" s="56"/>
      <c r="F154" s="159"/>
      <c r="G154" s="160"/>
      <c r="H154" s="161"/>
      <c r="I154" s="160"/>
      <c r="J154" s="161"/>
      <c r="K154" s="159"/>
      <c r="L154" s="510"/>
    </row>
    <row r="155" spans="1:12" ht="24.75" thickBot="1">
      <c r="A155" s="517"/>
      <c r="B155" s="60"/>
      <c r="C155" s="61"/>
      <c r="D155" s="67"/>
      <c r="E155" s="56"/>
      <c r="F155" s="159"/>
      <c r="G155" s="160"/>
      <c r="H155" s="161"/>
      <c r="I155" s="160"/>
      <c r="J155" s="161"/>
      <c r="K155" s="159"/>
      <c r="L155" s="510"/>
    </row>
    <row r="156" spans="1:12" ht="24.75" thickTop="1">
      <c r="A156" s="552"/>
      <c r="B156" s="2121" t="s">
        <v>850</v>
      </c>
      <c r="C156" s="2122"/>
      <c r="D156" s="2123"/>
      <c r="E156" s="502"/>
      <c r="F156" s="553"/>
      <c r="G156" s="554"/>
      <c r="H156" s="555"/>
      <c r="I156" s="556"/>
      <c r="J156" s="555"/>
      <c r="K156" s="555"/>
      <c r="L156" s="557"/>
    </row>
    <row r="157" spans="1:12" ht="24">
      <c r="A157" s="558">
        <v>2.6</v>
      </c>
      <c r="B157" s="559" t="s">
        <v>851</v>
      </c>
      <c r="C157" s="560"/>
      <c r="D157" s="560"/>
      <c r="E157" s="561"/>
      <c r="F157" s="562"/>
      <c r="G157" s="563"/>
      <c r="H157" s="157"/>
      <c r="I157" s="156"/>
      <c r="J157" s="157"/>
      <c r="K157" s="158"/>
      <c r="L157" s="520"/>
    </row>
    <row r="158" spans="1:12" ht="24">
      <c r="A158" s="564" t="s">
        <v>852</v>
      </c>
      <c r="B158" s="565" t="s">
        <v>186</v>
      </c>
      <c r="C158" s="566" t="s">
        <v>853</v>
      </c>
      <c r="D158" s="566"/>
      <c r="E158" s="567"/>
      <c r="F158" s="568" t="s">
        <v>185</v>
      </c>
      <c r="G158" s="569"/>
      <c r="H158" s="161"/>
      <c r="I158" s="156"/>
      <c r="J158" s="161"/>
      <c r="K158" s="159"/>
      <c r="L158" s="510"/>
    </row>
    <row r="159" spans="1:12" ht="24">
      <c r="A159" s="564"/>
      <c r="B159" s="565"/>
      <c r="C159" s="566" t="s">
        <v>854</v>
      </c>
      <c r="D159" s="566"/>
      <c r="E159" s="567"/>
      <c r="F159" s="568"/>
      <c r="G159" s="569"/>
      <c r="H159" s="161"/>
      <c r="I159" s="156"/>
      <c r="J159" s="161"/>
      <c r="K159" s="159"/>
      <c r="L159" s="510"/>
    </row>
    <row r="160" spans="1:12" ht="24">
      <c r="A160" s="564" t="s">
        <v>855</v>
      </c>
      <c r="B160" s="565" t="s">
        <v>187</v>
      </c>
      <c r="C160" s="566" t="s">
        <v>856</v>
      </c>
      <c r="D160" s="566"/>
      <c r="E160" s="567"/>
      <c r="F160" s="568" t="s">
        <v>185</v>
      </c>
      <c r="G160" s="569"/>
      <c r="H160" s="161"/>
      <c r="I160" s="156"/>
      <c r="J160" s="161"/>
      <c r="K160" s="159"/>
      <c r="L160" s="510"/>
    </row>
    <row r="161" spans="1:12" ht="24">
      <c r="A161" s="564"/>
      <c r="B161" s="565"/>
      <c r="C161" s="566" t="s">
        <v>857</v>
      </c>
      <c r="D161" s="566"/>
      <c r="E161" s="567"/>
      <c r="F161" s="568"/>
      <c r="G161" s="569"/>
      <c r="H161" s="161"/>
      <c r="I161" s="156"/>
      <c r="J161" s="161"/>
      <c r="K161" s="159"/>
      <c r="L161" s="510"/>
    </row>
    <row r="162" spans="1:12" ht="24">
      <c r="A162" s="564" t="s">
        <v>858</v>
      </c>
      <c r="B162" s="565" t="s">
        <v>188</v>
      </c>
      <c r="C162" s="566" t="s">
        <v>859</v>
      </c>
      <c r="D162" s="566"/>
      <c r="E162" s="567"/>
      <c r="F162" s="568" t="s">
        <v>185</v>
      </c>
      <c r="G162" s="569"/>
      <c r="H162" s="161"/>
      <c r="I162" s="156"/>
      <c r="J162" s="161"/>
      <c r="K162" s="159"/>
      <c r="L162" s="510"/>
    </row>
    <row r="163" spans="1:12" ht="24">
      <c r="A163" s="564"/>
      <c r="B163" s="565"/>
      <c r="C163" s="566" t="s">
        <v>857</v>
      </c>
      <c r="D163" s="566"/>
      <c r="E163" s="567"/>
      <c r="F163" s="568"/>
      <c r="G163" s="569"/>
      <c r="H163" s="161"/>
      <c r="I163" s="570"/>
      <c r="J163" s="161"/>
      <c r="K163" s="159"/>
      <c r="L163" s="510"/>
    </row>
    <row r="164" spans="1:12" ht="24">
      <c r="A164" s="564" t="s">
        <v>860</v>
      </c>
      <c r="B164" s="565" t="s">
        <v>301</v>
      </c>
      <c r="C164" s="566" t="s">
        <v>861</v>
      </c>
      <c r="D164" s="566"/>
      <c r="E164" s="567"/>
      <c r="F164" s="568" t="s">
        <v>185</v>
      </c>
      <c r="G164" s="569"/>
      <c r="H164" s="161"/>
      <c r="I164" s="156"/>
      <c r="J164" s="161"/>
      <c r="K164" s="159"/>
      <c r="L164" s="510"/>
    </row>
    <row r="165" spans="1:12" ht="24">
      <c r="A165" s="564"/>
      <c r="B165" s="565"/>
      <c r="C165" s="566" t="s">
        <v>862</v>
      </c>
      <c r="D165" s="566"/>
      <c r="E165" s="567"/>
      <c r="F165" s="568"/>
      <c r="G165" s="569"/>
      <c r="H165" s="161"/>
      <c r="I165" s="156"/>
      <c r="J165" s="161"/>
      <c r="K165" s="159"/>
      <c r="L165" s="510"/>
    </row>
    <row r="166" spans="1:12" ht="24">
      <c r="A166" s="564" t="s">
        <v>863</v>
      </c>
      <c r="B166" s="565" t="s">
        <v>302</v>
      </c>
      <c r="C166" s="566" t="s">
        <v>864</v>
      </c>
      <c r="D166" s="566"/>
      <c r="E166" s="567"/>
      <c r="F166" s="568" t="s">
        <v>185</v>
      </c>
      <c r="G166" s="569"/>
      <c r="H166" s="161"/>
      <c r="I166" s="156"/>
      <c r="J166" s="161"/>
      <c r="K166" s="159"/>
      <c r="L166" s="510"/>
    </row>
    <row r="167" spans="1:12" ht="24">
      <c r="A167" s="564"/>
      <c r="B167" s="565"/>
      <c r="C167" s="566" t="s">
        <v>865</v>
      </c>
      <c r="D167" s="566"/>
      <c r="E167" s="567"/>
      <c r="F167" s="568"/>
      <c r="G167" s="569"/>
      <c r="H167" s="161"/>
      <c r="I167" s="156"/>
      <c r="J167" s="161"/>
      <c r="K167" s="159"/>
      <c r="L167" s="510"/>
    </row>
    <row r="168" spans="1:12" ht="24">
      <c r="A168" s="564" t="s">
        <v>866</v>
      </c>
      <c r="B168" s="565" t="s">
        <v>303</v>
      </c>
      <c r="C168" s="566" t="s">
        <v>867</v>
      </c>
      <c r="D168" s="566"/>
      <c r="E168" s="567"/>
      <c r="F168" s="568" t="s">
        <v>185</v>
      </c>
      <c r="G168" s="569"/>
      <c r="H168" s="161"/>
      <c r="I168" s="156"/>
      <c r="J168" s="161"/>
      <c r="K168" s="159"/>
      <c r="L168" s="510"/>
    </row>
    <row r="169" spans="1:12" ht="24">
      <c r="A169" s="564"/>
      <c r="B169" s="565"/>
      <c r="C169" s="566" t="s">
        <v>865</v>
      </c>
      <c r="D169" s="566"/>
      <c r="E169" s="567"/>
      <c r="F169" s="568"/>
      <c r="G169" s="569"/>
      <c r="H169" s="161"/>
      <c r="I169" s="156"/>
      <c r="J169" s="161"/>
      <c r="K169" s="159"/>
      <c r="L169" s="510"/>
    </row>
    <row r="170" spans="1:12" ht="24">
      <c r="A170" s="564" t="s">
        <v>868</v>
      </c>
      <c r="B170" s="565" t="s">
        <v>869</v>
      </c>
      <c r="C170" s="566" t="s">
        <v>870</v>
      </c>
      <c r="D170" s="566"/>
      <c r="E170" s="567"/>
      <c r="F170" s="568" t="s">
        <v>185</v>
      </c>
      <c r="G170" s="569"/>
      <c r="H170" s="161"/>
      <c r="I170" s="156"/>
      <c r="J170" s="161"/>
      <c r="K170" s="159"/>
      <c r="L170" s="510"/>
    </row>
    <row r="171" spans="1:12" ht="24">
      <c r="A171" s="564"/>
      <c r="B171" s="565"/>
      <c r="C171" s="566" t="s">
        <v>871</v>
      </c>
      <c r="D171" s="566"/>
      <c r="E171" s="567"/>
      <c r="F171" s="568"/>
      <c r="G171" s="569"/>
      <c r="H171" s="161"/>
      <c r="I171" s="156"/>
      <c r="J171" s="161"/>
      <c r="K171" s="159"/>
      <c r="L171" s="510"/>
    </row>
    <row r="172" spans="1:12" ht="24">
      <c r="A172" s="564" t="s">
        <v>872</v>
      </c>
      <c r="B172" s="565" t="s">
        <v>873</v>
      </c>
      <c r="C172" s="566" t="s">
        <v>874</v>
      </c>
      <c r="D172" s="566"/>
      <c r="E172" s="567"/>
      <c r="F172" s="568" t="s">
        <v>185</v>
      </c>
      <c r="G172" s="569"/>
      <c r="H172" s="161"/>
      <c r="I172" s="156"/>
      <c r="J172" s="161"/>
      <c r="K172" s="159"/>
      <c r="L172" s="510"/>
    </row>
    <row r="173" spans="1:12" ht="24">
      <c r="A173" s="564"/>
      <c r="B173" s="565"/>
      <c r="C173" s="566" t="s">
        <v>865</v>
      </c>
      <c r="D173" s="566"/>
      <c r="E173" s="567"/>
      <c r="F173" s="568"/>
      <c r="G173" s="569"/>
      <c r="H173" s="161"/>
      <c r="I173" s="156"/>
      <c r="J173" s="161"/>
      <c r="K173" s="159"/>
      <c r="L173" s="510"/>
    </row>
    <row r="174" spans="1:12" ht="24">
      <c r="A174" s="564" t="s">
        <v>875</v>
      </c>
      <c r="B174" s="565" t="s">
        <v>876</v>
      </c>
      <c r="C174" s="566" t="s">
        <v>874</v>
      </c>
      <c r="D174" s="566"/>
      <c r="E174" s="567"/>
      <c r="F174" s="568" t="s">
        <v>185</v>
      </c>
      <c r="G174" s="569"/>
      <c r="H174" s="161"/>
      <c r="I174" s="156"/>
      <c r="J174" s="161"/>
      <c r="K174" s="159"/>
      <c r="L174" s="510"/>
    </row>
    <row r="175" spans="1:12" ht="24">
      <c r="A175" s="564"/>
      <c r="B175" s="565"/>
      <c r="C175" s="566" t="s">
        <v>865</v>
      </c>
      <c r="D175" s="566"/>
      <c r="E175" s="567"/>
      <c r="F175" s="568"/>
      <c r="G175" s="569"/>
      <c r="H175" s="161"/>
      <c r="I175" s="570"/>
      <c r="J175" s="161"/>
      <c r="K175" s="159"/>
      <c r="L175" s="510"/>
    </row>
    <row r="176" spans="1:12" ht="23.25" customHeight="1">
      <c r="A176" s="564" t="s">
        <v>877</v>
      </c>
      <c r="B176" s="565" t="s">
        <v>305</v>
      </c>
      <c r="C176" s="566" t="s">
        <v>878</v>
      </c>
      <c r="D176" s="566"/>
      <c r="E176" s="567"/>
      <c r="F176" s="568" t="s">
        <v>185</v>
      </c>
      <c r="G176" s="569"/>
      <c r="H176" s="161"/>
      <c r="I176" s="156"/>
      <c r="J176" s="161"/>
      <c r="K176" s="159"/>
      <c r="L176" s="510"/>
    </row>
    <row r="177" spans="1:12" ht="23.25" customHeight="1">
      <c r="A177" s="571"/>
      <c r="B177" s="572"/>
      <c r="C177" s="573" t="s">
        <v>879</v>
      </c>
      <c r="D177" s="573"/>
      <c r="E177" s="574"/>
      <c r="F177" s="575"/>
      <c r="G177" s="576"/>
      <c r="H177" s="533"/>
      <c r="I177" s="532"/>
      <c r="J177" s="533"/>
      <c r="K177" s="534"/>
      <c r="L177" s="577"/>
    </row>
    <row r="178" spans="1:12" ht="24">
      <c r="A178" s="564" t="s">
        <v>880</v>
      </c>
      <c r="B178" s="578" t="s">
        <v>306</v>
      </c>
      <c r="C178" s="579" t="s">
        <v>878</v>
      </c>
      <c r="D178" s="579"/>
      <c r="E178" s="580"/>
      <c r="F178" s="581" t="s">
        <v>185</v>
      </c>
      <c r="G178" s="582"/>
      <c r="H178" s="157"/>
      <c r="I178" s="156"/>
      <c r="J178" s="157"/>
      <c r="K178" s="158"/>
      <c r="L178" s="520"/>
    </row>
    <row r="179" spans="1:12" ht="24">
      <c r="A179" s="564"/>
      <c r="B179" s="578"/>
      <c r="C179" s="579" t="s">
        <v>881</v>
      </c>
      <c r="D179" s="579"/>
      <c r="E179" s="580"/>
      <c r="F179" s="568"/>
      <c r="G179" s="582"/>
      <c r="H179" s="161"/>
      <c r="I179" s="156"/>
      <c r="J179" s="161"/>
      <c r="K179" s="159"/>
      <c r="L179" s="520"/>
    </row>
    <row r="180" spans="1:12" ht="24">
      <c r="A180" s="564" t="s">
        <v>882</v>
      </c>
      <c r="B180" s="565" t="s">
        <v>307</v>
      </c>
      <c r="C180" s="566" t="s">
        <v>883</v>
      </c>
      <c r="D180" s="566"/>
      <c r="E180" s="567"/>
      <c r="F180" s="568" t="s">
        <v>185</v>
      </c>
      <c r="G180" s="569"/>
      <c r="H180" s="161"/>
      <c r="I180" s="156"/>
      <c r="J180" s="161"/>
      <c r="K180" s="159"/>
      <c r="L180" s="510"/>
    </row>
    <row r="181" spans="1:12" ht="24">
      <c r="A181" s="564"/>
      <c r="B181" s="565"/>
      <c r="C181" s="579" t="s">
        <v>884</v>
      </c>
      <c r="D181" s="566"/>
      <c r="E181" s="567"/>
      <c r="F181" s="568"/>
      <c r="G181" s="569"/>
      <c r="H181" s="161"/>
      <c r="I181" s="156"/>
      <c r="J181" s="161"/>
      <c r="K181" s="159"/>
      <c r="L181" s="510"/>
    </row>
    <row r="182" spans="1:12" ht="24">
      <c r="A182" s="564" t="s">
        <v>885</v>
      </c>
      <c r="B182" s="565" t="s">
        <v>308</v>
      </c>
      <c r="C182" s="566" t="s">
        <v>886</v>
      </c>
      <c r="D182" s="566"/>
      <c r="E182" s="567"/>
      <c r="F182" s="568" t="s">
        <v>185</v>
      </c>
      <c r="G182" s="569"/>
      <c r="H182" s="161"/>
      <c r="I182" s="156"/>
      <c r="J182" s="161"/>
      <c r="K182" s="159"/>
      <c r="L182" s="510"/>
    </row>
    <row r="183" spans="1:12" ht="24">
      <c r="A183" s="564"/>
      <c r="B183" s="565"/>
      <c r="C183" s="579" t="s">
        <v>887</v>
      </c>
      <c r="D183" s="566"/>
      <c r="E183" s="567"/>
      <c r="F183" s="568"/>
      <c r="G183" s="569"/>
      <c r="H183" s="161"/>
      <c r="I183" s="156"/>
      <c r="J183" s="161"/>
      <c r="K183" s="159"/>
      <c r="L183" s="510"/>
    </row>
    <row r="184" spans="1:12" ht="24">
      <c r="A184" s="564" t="s">
        <v>888</v>
      </c>
      <c r="B184" s="565" t="s">
        <v>309</v>
      </c>
      <c r="C184" s="566" t="s">
        <v>889</v>
      </c>
      <c r="D184" s="566"/>
      <c r="E184" s="567"/>
      <c r="F184" s="568" t="s">
        <v>185</v>
      </c>
      <c r="G184" s="569"/>
      <c r="H184" s="161"/>
      <c r="I184" s="156"/>
      <c r="J184" s="161"/>
      <c r="K184" s="159"/>
      <c r="L184" s="510"/>
    </row>
    <row r="185" spans="1:12" ht="24">
      <c r="A185" s="564"/>
      <c r="B185" s="565"/>
      <c r="C185" s="579" t="s">
        <v>890</v>
      </c>
      <c r="D185" s="566"/>
      <c r="E185" s="567"/>
      <c r="F185" s="568"/>
      <c r="G185" s="569"/>
      <c r="H185" s="161"/>
      <c r="I185" s="570"/>
      <c r="J185" s="161"/>
      <c r="K185" s="159"/>
      <c r="L185" s="510"/>
    </row>
    <row r="186" spans="1:12" ht="24">
      <c r="A186" s="564" t="s">
        <v>891</v>
      </c>
      <c r="B186" s="565" t="s">
        <v>892</v>
      </c>
      <c r="C186" s="566" t="s">
        <v>893</v>
      </c>
      <c r="D186" s="566"/>
      <c r="E186" s="567"/>
      <c r="F186" s="568" t="s">
        <v>185</v>
      </c>
      <c r="G186" s="569"/>
      <c r="H186" s="161"/>
      <c r="I186" s="156"/>
      <c r="J186" s="161"/>
      <c r="K186" s="159"/>
      <c r="L186" s="510"/>
    </row>
    <row r="187" spans="1:12" ht="24">
      <c r="A187" s="564"/>
      <c r="B187" s="565"/>
      <c r="C187" s="579" t="s">
        <v>894</v>
      </c>
      <c r="D187" s="566"/>
      <c r="E187" s="567"/>
      <c r="F187" s="568"/>
      <c r="G187" s="569"/>
      <c r="H187" s="161"/>
      <c r="I187" s="156"/>
      <c r="J187" s="161"/>
      <c r="K187" s="159"/>
      <c r="L187" s="510"/>
    </row>
    <row r="188" spans="1:12" ht="24">
      <c r="A188" s="564" t="s">
        <v>895</v>
      </c>
      <c r="B188" s="565" t="s">
        <v>896</v>
      </c>
      <c r="C188" s="566" t="s">
        <v>893</v>
      </c>
      <c r="D188" s="566"/>
      <c r="E188" s="567"/>
      <c r="F188" s="568" t="s">
        <v>185</v>
      </c>
      <c r="G188" s="569"/>
      <c r="H188" s="161"/>
      <c r="I188" s="156"/>
      <c r="J188" s="161"/>
      <c r="K188" s="159"/>
      <c r="L188" s="510"/>
    </row>
    <row r="189" spans="1:12" ht="24">
      <c r="A189" s="564"/>
      <c r="B189" s="565"/>
      <c r="C189" s="579" t="s">
        <v>897</v>
      </c>
      <c r="D189" s="566"/>
      <c r="E189" s="567"/>
      <c r="F189" s="568"/>
      <c r="G189" s="569"/>
      <c r="H189" s="161"/>
      <c r="I189" s="583"/>
      <c r="J189" s="161"/>
      <c r="K189" s="159"/>
      <c r="L189" s="510"/>
    </row>
    <row r="190" spans="1:12" ht="24">
      <c r="A190" s="564" t="s">
        <v>898</v>
      </c>
      <c r="B190" s="565" t="s">
        <v>899</v>
      </c>
      <c r="C190" s="566" t="s">
        <v>900</v>
      </c>
      <c r="D190" s="566"/>
      <c r="E190" s="567"/>
      <c r="F190" s="568" t="s">
        <v>185</v>
      </c>
      <c r="G190" s="569"/>
      <c r="H190" s="161"/>
      <c r="I190" s="584"/>
      <c r="J190" s="159"/>
      <c r="K190" s="159"/>
      <c r="L190" s="510"/>
    </row>
    <row r="191" spans="1:12" ht="24">
      <c r="A191" s="564"/>
      <c r="B191" s="565"/>
      <c r="C191" s="579" t="s">
        <v>865</v>
      </c>
      <c r="D191" s="566"/>
      <c r="E191" s="567"/>
      <c r="F191" s="568"/>
      <c r="G191" s="569"/>
      <c r="H191" s="161"/>
      <c r="I191" s="156"/>
      <c r="J191" s="161"/>
      <c r="K191" s="159"/>
      <c r="L191" s="510"/>
    </row>
    <row r="192" spans="1:12" ht="24">
      <c r="A192" s="564" t="s">
        <v>901</v>
      </c>
      <c r="B192" s="565" t="s">
        <v>902</v>
      </c>
      <c r="C192" s="566" t="s">
        <v>903</v>
      </c>
      <c r="D192" s="566"/>
      <c r="E192" s="567"/>
      <c r="F192" s="568" t="s">
        <v>185</v>
      </c>
      <c r="G192" s="569"/>
      <c r="H192" s="161"/>
      <c r="I192" s="156"/>
      <c r="J192" s="161"/>
      <c r="K192" s="159"/>
      <c r="L192" s="510"/>
    </row>
    <row r="193" spans="1:12" ht="24">
      <c r="A193" s="564"/>
      <c r="B193" s="585"/>
      <c r="C193" s="579" t="s">
        <v>865</v>
      </c>
      <c r="D193" s="566"/>
      <c r="E193" s="567"/>
      <c r="F193" s="568"/>
      <c r="G193" s="549"/>
      <c r="H193" s="161"/>
      <c r="I193" s="586"/>
      <c r="J193" s="161"/>
      <c r="K193" s="159"/>
      <c r="L193" s="510"/>
    </row>
    <row r="194" spans="1:12" ht="24">
      <c r="A194" s="587" t="s">
        <v>904</v>
      </c>
      <c r="B194" s="565">
        <v>1</v>
      </c>
      <c r="C194" s="566" t="s">
        <v>905</v>
      </c>
      <c r="D194" s="566"/>
      <c r="E194" s="567"/>
      <c r="F194" s="568" t="s">
        <v>185</v>
      </c>
      <c r="G194" s="549"/>
      <c r="H194" s="161"/>
      <c r="I194" s="156"/>
      <c r="J194" s="161"/>
      <c r="K194" s="159"/>
      <c r="L194" s="510"/>
    </row>
    <row r="195" spans="1:12" ht="24">
      <c r="A195" s="587"/>
      <c r="B195" s="578"/>
      <c r="C195" s="579" t="s">
        <v>906</v>
      </c>
      <c r="D195" s="579"/>
      <c r="E195" s="580"/>
      <c r="F195" s="568"/>
      <c r="G195" s="549"/>
      <c r="H195" s="161"/>
      <c r="I195" s="156"/>
      <c r="J195" s="161"/>
      <c r="K195" s="159"/>
      <c r="L195" s="510"/>
    </row>
    <row r="196" spans="1:12" ht="24">
      <c r="A196" s="587"/>
      <c r="B196" s="578"/>
      <c r="C196" s="579" t="s">
        <v>907</v>
      </c>
      <c r="D196" s="579"/>
      <c r="E196" s="580"/>
      <c r="F196" s="568"/>
      <c r="G196" s="549"/>
      <c r="H196" s="161"/>
      <c r="I196" s="156"/>
      <c r="J196" s="161"/>
      <c r="K196" s="159"/>
      <c r="L196" s="510"/>
    </row>
    <row r="197" spans="1:12" ht="24">
      <c r="A197" s="587"/>
      <c r="B197" s="578"/>
      <c r="C197" s="579"/>
      <c r="D197" s="579"/>
      <c r="E197" s="580"/>
      <c r="F197" s="568"/>
      <c r="G197" s="549"/>
      <c r="H197" s="161"/>
      <c r="I197" s="156"/>
      <c r="J197" s="161"/>
      <c r="K197" s="159"/>
      <c r="L197" s="510"/>
    </row>
    <row r="198" spans="1:12" ht="24">
      <c r="A198" s="571"/>
      <c r="B198" s="572"/>
      <c r="C198" s="573"/>
      <c r="D198" s="573"/>
      <c r="E198" s="574"/>
      <c r="F198" s="575"/>
      <c r="G198" s="588"/>
      <c r="H198" s="533"/>
      <c r="I198" s="532"/>
      <c r="J198" s="533"/>
      <c r="K198" s="534"/>
      <c r="L198" s="577"/>
    </row>
    <row r="199" spans="1:12" ht="24">
      <c r="A199" s="564" t="s">
        <v>908</v>
      </c>
      <c r="B199" s="578" t="s">
        <v>909</v>
      </c>
      <c r="C199" s="579" t="s">
        <v>910</v>
      </c>
      <c r="D199" s="579"/>
      <c r="E199" s="580"/>
      <c r="F199" s="581" t="s">
        <v>185</v>
      </c>
      <c r="G199" s="589"/>
      <c r="H199" s="157"/>
      <c r="I199" s="156"/>
      <c r="J199" s="157"/>
      <c r="K199" s="158"/>
      <c r="L199" s="520"/>
    </row>
    <row r="200" spans="1:12" ht="24">
      <c r="A200" s="587"/>
      <c r="B200" s="578"/>
      <c r="C200" s="566" t="s">
        <v>911</v>
      </c>
      <c r="D200" s="579"/>
      <c r="E200" s="580"/>
      <c r="F200" s="568"/>
      <c r="G200" s="549"/>
      <c r="H200" s="161"/>
      <c r="I200" s="156"/>
      <c r="J200" s="161"/>
      <c r="K200" s="159"/>
      <c r="L200" s="510"/>
    </row>
    <row r="201" spans="1:12" ht="24">
      <c r="A201" s="587"/>
      <c r="B201" s="578"/>
      <c r="C201" s="579" t="s">
        <v>912</v>
      </c>
      <c r="D201" s="579"/>
      <c r="E201" s="580"/>
      <c r="F201" s="568"/>
      <c r="G201" s="549"/>
      <c r="H201" s="161"/>
      <c r="I201" s="156"/>
      <c r="J201" s="161"/>
      <c r="K201" s="159"/>
      <c r="L201" s="510"/>
    </row>
    <row r="202" spans="1:12" ht="24">
      <c r="A202" s="587"/>
      <c r="B202" s="578"/>
      <c r="C202" s="579" t="s">
        <v>913</v>
      </c>
      <c r="D202" s="579"/>
      <c r="E202" s="580"/>
      <c r="F202" s="568"/>
      <c r="G202" s="549"/>
      <c r="H202" s="161"/>
      <c r="I202" s="156"/>
      <c r="J202" s="161"/>
      <c r="K202" s="159"/>
      <c r="L202" s="510"/>
    </row>
    <row r="203" spans="1:12" ht="24">
      <c r="A203" s="587"/>
      <c r="B203" s="578"/>
      <c r="C203" s="579" t="s">
        <v>907</v>
      </c>
      <c r="D203" s="579"/>
      <c r="E203" s="580"/>
      <c r="F203" s="568"/>
      <c r="G203" s="549"/>
      <c r="H203" s="161"/>
      <c r="I203" s="156"/>
      <c r="J203" s="161"/>
      <c r="K203" s="159"/>
      <c r="L203" s="510"/>
    </row>
    <row r="204" spans="1:12" ht="24">
      <c r="A204" s="587" t="s">
        <v>914</v>
      </c>
      <c r="B204" s="578" t="s">
        <v>915</v>
      </c>
      <c r="C204" s="566" t="s">
        <v>910</v>
      </c>
      <c r="D204" s="579"/>
      <c r="E204" s="580"/>
      <c r="F204" s="568" t="s">
        <v>185</v>
      </c>
      <c r="G204" s="549"/>
      <c r="H204" s="161"/>
      <c r="I204" s="156"/>
      <c r="J204" s="161"/>
      <c r="K204" s="159"/>
      <c r="L204" s="510"/>
    </row>
    <row r="205" spans="1:12" ht="24">
      <c r="A205" s="587"/>
      <c r="B205" s="578"/>
      <c r="C205" s="566" t="s">
        <v>911</v>
      </c>
      <c r="D205" s="579"/>
      <c r="E205" s="580"/>
      <c r="F205" s="568"/>
      <c r="G205" s="549"/>
      <c r="H205" s="161"/>
      <c r="I205" s="156"/>
      <c r="J205" s="161"/>
      <c r="K205" s="159"/>
      <c r="L205" s="510"/>
    </row>
    <row r="206" spans="1:12" ht="24">
      <c r="A206" s="587"/>
      <c r="B206" s="578"/>
      <c r="C206" s="579" t="s">
        <v>912</v>
      </c>
      <c r="D206" s="579"/>
      <c r="E206" s="580"/>
      <c r="F206" s="568"/>
      <c r="G206" s="549"/>
      <c r="H206" s="161"/>
      <c r="I206" s="156"/>
      <c r="J206" s="161"/>
      <c r="K206" s="159"/>
      <c r="L206" s="510"/>
    </row>
    <row r="207" spans="1:12" ht="24">
      <c r="A207" s="587"/>
      <c r="B207" s="578"/>
      <c r="C207" s="579" t="s">
        <v>913</v>
      </c>
      <c r="D207" s="579"/>
      <c r="E207" s="580"/>
      <c r="F207" s="568"/>
      <c r="G207" s="549"/>
      <c r="H207" s="161"/>
      <c r="I207" s="156"/>
      <c r="J207" s="161"/>
      <c r="K207" s="159"/>
      <c r="L207" s="510"/>
    </row>
    <row r="208" spans="1:12" ht="24">
      <c r="A208" s="587"/>
      <c r="B208" s="578"/>
      <c r="C208" s="579" t="s">
        <v>907</v>
      </c>
      <c r="D208" s="579"/>
      <c r="E208" s="580"/>
      <c r="F208" s="568"/>
      <c r="G208" s="549"/>
      <c r="H208" s="161"/>
      <c r="I208" s="156"/>
      <c r="J208" s="161"/>
      <c r="K208" s="159"/>
      <c r="L208" s="510"/>
    </row>
    <row r="209" spans="1:12" ht="24">
      <c r="A209" s="587" t="s">
        <v>916</v>
      </c>
      <c r="B209" s="578" t="s">
        <v>917</v>
      </c>
      <c r="C209" s="566" t="s">
        <v>918</v>
      </c>
      <c r="D209" s="579"/>
      <c r="E209" s="580"/>
      <c r="F209" s="568" t="s">
        <v>185</v>
      </c>
      <c r="G209" s="549"/>
      <c r="H209" s="161"/>
      <c r="I209" s="156"/>
      <c r="J209" s="161"/>
      <c r="K209" s="159"/>
      <c r="L209" s="510"/>
    </row>
    <row r="210" spans="1:12" ht="24">
      <c r="A210" s="587"/>
      <c r="B210" s="578"/>
      <c r="C210" s="579" t="s">
        <v>919</v>
      </c>
      <c r="D210" s="579"/>
      <c r="E210" s="580"/>
      <c r="F210" s="568"/>
      <c r="G210" s="549"/>
      <c r="H210" s="161"/>
      <c r="I210" s="156"/>
      <c r="J210" s="161"/>
      <c r="K210" s="159"/>
      <c r="L210" s="510"/>
    </row>
    <row r="211" spans="1:12" ht="24">
      <c r="A211" s="587" t="s">
        <v>920</v>
      </c>
      <c r="B211" s="578">
        <v>2</v>
      </c>
      <c r="C211" s="566" t="s">
        <v>921</v>
      </c>
      <c r="D211" s="579"/>
      <c r="E211" s="580"/>
      <c r="F211" s="568" t="s">
        <v>185</v>
      </c>
      <c r="G211" s="549"/>
      <c r="H211" s="161"/>
      <c r="I211" s="156"/>
      <c r="J211" s="161"/>
      <c r="K211" s="159"/>
      <c r="L211" s="510"/>
    </row>
    <row r="212" spans="1:12" ht="24">
      <c r="A212" s="587"/>
      <c r="B212" s="578"/>
      <c r="C212" s="579" t="s">
        <v>907</v>
      </c>
      <c r="D212" s="579"/>
      <c r="E212" s="580"/>
      <c r="F212" s="568"/>
      <c r="G212" s="549"/>
      <c r="H212" s="161"/>
      <c r="I212" s="156"/>
      <c r="J212" s="161"/>
      <c r="K212" s="159"/>
      <c r="L212" s="510"/>
    </row>
    <row r="213" spans="1:12" ht="24">
      <c r="A213" s="587" t="s">
        <v>922</v>
      </c>
      <c r="B213" s="578">
        <v>3</v>
      </c>
      <c r="C213" s="579" t="s">
        <v>923</v>
      </c>
      <c r="D213" s="579"/>
      <c r="E213" s="580"/>
      <c r="F213" s="568" t="s">
        <v>185</v>
      </c>
      <c r="G213" s="549"/>
      <c r="H213" s="161"/>
      <c r="I213" s="156"/>
      <c r="J213" s="161"/>
      <c r="K213" s="159"/>
      <c r="L213" s="510"/>
    </row>
    <row r="214" spans="1:12" ht="24">
      <c r="A214" s="587"/>
      <c r="B214" s="578"/>
      <c r="C214" s="579" t="s">
        <v>924</v>
      </c>
      <c r="D214" s="579"/>
      <c r="E214" s="580"/>
      <c r="F214" s="568"/>
      <c r="G214" s="549"/>
      <c r="H214" s="161"/>
      <c r="I214" s="156"/>
      <c r="J214" s="161"/>
      <c r="K214" s="159"/>
      <c r="L214" s="510"/>
    </row>
    <row r="215" spans="1:12" ht="24">
      <c r="A215" s="587" t="s">
        <v>925</v>
      </c>
      <c r="B215" s="578">
        <v>4</v>
      </c>
      <c r="C215" s="579" t="s">
        <v>923</v>
      </c>
      <c r="D215" s="579"/>
      <c r="E215" s="580"/>
      <c r="F215" s="568" t="s">
        <v>185</v>
      </c>
      <c r="G215" s="549"/>
      <c r="H215" s="161"/>
      <c r="I215" s="156"/>
      <c r="J215" s="161"/>
      <c r="K215" s="159"/>
      <c r="L215" s="510"/>
    </row>
    <row r="216" spans="1:12" ht="24">
      <c r="A216" s="587"/>
      <c r="B216" s="578"/>
      <c r="C216" s="579" t="s">
        <v>926</v>
      </c>
      <c r="D216" s="579"/>
      <c r="E216" s="580"/>
      <c r="F216" s="568"/>
      <c r="G216" s="549"/>
      <c r="H216" s="161"/>
      <c r="I216" s="156"/>
      <c r="J216" s="161"/>
      <c r="K216" s="159"/>
      <c r="L216" s="510"/>
    </row>
    <row r="217" spans="1:12" ht="24">
      <c r="A217" s="587" t="s">
        <v>927</v>
      </c>
      <c r="B217" s="578" t="s">
        <v>928</v>
      </c>
      <c r="C217" s="579" t="s">
        <v>929</v>
      </c>
      <c r="D217" s="579"/>
      <c r="E217" s="580"/>
      <c r="F217" s="568" t="s">
        <v>185</v>
      </c>
      <c r="G217" s="549"/>
      <c r="H217" s="161"/>
      <c r="I217" s="156"/>
      <c r="J217" s="161"/>
      <c r="K217" s="159"/>
      <c r="L217" s="510"/>
    </row>
    <row r="218" spans="1:12" ht="24">
      <c r="A218" s="587"/>
      <c r="B218" s="578"/>
      <c r="C218" s="579" t="s">
        <v>930</v>
      </c>
      <c r="D218" s="579"/>
      <c r="E218" s="580"/>
      <c r="F218" s="568"/>
      <c r="G218" s="549"/>
      <c r="H218" s="161"/>
      <c r="I218" s="156"/>
      <c r="J218" s="161"/>
      <c r="K218" s="159"/>
      <c r="L218" s="510"/>
    </row>
    <row r="219" spans="1:12" ht="24">
      <c r="A219" s="571"/>
      <c r="B219" s="572"/>
      <c r="C219" s="573"/>
      <c r="D219" s="573"/>
      <c r="E219" s="574"/>
      <c r="F219" s="575"/>
      <c r="G219" s="588"/>
      <c r="H219" s="533"/>
      <c r="I219" s="532"/>
      <c r="J219" s="533"/>
      <c r="K219" s="534"/>
      <c r="L219" s="577"/>
    </row>
    <row r="220" spans="1:12" ht="24">
      <c r="A220" s="564" t="s">
        <v>931</v>
      </c>
      <c r="B220" s="578">
        <v>5</v>
      </c>
      <c r="C220" s="579" t="s">
        <v>932</v>
      </c>
      <c r="D220" s="579"/>
      <c r="E220" s="580"/>
      <c r="F220" s="581" t="s">
        <v>185</v>
      </c>
      <c r="G220" s="589"/>
      <c r="H220" s="157"/>
      <c r="I220" s="156"/>
      <c r="J220" s="157"/>
      <c r="K220" s="158"/>
      <c r="L220" s="520"/>
    </row>
    <row r="221" spans="1:12" ht="24">
      <c r="A221" s="587"/>
      <c r="B221" s="578"/>
      <c r="C221" s="579" t="s">
        <v>933</v>
      </c>
      <c r="D221" s="579"/>
      <c r="E221" s="580"/>
      <c r="F221" s="568"/>
      <c r="G221" s="549"/>
      <c r="H221" s="161"/>
      <c r="I221" s="156"/>
      <c r="J221" s="161"/>
      <c r="K221" s="159"/>
      <c r="L221" s="510"/>
    </row>
    <row r="222" spans="1:12" ht="24">
      <c r="A222" s="564" t="s">
        <v>934</v>
      </c>
      <c r="B222" s="578">
        <v>6</v>
      </c>
      <c r="C222" s="579" t="s">
        <v>932</v>
      </c>
      <c r="D222" s="579"/>
      <c r="E222" s="580"/>
      <c r="F222" s="581" t="s">
        <v>185</v>
      </c>
      <c r="G222" s="589"/>
      <c r="H222" s="157"/>
      <c r="I222" s="156"/>
      <c r="J222" s="157"/>
      <c r="K222" s="158"/>
      <c r="L222" s="520"/>
    </row>
    <row r="223" spans="1:12" ht="24">
      <c r="A223" s="587"/>
      <c r="B223" s="578"/>
      <c r="C223" s="579" t="s">
        <v>935</v>
      </c>
      <c r="D223" s="579"/>
      <c r="E223" s="580"/>
      <c r="F223" s="568"/>
      <c r="G223" s="549"/>
      <c r="H223" s="161"/>
      <c r="I223" s="156"/>
      <c r="J223" s="161"/>
      <c r="K223" s="159"/>
      <c r="L223" s="510"/>
    </row>
    <row r="224" spans="1:12" ht="24">
      <c r="A224" s="587" t="s">
        <v>936</v>
      </c>
      <c r="B224" s="578">
        <v>7</v>
      </c>
      <c r="C224" s="579" t="s">
        <v>937</v>
      </c>
      <c r="D224" s="579"/>
      <c r="E224" s="580"/>
      <c r="F224" s="568" t="s">
        <v>185</v>
      </c>
      <c r="G224" s="549"/>
      <c r="H224" s="161"/>
      <c r="I224" s="156"/>
      <c r="J224" s="161"/>
      <c r="K224" s="159"/>
      <c r="L224" s="510"/>
    </row>
    <row r="225" spans="1:12" ht="24">
      <c r="A225" s="587"/>
      <c r="B225" s="578"/>
      <c r="C225" s="579" t="s">
        <v>938</v>
      </c>
      <c r="D225" s="579"/>
      <c r="E225" s="580"/>
      <c r="F225" s="568"/>
      <c r="G225" s="549"/>
      <c r="H225" s="161"/>
      <c r="I225" s="156"/>
      <c r="J225" s="161"/>
      <c r="K225" s="159"/>
      <c r="L225" s="510"/>
    </row>
    <row r="226" spans="1:12" ht="24">
      <c r="A226" s="587" t="s">
        <v>939</v>
      </c>
      <c r="B226" s="578">
        <v>8</v>
      </c>
      <c r="C226" s="579" t="s">
        <v>937</v>
      </c>
      <c r="D226" s="579"/>
      <c r="E226" s="580"/>
      <c r="F226" s="568" t="s">
        <v>185</v>
      </c>
      <c r="G226" s="549"/>
      <c r="H226" s="161"/>
      <c r="I226" s="156"/>
      <c r="J226" s="161"/>
      <c r="K226" s="159"/>
      <c r="L226" s="510"/>
    </row>
    <row r="227" spans="1:12" ht="24">
      <c r="A227" s="587"/>
      <c r="B227" s="578"/>
      <c r="C227" s="579" t="s">
        <v>940</v>
      </c>
      <c r="D227" s="579"/>
      <c r="E227" s="580"/>
      <c r="F227" s="568"/>
      <c r="G227" s="549"/>
      <c r="H227" s="161"/>
      <c r="I227" s="156"/>
      <c r="J227" s="161"/>
      <c r="K227" s="159"/>
      <c r="L227" s="510"/>
    </row>
    <row r="228" spans="1:12" ht="24">
      <c r="A228" s="587" t="s">
        <v>941</v>
      </c>
      <c r="B228" s="578">
        <v>9</v>
      </c>
      <c r="C228" s="579" t="s">
        <v>937</v>
      </c>
      <c r="D228" s="579"/>
      <c r="E228" s="580"/>
      <c r="F228" s="568" t="s">
        <v>185</v>
      </c>
      <c r="G228" s="549"/>
      <c r="H228" s="161"/>
      <c r="I228" s="156"/>
      <c r="J228" s="161"/>
      <c r="K228" s="159"/>
      <c r="L228" s="510"/>
    </row>
    <row r="229" spans="1:12" ht="24">
      <c r="A229" s="587"/>
      <c r="B229" s="578"/>
      <c r="C229" s="579" t="s">
        <v>942</v>
      </c>
      <c r="D229" s="579"/>
      <c r="E229" s="580"/>
      <c r="F229" s="568"/>
      <c r="G229" s="549"/>
      <c r="H229" s="161"/>
      <c r="I229" s="156"/>
      <c r="J229" s="161"/>
      <c r="K229" s="159"/>
      <c r="L229" s="510"/>
    </row>
    <row r="230" spans="1:12" ht="24">
      <c r="A230" s="587" t="s">
        <v>943</v>
      </c>
      <c r="B230" s="578">
        <v>10</v>
      </c>
      <c r="C230" s="579" t="s">
        <v>937</v>
      </c>
      <c r="D230" s="579"/>
      <c r="E230" s="580"/>
      <c r="F230" s="568" t="s">
        <v>185</v>
      </c>
      <c r="G230" s="549"/>
      <c r="H230" s="161"/>
      <c r="I230" s="156"/>
      <c r="J230" s="161"/>
      <c r="K230" s="159"/>
      <c r="L230" s="510"/>
    </row>
    <row r="231" spans="1:12" ht="24">
      <c r="A231" s="587"/>
      <c r="B231" s="578"/>
      <c r="C231" s="579" t="s">
        <v>944</v>
      </c>
      <c r="D231" s="579"/>
      <c r="E231" s="580"/>
      <c r="F231" s="568"/>
      <c r="G231" s="549"/>
      <c r="H231" s="161"/>
      <c r="I231" s="156"/>
      <c r="J231" s="161"/>
      <c r="K231" s="159"/>
      <c r="L231" s="510"/>
    </row>
    <row r="232" spans="1:12" ht="24">
      <c r="A232" s="587" t="s">
        <v>945</v>
      </c>
      <c r="B232" s="578">
        <v>11</v>
      </c>
      <c r="C232" s="579" t="s">
        <v>937</v>
      </c>
      <c r="D232" s="579"/>
      <c r="E232" s="580"/>
      <c r="F232" s="568" t="s">
        <v>185</v>
      </c>
      <c r="G232" s="549"/>
      <c r="H232" s="161"/>
      <c r="I232" s="156"/>
      <c r="J232" s="161"/>
      <c r="K232" s="159"/>
      <c r="L232" s="510"/>
    </row>
    <row r="233" spans="1:12" ht="24">
      <c r="A233" s="587"/>
      <c r="B233" s="578"/>
      <c r="C233" s="579" t="s">
        <v>946</v>
      </c>
      <c r="D233" s="579"/>
      <c r="E233" s="580"/>
      <c r="F233" s="568"/>
      <c r="G233" s="549"/>
      <c r="H233" s="161"/>
      <c r="I233" s="156"/>
      <c r="J233" s="161"/>
      <c r="K233" s="159"/>
      <c r="L233" s="510"/>
    </row>
    <row r="234" spans="1:12" ht="24">
      <c r="A234" s="587" t="s">
        <v>947</v>
      </c>
      <c r="B234" s="578">
        <v>12</v>
      </c>
      <c r="C234" s="579" t="s">
        <v>948</v>
      </c>
      <c r="D234" s="579"/>
      <c r="E234" s="580"/>
      <c r="F234" s="568" t="s">
        <v>185</v>
      </c>
      <c r="G234" s="549"/>
      <c r="H234" s="161"/>
      <c r="I234" s="156"/>
      <c r="J234" s="161"/>
      <c r="K234" s="159"/>
      <c r="L234" s="510" t="s">
        <v>949</v>
      </c>
    </row>
    <row r="235" spans="1:12" ht="24">
      <c r="A235" s="587" t="s">
        <v>950</v>
      </c>
      <c r="B235" s="578">
        <v>13</v>
      </c>
      <c r="C235" s="579" t="s">
        <v>951</v>
      </c>
      <c r="D235" s="579"/>
      <c r="E235" s="580"/>
      <c r="F235" s="568" t="s">
        <v>185</v>
      </c>
      <c r="G235" s="549"/>
      <c r="H235" s="161"/>
      <c r="I235" s="156"/>
      <c r="J235" s="161"/>
      <c r="K235" s="159"/>
      <c r="L235" s="510" t="s">
        <v>949</v>
      </c>
    </row>
    <row r="236" spans="1:12" ht="24">
      <c r="A236" s="587"/>
      <c r="B236" s="590"/>
      <c r="C236" s="566"/>
      <c r="D236" s="566"/>
      <c r="E236" s="567"/>
      <c r="F236" s="568"/>
      <c r="G236" s="549"/>
      <c r="H236" s="161"/>
      <c r="I236" s="156"/>
      <c r="J236" s="161"/>
      <c r="K236" s="159"/>
      <c r="L236" s="591"/>
    </row>
    <row r="237" spans="1:12" ht="24">
      <c r="A237" s="587"/>
      <c r="B237" s="590"/>
      <c r="C237" s="566"/>
      <c r="D237" s="566"/>
      <c r="E237" s="567"/>
      <c r="F237" s="568"/>
      <c r="G237" s="549"/>
      <c r="H237" s="161"/>
      <c r="I237" s="156"/>
      <c r="J237" s="161"/>
      <c r="K237" s="159"/>
      <c r="L237" s="591"/>
    </row>
    <row r="238" spans="1:12" ht="24">
      <c r="A238" s="592"/>
      <c r="B238" s="593"/>
      <c r="C238" s="566"/>
      <c r="D238" s="594"/>
      <c r="E238" s="595"/>
      <c r="F238" s="568"/>
      <c r="G238" s="549"/>
      <c r="H238" s="161"/>
      <c r="I238" s="586"/>
      <c r="J238" s="161"/>
      <c r="K238" s="159"/>
      <c r="L238" s="591"/>
    </row>
    <row r="239" spans="1:12" ht="24.75" thickBot="1">
      <c r="A239" s="596"/>
      <c r="B239" s="597"/>
      <c r="C239" s="598"/>
      <c r="D239" s="599"/>
      <c r="E239" s="600"/>
      <c r="F239" s="601"/>
      <c r="G239" s="602"/>
      <c r="H239" s="603"/>
      <c r="I239" s="604"/>
      <c r="J239" s="603"/>
      <c r="K239" s="605"/>
      <c r="L239" s="606"/>
    </row>
    <row r="240" spans="1:12" ht="24.75" thickTop="1">
      <c r="A240" s="607"/>
      <c r="B240" s="2121" t="s">
        <v>952</v>
      </c>
      <c r="C240" s="2122"/>
      <c r="D240" s="2123"/>
      <c r="E240" s="608"/>
      <c r="F240" s="609"/>
      <c r="G240" s="610"/>
      <c r="H240" s="518"/>
      <c r="I240" s="611"/>
      <c r="J240" s="518"/>
      <c r="K240" s="506"/>
      <c r="L240" s="74"/>
    </row>
    <row r="241" spans="1:12" ht="24">
      <c r="A241" s="612">
        <v>2.7</v>
      </c>
      <c r="B241" s="613" t="s">
        <v>953</v>
      </c>
      <c r="C241" s="614"/>
      <c r="D241" s="615"/>
      <c r="E241" s="561"/>
      <c r="F241" s="616"/>
      <c r="G241" s="617"/>
      <c r="H241" s="618"/>
      <c r="I241" s="619"/>
      <c r="J241" s="618"/>
      <c r="K241" s="620"/>
      <c r="L241" s="510"/>
    </row>
    <row r="242" spans="1:12" ht="24">
      <c r="A242" s="621" t="s">
        <v>954</v>
      </c>
      <c r="B242" s="622" t="s">
        <v>955</v>
      </c>
      <c r="C242" s="615"/>
      <c r="D242" s="615"/>
      <c r="E242" s="567"/>
      <c r="F242" s="616" t="s">
        <v>956</v>
      </c>
      <c r="G242" s="156"/>
      <c r="H242" s="157"/>
      <c r="I242" s="156"/>
      <c r="J242" s="157"/>
      <c r="K242" s="158"/>
      <c r="L242" s="510"/>
    </row>
    <row r="243" spans="1:12" ht="24">
      <c r="A243" s="623"/>
      <c r="B243" s="624" t="s">
        <v>134</v>
      </c>
      <c r="C243" s="625" t="s">
        <v>957</v>
      </c>
      <c r="D243" s="626"/>
      <c r="E243" s="567"/>
      <c r="F243" s="568" t="s">
        <v>185</v>
      </c>
      <c r="G243" s="156"/>
      <c r="H243" s="161"/>
      <c r="I243" s="156"/>
      <c r="J243" s="161"/>
      <c r="K243" s="159"/>
      <c r="L243" s="510"/>
    </row>
    <row r="244" spans="1:12" ht="24">
      <c r="A244" s="627"/>
      <c r="B244" s="624" t="s">
        <v>134</v>
      </c>
      <c r="C244" s="625" t="s">
        <v>958</v>
      </c>
      <c r="D244" s="626"/>
      <c r="E244" s="567"/>
      <c r="F244" s="568" t="s">
        <v>185</v>
      </c>
      <c r="G244" s="549"/>
      <c r="H244" s="161"/>
      <c r="I244" s="156"/>
      <c r="J244" s="161"/>
      <c r="K244" s="159"/>
      <c r="L244" s="510"/>
    </row>
    <row r="245" spans="1:12" ht="24">
      <c r="A245" s="627"/>
      <c r="B245" s="624" t="s">
        <v>134</v>
      </c>
      <c r="C245" s="625" t="s">
        <v>959</v>
      </c>
      <c r="D245" s="626"/>
      <c r="E245" s="567"/>
      <c r="F245" s="568" t="s">
        <v>185</v>
      </c>
      <c r="G245" s="549"/>
      <c r="H245" s="161"/>
      <c r="I245" s="156"/>
      <c r="J245" s="161"/>
      <c r="K245" s="159"/>
      <c r="L245" s="510"/>
    </row>
    <row r="246" spans="1:12" ht="24">
      <c r="A246" s="627"/>
      <c r="B246" s="624" t="s">
        <v>134</v>
      </c>
      <c r="C246" s="625" t="s">
        <v>960</v>
      </c>
      <c r="D246" s="626"/>
      <c r="E246" s="567"/>
      <c r="F246" s="568" t="s">
        <v>185</v>
      </c>
      <c r="G246" s="549"/>
      <c r="H246" s="161"/>
      <c r="I246" s="156"/>
      <c r="J246" s="161"/>
      <c r="K246" s="159"/>
      <c r="L246" s="510"/>
    </row>
    <row r="247" spans="1:12" ht="24">
      <c r="A247" s="628"/>
      <c r="B247" s="624" t="s">
        <v>134</v>
      </c>
      <c r="C247" s="625" t="s">
        <v>961</v>
      </c>
      <c r="D247" s="626"/>
      <c r="E247" s="567"/>
      <c r="F247" s="568" t="s">
        <v>185</v>
      </c>
      <c r="G247" s="629"/>
      <c r="H247" s="161"/>
      <c r="I247" s="156"/>
      <c r="J247" s="161"/>
      <c r="K247" s="159"/>
      <c r="L247" s="510"/>
    </row>
    <row r="248" spans="1:12" ht="24">
      <c r="A248" s="628"/>
      <c r="B248" s="624" t="s">
        <v>134</v>
      </c>
      <c r="C248" s="625" t="s">
        <v>962</v>
      </c>
      <c r="D248" s="626"/>
      <c r="E248" s="567"/>
      <c r="F248" s="568" t="s">
        <v>185</v>
      </c>
      <c r="G248" s="549"/>
      <c r="H248" s="161"/>
      <c r="I248" s="156"/>
      <c r="J248" s="161"/>
      <c r="K248" s="159"/>
      <c r="L248" s="510"/>
    </row>
    <row r="249" spans="1:12" ht="24">
      <c r="A249" s="628"/>
      <c r="B249" s="624" t="s">
        <v>134</v>
      </c>
      <c r="C249" s="625" t="s">
        <v>963</v>
      </c>
      <c r="D249" s="626"/>
      <c r="E249" s="567"/>
      <c r="F249" s="568" t="s">
        <v>185</v>
      </c>
      <c r="G249" s="629"/>
      <c r="H249" s="161"/>
      <c r="I249" s="156"/>
      <c r="J249" s="161"/>
      <c r="K249" s="159"/>
      <c r="L249" s="510"/>
    </row>
    <row r="250" spans="1:12" ht="24">
      <c r="A250" s="628"/>
      <c r="B250" s="624" t="s">
        <v>134</v>
      </c>
      <c r="C250" s="625" t="s">
        <v>964</v>
      </c>
      <c r="D250" s="626"/>
      <c r="E250" s="567"/>
      <c r="F250" s="568" t="s">
        <v>185</v>
      </c>
      <c r="G250" s="629"/>
      <c r="H250" s="161"/>
      <c r="I250" s="156"/>
      <c r="J250" s="161"/>
      <c r="K250" s="159"/>
      <c r="L250" s="510"/>
    </row>
    <row r="251" spans="1:12" ht="24">
      <c r="A251" s="630"/>
      <c r="B251" s="624" t="s">
        <v>134</v>
      </c>
      <c r="C251" s="625" t="s">
        <v>965</v>
      </c>
      <c r="D251" s="626"/>
      <c r="E251" s="567"/>
      <c r="F251" s="568" t="s">
        <v>185</v>
      </c>
      <c r="G251" s="629"/>
      <c r="H251" s="161"/>
      <c r="I251" s="156"/>
      <c r="J251" s="161"/>
      <c r="K251" s="159"/>
      <c r="L251" s="510"/>
    </row>
    <row r="252" spans="1:12" ht="24">
      <c r="A252" s="630"/>
      <c r="B252" s="624" t="s">
        <v>134</v>
      </c>
      <c r="C252" s="625" t="s">
        <v>966</v>
      </c>
      <c r="D252" s="626"/>
      <c r="E252" s="567"/>
      <c r="F252" s="568" t="s">
        <v>185</v>
      </c>
      <c r="G252" s="549"/>
      <c r="H252" s="161"/>
      <c r="I252" s="156"/>
      <c r="J252" s="161"/>
      <c r="K252" s="159"/>
      <c r="L252" s="510"/>
    </row>
    <row r="253" spans="1:12" ht="24">
      <c r="A253" s="630"/>
      <c r="B253" s="624" t="s">
        <v>134</v>
      </c>
      <c r="C253" s="625" t="s">
        <v>967</v>
      </c>
      <c r="D253" s="626"/>
      <c r="E253" s="580"/>
      <c r="F253" s="568" t="s">
        <v>185</v>
      </c>
      <c r="G253" s="631"/>
      <c r="H253" s="161"/>
      <c r="I253" s="156"/>
      <c r="J253" s="161"/>
      <c r="K253" s="159"/>
      <c r="L253" s="510"/>
    </row>
    <row r="254" spans="1:12" ht="24">
      <c r="A254" s="628"/>
      <c r="B254" s="624" t="s">
        <v>134</v>
      </c>
      <c r="C254" s="625" t="s">
        <v>968</v>
      </c>
      <c r="D254" s="626"/>
      <c r="E254" s="567"/>
      <c r="F254" s="568" t="s">
        <v>185</v>
      </c>
      <c r="G254" s="629"/>
      <c r="H254" s="161"/>
      <c r="I254" s="156"/>
      <c r="J254" s="161"/>
      <c r="K254" s="159"/>
      <c r="L254" s="510"/>
    </row>
    <row r="255" spans="1:12" ht="24">
      <c r="A255" s="628"/>
      <c r="B255" s="624" t="s">
        <v>134</v>
      </c>
      <c r="C255" s="625" t="s">
        <v>969</v>
      </c>
      <c r="D255" s="626"/>
      <c r="E255" s="567"/>
      <c r="F255" s="568" t="s">
        <v>185</v>
      </c>
      <c r="G255" s="549"/>
      <c r="H255" s="161"/>
      <c r="I255" s="156"/>
      <c r="J255" s="161"/>
      <c r="K255" s="159"/>
      <c r="L255" s="510"/>
    </row>
    <row r="256" spans="1:12" ht="24">
      <c r="A256" s="632"/>
      <c r="B256" s="624" t="s">
        <v>134</v>
      </c>
      <c r="C256" s="625" t="s">
        <v>970</v>
      </c>
      <c r="D256" s="626"/>
      <c r="E256" s="567"/>
      <c r="F256" s="568" t="s">
        <v>185</v>
      </c>
      <c r="G256" s="549"/>
      <c r="H256" s="161"/>
      <c r="I256" s="156"/>
      <c r="J256" s="161"/>
      <c r="K256" s="159"/>
      <c r="L256" s="510"/>
    </row>
    <row r="257" spans="1:12" ht="24">
      <c r="A257" s="633"/>
      <c r="B257" s="624" t="s">
        <v>134</v>
      </c>
      <c r="C257" s="625" t="s">
        <v>971</v>
      </c>
      <c r="D257" s="626"/>
      <c r="E257" s="567"/>
      <c r="F257" s="568" t="s">
        <v>185</v>
      </c>
      <c r="G257" s="549"/>
      <c r="H257" s="161"/>
      <c r="I257" s="156"/>
      <c r="J257" s="161"/>
      <c r="K257" s="159"/>
      <c r="L257" s="510"/>
    </row>
    <row r="258" spans="1:12" ht="24">
      <c r="A258" s="633"/>
      <c r="B258" s="624" t="s">
        <v>134</v>
      </c>
      <c r="C258" s="625" t="s">
        <v>972</v>
      </c>
      <c r="D258" s="626"/>
      <c r="E258" s="567"/>
      <c r="F258" s="568" t="s">
        <v>185</v>
      </c>
      <c r="G258" s="549"/>
      <c r="H258" s="161"/>
      <c r="I258" s="156"/>
      <c r="J258" s="161"/>
      <c r="K258" s="159"/>
      <c r="L258" s="510"/>
    </row>
    <row r="259" spans="1:12" ht="24">
      <c r="A259" s="633"/>
      <c r="B259" s="624" t="s">
        <v>134</v>
      </c>
      <c r="C259" s="625" t="s">
        <v>973</v>
      </c>
      <c r="D259" s="626"/>
      <c r="E259" s="567"/>
      <c r="F259" s="568" t="s">
        <v>185</v>
      </c>
      <c r="G259" s="549"/>
      <c r="H259" s="161"/>
      <c r="I259" s="156"/>
      <c r="J259" s="161"/>
      <c r="K259" s="159"/>
      <c r="L259" s="510"/>
    </row>
    <row r="260" spans="1:12" ht="24">
      <c r="A260" s="633"/>
      <c r="B260" s="624" t="s">
        <v>134</v>
      </c>
      <c r="C260" s="625" t="s">
        <v>974</v>
      </c>
      <c r="D260" s="626"/>
      <c r="E260" s="567"/>
      <c r="F260" s="568" t="s">
        <v>185</v>
      </c>
      <c r="G260" s="549"/>
      <c r="H260" s="161"/>
      <c r="I260" s="156"/>
      <c r="J260" s="161"/>
      <c r="K260" s="159"/>
      <c r="L260" s="510"/>
    </row>
    <row r="261" spans="1:12" ht="24">
      <c r="A261" s="634"/>
      <c r="B261" s="635" t="s">
        <v>134</v>
      </c>
      <c r="C261" s="636" t="s">
        <v>975</v>
      </c>
      <c r="D261" s="637"/>
      <c r="E261" s="574"/>
      <c r="F261" s="575" t="s">
        <v>185</v>
      </c>
      <c r="G261" s="588"/>
      <c r="H261" s="533"/>
      <c r="I261" s="532"/>
      <c r="J261" s="533"/>
      <c r="K261" s="534"/>
      <c r="L261" s="577"/>
    </row>
    <row r="262" spans="1:12" ht="24">
      <c r="A262" s="638"/>
      <c r="B262" s="639" t="s">
        <v>134</v>
      </c>
      <c r="C262" s="640" t="s">
        <v>976</v>
      </c>
      <c r="D262" s="641"/>
      <c r="E262" s="580"/>
      <c r="F262" s="581" t="s">
        <v>185</v>
      </c>
      <c r="G262" s="589"/>
      <c r="H262" s="157"/>
      <c r="I262" s="156"/>
      <c r="J262" s="157"/>
      <c r="K262" s="158"/>
      <c r="L262" s="520"/>
    </row>
    <row r="263" spans="1:12" ht="24">
      <c r="A263" s="632"/>
      <c r="B263" s="624" t="s">
        <v>134</v>
      </c>
      <c r="C263" s="625" t="s">
        <v>977</v>
      </c>
      <c r="D263" s="626"/>
      <c r="E263" s="567"/>
      <c r="F263" s="568" t="s">
        <v>185</v>
      </c>
      <c r="G263" s="549"/>
      <c r="H263" s="161"/>
      <c r="I263" s="156"/>
      <c r="J263" s="161"/>
      <c r="K263" s="159"/>
      <c r="L263" s="510"/>
    </row>
    <row r="264" spans="1:12" ht="24">
      <c r="A264" s="642"/>
      <c r="B264" s="624" t="s">
        <v>134</v>
      </c>
      <c r="C264" s="625" t="s">
        <v>978</v>
      </c>
      <c r="D264" s="626"/>
      <c r="E264" s="580"/>
      <c r="F264" s="568" t="s">
        <v>185</v>
      </c>
      <c r="G264" s="589"/>
      <c r="H264" s="161"/>
      <c r="I264" s="156"/>
      <c r="J264" s="161"/>
      <c r="K264" s="159"/>
      <c r="L264" s="520"/>
    </row>
    <row r="265" spans="1:12" s="369" customFormat="1" ht="24">
      <c r="A265" s="642"/>
      <c r="B265" s="624" t="s">
        <v>134</v>
      </c>
      <c r="C265" s="625" t="s">
        <v>979</v>
      </c>
      <c r="D265" s="626"/>
      <c r="E265" s="580"/>
      <c r="F265" s="568" t="s">
        <v>185</v>
      </c>
      <c r="G265" s="589"/>
      <c r="H265" s="161"/>
      <c r="I265" s="156"/>
      <c r="J265" s="161"/>
      <c r="K265" s="159"/>
      <c r="L265" s="520"/>
    </row>
    <row r="266" spans="1:12" ht="24">
      <c r="A266" s="638"/>
      <c r="B266" s="624" t="s">
        <v>134</v>
      </c>
      <c r="C266" s="625" t="s">
        <v>980</v>
      </c>
      <c r="D266" s="626"/>
      <c r="E266" s="580"/>
      <c r="F266" s="568" t="s">
        <v>185</v>
      </c>
      <c r="G266" s="631"/>
      <c r="H266" s="161"/>
      <c r="I266" s="156"/>
      <c r="J266" s="161"/>
      <c r="K266" s="159"/>
      <c r="L266" s="520"/>
    </row>
    <row r="267" spans="1:12" ht="24">
      <c r="A267" s="633"/>
      <c r="B267" s="624" t="s">
        <v>134</v>
      </c>
      <c r="C267" s="625" t="s">
        <v>981</v>
      </c>
      <c r="D267" s="626"/>
      <c r="E267" s="567"/>
      <c r="F267" s="568" t="s">
        <v>185</v>
      </c>
      <c r="G267" s="629"/>
      <c r="H267" s="161"/>
      <c r="I267" s="156"/>
      <c r="J267" s="161"/>
      <c r="K267" s="159"/>
      <c r="L267" s="510"/>
    </row>
    <row r="268" spans="1:12" ht="24">
      <c r="A268" s="633"/>
      <c r="B268" s="624" t="s">
        <v>134</v>
      </c>
      <c r="C268" s="625" t="s">
        <v>982</v>
      </c>
      <c r="D268" s="626"/>
      <c r="E268" s="567"/>
      <c r="F268" s="568" t="s">
        <v>185</v>
      </c>
      <c r="G268" s="629"/>
      <c r="H268" s="161"/>
      <c r="I268" s="156"/>
      <c r="J268" s="161"/>
      <c r="K268" s="159"/>
      <c r="L268" s="510"/>
    </row>
    <row r="269" spans="1:12" ht="24">
      <c r="A269" s="633"/>
      <c r="B269" s="624" t="s">
        <v>134</v>
      </c>
      <c r="C269" s="625" t="s">
        <v>983</v>
      </c>
      <c r="D269" s="626"/>
      <c r="E269" s="567"/>
      <c r="F269" s="568" t="s">
        <v>185</v>
      </c>
      <c r="G269" s="629"/>
      <c r="H269" s="161"/>
      <c r="I269" s="156"/>
      <c r="J269" s="161"/>
      <c r="K269" s="159"/>
      <c r="L269" s="510"/>
    </row>
    <row r="270" spans="1:12" ht="24">
      <c r="A270" s="633"/>
      <c r="B270" s="624" t="s">
        <v>134</v>
      </c>
      <c r="C270" s="625" t="s">
        <v>984</v>
      </c>
      <c r="D270" s="626"/>
      <c r="E270" s="567"/>
      <c r="F270" s="568" t="s">
        <v>185</v>
      </c>
      <c r="G270" s="629"/>
      <c r="H270" s="161"/>
      <c r="I270" s="156"/>
      <c r="J270" s="161"/>
      <c r="K270" s="159"/>
      <c r="L270" s="510"/>
    </row>
    <row r="271" spans="1:12" ht="24">
      <c r="A271" s="633"/>
      <c r="B271" s="624" t="s">
        <v>134</v>
      </c>
      <c r="C271" s="625" t="s">
        <v>985</v>
      </c>
      <c r="D271" s="626"/>
      <c r="E271" s="567"/>
      <c r="F271" s="568" t="s">
        <v>185</v>
      </c>
      <c r="G271" s="629"/>
      <c r="H271" s="161"/>
      <c r="I271" s="156"/>
      <c r="J271" s="161"/>
      <c r="K271" s="159"/>
      <c r="L271" s="510"/>
    </row>
    <row r="272" spans="1:12" ht="24">
      <c r="A272" s="633"/>
      <c r="B272" s="624" t="s">
        <v>134</v>
      </c>
      <c r="C272" s="625" t="s">
        <v>986</v>
      </c>
      <c r="D272" s="626"/>
      <c r="E272" s="567"/>
      <c r="F272" s="568" t="s">
        <v>185</v>
      </c>
      <c r="G272" s="629"/>
      <c r="H272" s="161"/>
      <c r="I272" s="156"/>
      <c r="J272" s="161"/>
      <c r="K272" s="159"/>
      <c r="L272" s="510"/>
    </row>
    <row r="273" spans="1:12" ht="24">
      <c r="A273" s="633"/>
      <c r="B273" s="624" t="s">
        <v>134</v>
      </c>
      <c r="C273" s="625" t="s">
        <v>987</v>
      </c>
      <c r="D273" s="626"/>
      <c r="E273" s="567"/>
      <c r="F273" s="568" t="s">
        <v>185</v>
      </c>
      <c r="G273" s="629"/>
      <c r="H273" s="161"/>
      <c r="I273" s="156"/>
      <c r="J273" s="161"/>
      <c r="K273" s="159"/>
      <c r="L273" s="591"/>
    </row>
    <row r="274" spans="1:12" ht="24">
      <c r="A274" s="633"/>
      <c r="B274" s="624" t="s">
        <v>134</v>
      </c>
      <c r="C274" s="625" t="s">
        <v>988</v>
      </c>
      <c r="D274" s="626"/>
      <c r="E274" s="595"/>
      <c r="F274" s="568" t="s">
        <v>185</v>
      </c>
      <c r="G274" s="629"/>
      <c r="H274" s="161"/>
      <c r="I274" s="156"/>
      <c r="J274" s="161"/>
      <c r="K274" s="159"/>
      <c r="L274" s="591"/>
    </row>
    <row r="275" spans="1:12" ht="24">
      <c r="A275" s="633"/>
      <c r="B275" s="624" t="s">
        <v>134</v>
      </c>
      <c r="C275" s="625" t="s">
        <v>989</v>
      </c>
      <c r="D275" s="626"/>
      <c r="E275" s="595"/>
      <c r="F275" s="568" t="s">
        <v>185</v>
      </c>
      <c r="G275" s="629"/>
      <c r="H275" s="161"/>
      <c r="I275" s="156"/>
      <c r="J275" s="161"/>
      <c r="K275" s="159"/>
      <c r="L275" s="591"/>
    </row>
    <row r="276" spans="1:12" ht="24">
      <c r="A276" s="633"/>
      <c r="B276" s="624" t="s">
        <v>134</v>
      </c>
      <c r="C276" s="625" t="s">
        <v>990</v>
      </c>
      <c r="D276" s="626"/>
      <c r="E276" s="595"/>
      <c r="F276" s="568" t="s">
        <v>185</v>
      </c>
      <c r="G276" s="629"/>
      <c r="H276" s="161"/>
      <c r="I276" s="156"/>
      <c r="J276" s="161"/>
      <c r="K276" s="159"/>
      <c r="L276" s="591"/>
    </row>
    <row r="277" spans="1:12" ht="24">
      <c r="A277" s="633"/>
      <c r="B277" s="624" t="s">
        <v>134</v>
      </c>
      <c r="C277" s="625" t="s">
        <v>991</v>
      </c>
      <c r="D277" s="626"/>
      <c r="E277" s="595"/>
      <c r="F277" s="568" t="s">
        <v>185</v>
      </c>
      <c r="G277" s="629"/>
      <c r="H277" s="161"/>
      <c r="I277" s="156"/>
      <c r="J277" s="161"/>
      <c r="K277" s="159"/>
      <c r="L277" s="591"/>
    </row>
    <row r="278" spans="1:12" ht="24">
      <c r="A278" s="633"/>
      <c r="B278" s="624" t="s">
        <v>134</v>
      </c>
      <c r="C278" s="625" t="s">
        <v>992</v>
      </c>
      <c r="D278" s="626"/>
      <c r="E278" s="595"/>
      <c r="F278" s="568" t="s">
        <v>185</v>
      </c>
      <c r="G278" s="629"/>
      <c r="H278" s="161"/>
      <c r="I278" s="156"/>
      <c r="J278" s="161"/>
      <c r="K278" s="159"/>
      <c r="L278" s="591"/>
    </row>
    <row r="279" spans="1:12" ht="24">
      <c r="A279" s="633"/>
      <c r="B279" s="624" t="s">
        <v>134</v>
      </c>
      <c r="C279" s="625" t="s">
        <v>993</v>
      </c>
      <c r="D279" s="626"/>
      <c r="E279" s="595"/>
      <c r="F279" s="568" t="s">
        <v>185</v>
      </c>
      <c r="G279" s="629"/>
      <c r="H279" s="161"/>
      <c r="I279" s="156"/>
      <c r="J279" s="161"/>
      <c r="K279" s="159"/>
      <c r="L279" s="591"/>
    </row>
    <row r="280" spans="1:12" ht="24">
      <c r="A280" s="633"/>
      <c r="B280" s="624" t="s">
        <v>134</v>
      </c>
      <c r="C280" s="625" t="s">
        <v>994</v>
      </c>
      <c r="D280" s="626"/>
      <c r="E280" s="595"/>
      <c r="F280" s="568" t="s">
        <v>185</v>
      </c>
      <c r="G280" s="629"/>
      <c r="H280" s="161"/>
      <c r="I280" s="156"/>
      <c r="J280" s="161"/>
      <c r="K280" s="159"/>
      <c r="L280" s="591"/>
    </row>
    <row r="281" spans="1:12" ht="24">
      <c r="A281" s="633"/>
      <c r="B281" s="624" t="s">
        <v>134</v>
      </c>
      <c r="C281" s="625" t="s">
        <v>995</v>
      </c>
      <c r="D281" s="626"/>
      <c r="E281" s="595"/>
      <c r="F281" s="568" t="s">
        <v>185</v>
      </c>
      <c r="G281" s="629"/>
      <c r="H281" s="161"/>
      <c r="I281" s="156"/>
      <c r="J281" s="161"/>
      <c r="K281" s="159"/>
      <c r="L281" s="591"/>
    </row>
    <row r="282" spans="1:12" ht="24">
      <c r="A282" s="634"/>
      <c r="B282" s="635" t="s">
        <v>134</v>
      </c>
      <c r="C282" s="636" t="s">
        <v>996</v>
      </c>
      <c r="D282" s="637"/>
      <c r="E282" s="574"/>
      <c r="F282" s="575" t="s">
        <v>185</v>
      </c>
      <c r="G282" s="588"/>
      <c r="H282" s="533"/>
      <c r="I282" s="532"/>
      <c r="J282" s="533"/>
      <c r="K282" s="534"/>
      <c r="L282" s="577"/>
    </row>
    <row r="283" spans="1:12" ht="24">
      <c r="A283" s="638"/>
      <c r="B283" s="639" t="s">
        <v>134</v>
      </c>
      <c r="C283" s="640" t="s">
        <v>997</v>
      </c>
      <c r="D283" s="641"/>
      <c r="E283" s="643"/>
      <c r="F283" s="581" t="s">
        <v>185</v>
      </c>
      <c r="G283" s="631"/>
      <c r="H283" s="157"/>
      <c r="I283" s="156"/>
      <c r="J283" s="157"/>
      <c r="K283" s="158"/>
      <c r="L283" s="644"/>
    </row>
    <row r="284" spans="1:12" ht="24">
      <c r="A284" s="633"/>
      <c r="B284" s="624" t="s">
        <v>134</v>
      </c>
      <c r="C284" s="625" t="s">
        <v>998</v>
      </c>
      <c r="D284" s="626"/>
      <c r="E284" s="595"/>
      <c r="F284" s="568" t="s">
        <v>185</v>
      </c>
      <c r="G284" s="629"/>
      <c r="H284" s="161"/>
      <c r="I284" s="156"/>
      <c r="J284" s="161"/>
      <c r="K284" s="159"/>
      <c r="L284" s="591"/>
    </row>
    <row r="285" spans="1:12" ht="24">
      <c r="A285" s="633"/>
      <c r="B285" s="624" t="s">
        <v>134</v>
      </c>
      <c r="C285" s="625" t="s">
        <v>999</v>
      </c>
      <c r="D285" s="626"/>
      <c r="E285" s="595"/>
      <c r="F285" s="568" t="s">
        <v>185</v>
      </c>
      <c r="G285" s="629"/>
      <c r="H285" s="161"/>
      <c r="I285" s="156"/>
      <c r="J285" s="161"/>
      <c r="K285" s="159"/>
      <c r="L285" s="591"/>
    </row>
    <row r="286" spans="1:12" ht="24">
      <c r="A286" s="633"/>
      <c r="B286" s="624" t="s">
        <v>134</v>
      </c>
      <c r="C286" s="625" t="s">
        <v>1000</v>
      </c>
      <c r="D286" s="626"/>
      <c r="E286" s="595"/>
      <c r="F286" s="568" t="s">
        <v>185</v>
      </c>
      <c r="G286" s="629"/>
      <c r="H286" s="161"/>
      <c r="I286" s="156"/>
      <c r="J286" s="161"/>
      <c r="K286" s="159"/>
      <c r="L286" s="591"/>
    </row>
    <row r="287" spans="1:12" ht="24">
      <c r="A287" s="633"/>
      <c r="B287" s="624" t="s">
        <v>134</v>
      </c>
      <c r="C287" s="625" t="s">
        <v>1001</v>
      </c>
      <c r="D287" s="626"/>
      <c r="E287" s="595"/>
      <c r="F287" s="568" t="s">
        <v>185</v>
      </c>
      <c r="G287" s="629"/>
      <c r="H287" s="161"/>
      <c r="I287" s="156"/>
      <c r="J287" s="161"/>
      <c r="K287" s="159"/>
      <c r="L287" s="591"/>
    </row>
    <row r="288" spans="1:12" ht="24">
      <c r="A288" s="633"/>
      <c r="B288" s="624"/>
      <c r="C288" s="625"/>
      <c r="D288" s="626"/>
      <c r="E288" s="595"/>
      <c r="F288" s="568"/>
      <c r="G288" s="629"/>
      <c r="H288" s="161"/>
      <c r="I288" s="156"/>
      <c r="J288" s="161"/>
      <c r="K288" s="159"/>
      <c r="L288" s="591"/>
    </row>
    <row r="289" spans="1:12" ht="24">
      <c r="A289" s="633"/>
      <c r="B289" s="624"/>
      <c r="C289" s="625"/>
      <c r="D289" s="626"/>
      <c r="E289" s="595"/>
      <c r="F289" s="568"/>
      <c r="G289" s="629"/>
      <c r="H289" s="161"/>
      <c r="I289" s="156"/>
      <c r="J289" s="161"/>
      <c r="K289" s="159"/>
      <c r="L289" s="591"/>
    </row>
    <row r="290" spans="1:12" ht="24">
      <c r="A290" s="633"/>
      <c r="B290" s="624"/>
      <c r="C290" s="625"/>
      <c r="D290" s="626"/>
      <c r="E290" s="595"/>
      <c r="F290" s="568"/>
      <c r="G290" s="629"/>
      <c r="H290" s="161"/>
      <c r="I290" s="156"/>
      <c r="J290" s="161"/>
      <c r="K290" s="159"/>
      <c r="L290" s="591"/>
    </row>
    <row r="291" spans="1:12" ht="24">
      <c r="A291" s="633"/>
      <c r="B291" s="624"/>
      <c r="C291" s="625"/>
      <c r="D291" s="626"/>
      <c r="E291" s="595"/>
      <c r="F291" s="568"/>
      <c r="G291" s="629"/>
      <c r="H291" s="161"/>
      <c r="I291" s="156"/>
      <c r="J291" s="161"/>
      <c r="K291" s="159"/>
      <c r="L291" s="591"/>
    </row>
    <row r="292" spans="1:12" ht="24">
      <c r="A292" s="633"/>
      <c r="B292" s="624"/>
      <c r="C292" s="625"/>
      <c r="D292" s="626"/>
      <c r="E292" s="595"/>
      <c r="F292" s="568"/>
      <c r="G292" s="629"/>
      <c r="H292" s="161"/>
      <c r="I292" s="156"/>
      <c r="J292" s="161"/>
      <c r="K292" s="159"/>
      <c r="L292" s="591"/>
    </row>
    <row r="293" spans="1:12" ht="24">
      <c r="A293" s="633"/>
      <c r="B293" s="624"/>
      <c r="C293" s="625"/>
      <c r="D293" s="626"/>
      <c r="E293" s="595"/>
      <c r="F293" s="568"/>
      <c r="G293" s="629"/>
      <c r="H293" s="161"/>
      <c r="I293" s="156"/>
      <c r="J293" s="161"/>
      <c r="K293" s="159"/>
      <c r="L293" s="591"/>
    </row>
    <row r="294" spans="1:12" ht="24">
      <c r="A294" s="633"/>
      <c r="B294" s="624"/>
      <c r="C294" s="625"/>
      <c r="D294" s="626"/>
      <c r="E294" s="595"/>
      <c r="F294" s="568"/>
      <c r="G294" s="629"/>
      <c r="H294" s="161"/>
      <c r="I294" s="156"/>
      <c r="J294" s="161"/>
      <c r="K294" s="159"/>
      <c r="L294" s="591"/>
    </row>
    <row r="295" spans="1:12" ht="24">
      <c r="A295" s="633"/>
      <c r="B295" s="624"/>
      <c r="C295" s="625"/>
      <c r="D295" s="626"/>
      <c r="E295" s="595"/>
      <c r="F295" s="568"/>
      <c r="G295" s="629"/>
      <c r="H295" s="161"/>
      <c r="I295" s="156"/>
      <c r="J295" s="161"/>
      <c r="K295" s="159"/>
      <c r="L295" s="591"/>
    </row>
    <row r="296" spans="1:12" ht="24">
      <c r="A296" s="633"/>
      <c r="B296" s="624"/>
      <c r="C296" s="625"/>
      <c r="D296" s="626"/>
      <c r="E296" s="595"/>
      <c r="F296" s="568"/>
      <c r="G296" s="629"/>
      <c r="H296" s="161"/>
      <c r="I296" s="156"/>
      <c r="J296" s="161"/>
      <c r="K296" s="159"/>
      <c r="L296" s="591"/>
    </row>
    <row r="297" spans="1:12" ht="24">
      <c r="A297" s="633"/>
      <c r="B297" s="624"/>
      <c r="C297" s="625"/>
      <c r="D297" s="626"/>
      <c r="E297" s="595"/>
      <c r="F297" s="568"/>
      <c r="G297" s="629"/>
      <c r="H297" s="161"/>
      <c r="I297" s="156"/>
      <c r="J297" s="161"/>
      <c r="K297" s="159"/>
      <c r="L297" s="591"/>
    </row>
    <row r="298" spans="1:12" ht="24">
      <c r="A298" s="633"/>
      <c r="B298" s="624"/>
      <c r="C298" s="625"/>
      <c r="D298" s="626"/>
      <c r="E298" s="595"/>
      <c r="F298" s="568"/>
      <c r="G298" s="629"/>
      <c r="H298" s="161"/>
      <c r="I298" s="156"/>
      <c r="J298" s="161"/>
      <c r="K298" s="159"/>
      <c r="L298" s="591"/>
    </row>
    <row r="299" spans="1:12" ht="24">
      <c r="A299" s="633"/>
      <c r="B299" s="624"/>
      <c r="C299" s="625"/>
      <c r="D299" s="626"/>
      <c r="E299" s="595"/>
      <c r="F299" s="568"/>
      <c r="G299" s="629"/>
      <c r="H299" s="161"/>
      <c r="I299" s="156"/>
      <c r="J299" s="161"/>
      <c r="K299" s="159"/>
      <c r="L299" s="591"/>
    </row>
    <row r="300" spans="1:12" ht="24">
      <c r="A300" s="633"/>
      <c r="B300" s="624"/>
      <c r="C300" s="625"/>
      <c r="D300" s="626"/>
      <c r="E300" s="595"/>
      <c r="F300" s="568"/>
      <c r="G300" s="629"/>
      <c r="H300" s="161"/>
      <c r="I300" s="156"/>
      <c r="J300" s="161"/>
      <c r="K300" s="159"/>
      <c r="L300" s="591"/>
    </row>
    <row r="301" spans="1:12" s="369" customFormat="1" ht="24">
      <c r="A301" s="632"/>
      <c r="B301" s="624"/>
      <c r="C301" s="625"/>
      <c r="D301" s="626"/>
      <c r="E301" s="567"/>
      <c r="F301" s="568"/>
      <c r="G301" s="549"/>
      <c r="H301" s="161"/>
      <c r="I301" s="156"/>
      <c r="J301" s="161"/>
      <c r="K301" s="159"/>
      <c r="L301" s="510"/>
    </row>
    <row r="302" spans="1:12" ht="24">
      <c r="A302" s="645"/>
      <c r="B302" s="646"/>
      <c r="C302" s="647"/>
      <c r="D302" s="647"/>
      <c r="E302" s="648"/>
      <c r="F302" s="649"/>
      <c r="G302" s="650"/>
      <c r="H302" s="651"/>
      <c r="I302" s="652"/>
      <c r="J302" s="651"/>
      <c r="K302" s="653"/>
      <c r="L302" s="654"/>
    </row>
    <row r="303" spans="1:12" ht="24">
      <c r="A303" s="655"/>
      <c r="B303" s="2124" t="s">
        <v>1002</v>
      </c>
      <c r="C303" s="2125"/>
      <c r="D303" s="2126"/>
      <c r="E303" s="656"/>
      <c r="F303" s="657"/>
      <c r="G303" s="658"/>
      <c r="H303" s="659"/>
      <c r="I303" s="660"/>
      <c r="J303" s="659"/>
      <c r="K303" s="659"/>
      <c r="L303" s="661"/>
    </row>
    <row r="304" spans="1:12" ht="24">
      <c r="A304" s="612">
        <v>2.8</v>
      </c>
      <c r="B304" s="662" t="s">
        <v>1003</v>
      </c>
      <c r="C304" s="663"/>
      <c r="D304" s="663"/>
      <c r="E304" s="664"/>
      <c r="F304" s="616"/>
      <c r="G304" s="629"/>
      <c r="H304" s="161"/>
      <c r="I304" s="665"/>
      <c r="J304" s="161"/>
      <c r="K304" s="159"/>
      <c r="L304" s="510"/>
    </row>
    <row r="305" spans="1:12" ht="24">
      <c r="A305" s="628" t="s">
        <v>1004</v>
      </c>
      <c r="B305" s="666" t="s">
        <v>243</v>
      </c>
      <c r="C305" s="667" t="s">
        <v>1005</v>
      </c>
      <c r="D305" s="663"/>
      <c r="E305" s="664"/>
      <c r="F305" s="616"/>
      <c r="G305" s="549"/>
      <c r="H305" s="161"/>
      <c r="I305" s="586"/>
      <c r="J305" s="161"/>
      <c r="K305" s="159"/>
      <c r="L305" s="510"/>
    </row>
    <row r="306" spans="1:12" ht="24">
      <c r="A306" s="668"/>
      <c r="B306" s="624" t="s">
        <v>1006</v>
      </c>
      <c r="C306" s="667" t="s">
        <v>1007</v>
      </c>
      <c r="D306" s="667"/>
      <c r="E306" s="567"/>
      <c r="F306" s="568" t="s">
        <v>183</v>
      </c>
      <c r="G306" s="156"/>
      <c r="H306" s="161"/>
      <c r="I306" s="156"/>
      <c r="J306" s="161"/>
      <c r="K306" s="159"/>
      <c r="L306" s="510"/>
    </row>
    <row r="307" spans="1:12" ht="24">
      <c r="A307" s="668"/>
      <c r="B307" s="624" t="s">
        <v>1006</v>
      </c>
      <c r="C307" s="667" t="s">
        <v>1008</v>
      </c>
      <c r="D307" s="667"/>
      <c r="E307" s="567"/>
      <c r="F307" s="568" t="s">
        <v>183</v>
      </c>
      <c r="G307" s="156"/>
      <c r="H307" s="161"/>
      <c r="I307" s="156"/>
      <c r="J307" s="161"/>
      <c r="K307" s="159"/>
      <c r="L307" s="510"/>
    </row>
    <row r="308" spans="1:12" ht="24">
      <c r="A308" s="669"/>
      <c r="B308" s="624" t="s">
        <v>1006</v>
      </c>
      <c r="C308" s="667" t="s">
        <v>1009</v>
      </c>
      <c r="D308" s="667"/>
      <c r="E308" s="567"/>
      <c r="F308" s="581" t="s">
        <v>184</v>
      </c>
      <c r="G308" s="589"/>
      <c r="H308" s="161"/>
      <c r="I308" s="156"/>
      <c r="J308" s="161"/>
      <c r="K308" s="159"/>
      <c r="L308" s="520"/>
    </row>
    <row r="309" spans="1:12" ht="24">
      <c r="A309" s="669"/>
      <c r="B309" s="639" t="s">
        <v>1006</v>
      </c>
      <c r="C309" s="670" t="s">
        <v>1010</v>
      </c>
      <c r="D309" s="670"/>
      <c r="E309" s="580"/>
      <c r="F309" s="616" t="s">
        <v>184</v>
      </c>
      <c r="G309" s="549"/>
      <c r="H309" s="161"/>
      <c r="I309" s="156"/>
      <c r="J309" s="161"/>
      <c r="K309" s="159"/>
      <c r="L309" s="510"/>
    </row>
    <row r="310" spans="1:12" ht="24">
      <c r="A310" s="669"/>
      <c r="B310" s="639"/>
      <c r="C310" s="667" t="s">
        <v>1011</v>
      </c>
      <c r="D310" s="670"/>
      <c r="E310" s="580"/>
      <c r="F310" s="616"/>
      <c r="G310" s="629"/>
      <c r="H310" s="161"/>
      <c r="I310" s="665"/>
      <c r="J310" s="161"/>
      <c r="K310" s="159"/>
      <c r="L310" s="510"/>
    </row>
    <row r="311" spans="1:12" ht="24">
      <c r="A311" s="669"/>
      <c r="B311" s="639"/>
      <c r="C311" s="667"/>
      <c r="D311" s="670"/>
      <c r="E311" s="580"/>
      <c r="F311" s="616"/>
      <c r="G311" s="629"/>
      <c r="H311" s="161"/>
      <c r="I311" s="665"/>
      <c r="J311" s="161"/>
      <c r="K311" s="159"/>
      <c r="L311" s="510"/>
    </row>
    <row r="312" spans="1:12" ht="24">
      <c r="A312" s="628" t="s">
        <v>1012</v>
      </c>
      <c r="B312" s="666" t="s">
        <v>1013</v>
      </c>
      <c r="C312" s="667" t="s">
        <v>1014</v>
      </c>
      <c r="D312" s="667"/>
      <c r="E312" s="567"/>
      <c r="F312" s="616"/>
      <c r="G312" s="549"/>
      <c r="H312" s="161"/>
      <c r="I312" s="586"/>
      <c r="J312" s="161"/>
      <c r="K312" s="159"/>
      <c r="L312" s="510"/>
    </row>
    <row r="313" spans="1:12" ht="24">
      <c r="A313" s="628"/>
      <c r="B313" s="624" t="s">
        <v>1006</v>
      </c>
      <c r="C313" s="667" t="s">
        <v>1007</v>
      </c>
      <c r="D313" s="667"/>
      <c r="E313" s="567"/>
      <c r="F313" s="568" t="s">
        <v>183</v>
      </c>
      <c r="G313" s="156"/>
      <c r="H313" s="157"/>
      <c r="I313" s="156"/>
      <c r="J313" s="161"/>
      <c r="K313" s="159"/>
      <c r="L313" s="510"/>
    </row>
    <row r="314" spans="1:12" ht="24">
      <c r="A314" s="628"/>
      <c r="B314" s="624" t="s">
        <v>1006</v>
      </c>
      <c r="C314" s="671" t="s">
        <v>1008</v>
      </c>
      <c r="D314" s="667"/>
      <c r="E314" s="567"/>
      <c r="F314" s="568" t="s">
        <v>183</v>
      </c>
      <c r="G314" s="156"/>
      <c r="H314" s="161"/>
      <c r="I314" s="156"/>
      <c r="J314" s="161"/>
      <c r="K314" s="159"/>
      <c r="L314" s="510"/>
    </row>
    <row r="315" spans="1:12" ht="24">
      <c r="A315" s="628"/>
      <c r="B315" s="624" t="s">
        <v>1006</v>
      </c>
      <c r="C315" s="667" t="s">
        <v>1015</v>
      </c>
      <c r="D315" s="667"/>
      <c r="E315" s="567"/>
      <c r="F315" s="581" t="s">
        <v>184</v>
      </c>
      <c r="G315" s="549"/>
      <c r="H315" s="161"/>
      <c r="I315" s="549"/>
      <c r="J315" s="161"/>
      <c r="K315" s="159"/>
      <c r="L315" s="510"/>
    </row>
    <row r="316" spans="1:12" ht="24">
      <c r="A316" s="668"/>
      <c r="B316" s="639" t="s">
        <v>1006</v>
      </c>
      <c r="C316" s="667" t="s">
        <v>1016</v>
      </c>
      <c r="D316" s="667"/>
      <c r="E316" s="567"/>
      <c r="F316" s="568" t="s">
        <v>184</v>
      </c>
      <c r="G316" s="549"/>
      <c r="H316" s="161"/>
      <c r="I316" s="672"/>
      <c r="J316" s="161"/>
      <c r="K316" s="159"/>
      <c r="L316" s="510"/>
    </row>
    <row r="317" spans="1:12" ht="24">
      <c r="A317" s="669"/>
      <c r="B317" s="639"/>
      <c r="C317" s="667"/>
      <c r="D317" s="670"/>
      <c r="E317" s="580"/>
      <c r="F317" s="568"/>
      <c r="G317" s="549"/>
      <c r="H317" s="161"/>
      <c r="I317" s="672"/>
      <c r="J317" s="157"/>
      <c r="K317" s="158"/>
      <c r="L317" s="520"/>
    </row>
    <row r="318" spans="1:12" ht="24">
      <c r="A318" s="630" t="s">
        <v>1017</v>
      </c>
      <c r="B318" s="673" t="s">
        <v>1018</v>
      </c>
      <c r="C318" s="667" t="s">
        <v>1019</v>
      </c>
      <c r="D318" s="670"/>
      <c r="E318" s="580"/>
      <c r="F318" s="674"/>
      <c r="G318" s="549"/>
      <c r="H318" s="161"/>
      <c r="I318" s="586"/>
      <c r="J318" s="157"/>
      <c r="K318" s="158"/>
      <c r="L318" s="520"/>
    </row>
    <row r="319" spans="1:12" ht="24">
      <c r="A319" s="668"/>
      <c r="B319" s="624" t="s">
        <v>1006</v>
      </c>
      <c r="C319" s="667" t="s">
        <v>1007</v>
      </c>
      <c r="D319" s="667"/>
      <c r="E319" s="567"/>
      <c r="F319" s="568" t="s">
        <v>183</v>
      </c>
      <c r="G319" s="156"/>
      <c r="H319" s="157"/>
      <c r="I319" s="156"/>
      <c r="J319" s="161"/>
      <c r="K319" s="159"/>
      <c r="L319" s="510"/>
    </row>
    <row r="320" spans="1:12" ht="24">
      <c r="A320" s="669"/>
      <c r="B320" s="624" t="s">
        <v>1006</v>
      </c>
      <c r="C320" s="671" t="s">
        <v>1008</v>
      </c>
      <c r="D320" s="667"/>
      <c r="E320" s="567"/>
      <c r="F320" s="568" t="s">
        <v>183</v>
      </c>
      <c r="G320" s="156"/>
      <c r="H320" s="161"/>
      <c r="I320" s="156"/>
      <c r="J320" s="161"/>
      <c r="K320" s="159"/>
      <c r="L320" s="510"/>
    </row>
    <row r="321" spans="1:12" ht="24">
      <c r="A321" s="630"/>
      <c r="B321" s="624" t="s">
        <v>1006</v>
      </c>
      <c r="C321" s="667" t="s">
        <v>1015</v>
      </c>
      <c r="D321" s="667"/>
      <c r="E321" s="567"/>
      <c r="F321" s="581" t="s">
        <v>184</v>
      </c>
      <c r="G321" s="549"/>
      <c r="H321" s="161"/>
      <c r="I321" s="549"/>
      <c r="J321" s="161"/>
      <c r="K321" s="159"/>
      <c r="L321" s="510"/>
    </row>
    <row r="322" spans="1:12" ht="24">
      <c r="A322" s="630"/>
      <c r="B322" s="639" t="s">
        <v>1006</v>
      </c>
      <c r="C322" s="667" t="s">
        <v>1016</v>
      </c>
      <c r="D322" s="667"/>
      <c r="E322" s="567"/>
      <c r="F322" s="616" t="s">
        <v>184</v>
      </c>
      <c r="G322" s="549"/>
      <c r="H322" s="161"/>
      <c r="I322" s="672"/>
      <c r="J322" s="161"/>
      <c r="K322" s="159"/>
      <c r="L322" s="510"/>
    </row>
    <row r="323" spans="1:12" ht="24">
      <c r="A323" s="630"/>
      <c r="B323" s="639"/>
      <c r="C323" s="667"/>
      <c r="D323" s="667"/>
      <c r="E323" s="567"/>
      <c r="F323" s="616"/>
      <c r="G323" s="629"/>
      <c r="H323" s="161"/>
      <c r="I323" s="549"/>
      <c r="J323" s="161"/>
      <c r="K323" s="159"/>
      <c r="L323" s="510"/>
    </row>
    <row r="324" spans="1:12" ht="24">
      <c r="A324" s="675"/>
      <c r="B324" s="635"/>
      <c r="C324" s="676"/>
      <c r="D324" s="676"/>
      <c r="E324" s="574"/>
      <c r="F324" s="575"/>
      <c r="G324" s="588"/>
      <c r="H324" s="533"/>
      <c r="I324" s="677"/>
      <c r="J324" s="533"/>
      <c r="K324" s="534"/>
      <c r="L324" s="577"/>
    </row>
    <row r="325" spans="1:12" ht="24">
      <c r="A325" s="630" t="s">
        <v>1020</v>
      </c>
      <c r="B325" s="673" t="s">
        <v>250</v>
      </c>
      <c r="C325" s="670" t="s">
        <v>1021</v>
      </c>
      <c r="D325" s="670"/>
      <c r="E325" s="580"/>
      <c r="F325" s="674"/>
      <c r="G325" s="589"/>
      <c r="H325" s="157"/>
      <c r="I325" s="672"/>
      <c r="J325" s="157"/>
      <c r="K325" s="158"/>
      <c r="L325" s="520"/>
    </row>
    <row r="326" spans="1:12" ht="24">
      <c r="A326" s="630"/>
      <c r="B326" s="624" t="s">
        <v>1006</v>
      </c>
      <c r="C326" s="667" t="s">
        <v>1007</v>
      </c>
      <c r="D326" s="667"/>
      <c r="E326" s="567"/>
      <c r="F326" s="568" t="s">
        <v>183</v>
      </c>
      <c r="G326" s="156"/>
      <c r="H326" s="157"/>
      <c r="I326" s="156"/>
      <c r="J326" s="157"/>
      <c r="K326" s="159"/>
      <c r="L326" s="510"/>
    </row>
    <row r="327" spans="1:12" ht="24">
      <c r="A327" s="630"/>
      <c r="B327" s="624" t="s">
        <v>1006</v>
      </c>
      <c r="C327" s="671" t="s">
        <v>1008</v>
      </c>
      <c r="D327" s="667"/>
      <c r="E327" s="567"/>
      <c r="F327" s="568" t="s">
        <v>183</v>
      </c>
      <c r="G327" s="156"/>
      <c r="H327" s="161"/>
      <c r="I327" s="156"/>
      <c r="J327" s="161"/>
      <c r="K327" s="159"/>
      <c r="L327" s="510"/>
    </row>
    <row r="328" spans="1:12" ht="24">
      <c r="A328" s="630"/>
      <c r="B328" s="624" t="s">
        <v>1006</v>
      </c>
      <c r="C328" s="667" t="s">
        <v>1015</v>
      </c>
      <c r="D328" s="667"/>
      <c r="E328" s="567"/>
      <c r="F328" s="581" t="s">
        <v>184</v>
      </c>
      <c r="G328" s="549"/>
      <c r="H328" s="161"/>
      <c r="I328" s="549"/>
      <c r="J328" s="161"/>
      <c r="K328" s="159"/>
      <c r="L328" s="510"/>
    </row>
    <row r="329" spans="1:12" ht="24">
      <c r="A329" s="668"/>
      <c r="B329" s="639" t="s">
        <v>1006</v>
      </c>
      <c r="C329" s="667" t="s">
        <v>1016</v>
      </c>
      <c r="D329" s="667"/>
      <c r="E329" s="567"/>
      <c r="F329" s="616" t="s">
        <v>184</v>
      </c>
      <c r="G329" s="549"/>
      <c r="H329" s="161"/>
      <c r="I329" s="672"/>
      <c r="J329" s="161"/>
      <c r="K329" s="159"/>
      <c r="L329" s="510"/>
    </row>
    <row r="330" spans="1:12" ht="24">
      <c r="A330" s="669"/>
      <c r="B330" s="624"/>
      <c r="C330" s="667"/>
      <c r="D330" s="667"/>
      <c r="E330" s="567"/>
      <c r="F330" s="568"/>
      <c r="G330" s="549"/>
      <c r="H330" s="161"/>
      <c r="I330" s="678"/>
      <c r="J330" s="161"/>
      <c r="K330" s="159"/>
      <c r="L330" s="520"/>
    </row>
    <row r="331" spans="1:12" ht="24">
      <c r="A331" s="630" t="s">
        <v>1022</v>
      </c>
      <c r="B331" s="673" t="s">
        <v>251</v>
      </c>
      <c r="C331" s="667"/>
      <c r="D331" s="667"/>
      <c r="E331" s="567"/>
      <c r="F331" s="568"/>
      <c r="G331" s="549"/>
      <c r="H331" s="161"/>
      <c r="I331" s="678"/>
      <c r="J331" s="161"/>
      <c r="K331" s="159"/>
      <c r="L331" s="520"/>
    </row>
    <row r="332" spans="1:12" ht="24">
      <c r="A332" s="669"/>
      <c r="B332" s="624" t="s">
        <v>1006</v>
      </c>
      <c r="C332" s="667" t="s">
        <v>1007</v>
      </c>
      <c r="D332" s="667"/>
      <c r="E332" s="567"/>
      <c r="F332" s="568" t="s">
        <v>183</v>
      </c>
      <c r="G332" s="156"/>
      <c r="H332" s="157"/>
      <c r="I332" s="156"/>
      <c r="J332" s="157"/>
      <c r="K332" s="159"/>
      <c r="L332" s="520"/>
    </row>
    <row r="333" spans="1:12" ht="24">
      <c r="A333" s="669"/>
      <c r="B333" s="624" t="s">
        <v>1006</v>
      </c>
      <c r="C333" s="667" t="s">
        <v>1015</v>
      </c>
      <c r="D333" s="667"/>
      <c r="E333" s="567"/>
      <c r="F333" s="581" t="s">
        <v>184</v>
      </c>
      <c r="G333" s="549"/>
      <c r="H333" s="161"/>
      <c r="I333" s="549"/>
      <c r="J333" s="161"/>
      <c r="K333" s="159"/>
      <c r="L333" s="520"/>
    </row>
    <row r="334" spans="1:12" ht="24">
      <c r="A334" s="669"/>
      <c r="B334" s="624" t="s">
        <v>1006</v>
      </c>
      <c r="C334" s="667" t="s">
        <v>1023</v>
      </c>
      <c r="D334" s="667"/>
      <c r="E334" s="567"/>
      <c r="F334" s="616" t="s">
        <v>184</v>
      </c>
      <c r="G334" s="549"/>
      <c r="H334" s="161"/>
      <c r="I334" s="678"/>
      <c r="J334" s="161"/>
      <c r="K334" s="159"/>
      <c r="L334" s="520"/>
    </row>
    <row r="335" spans="1:12" ht="24">
      <c r="A335" s="669"/>
      <c r="B335" s="639"/>
      <c r="C335" s="667"/>
      <c r="D335" s="667"/>
      <c r="E335" s="567"/>
      <c r="F335" s="616"/>
      <c r="G335" s="549"/>
      <c r="H335" s="161"/>
      <c r="I335" s="678"/>
      <c r="J335" s="161"/>
      <c r="K335" s="159"/>
      <c r="L335" s="520"/>
    </row>
    <row r="336" spans="1:12" ht="24">
      <c r="A336" s="630" t="s">
        <v>1024</v>
      </c>
      <c r="B336" s="673" t="s">
        <v>252</v>
      </c>
      <c r="C336" s="667"/>
      <c r="D336" s="667"/>
      <c r="E336" s="567"/>
      <c r="F336" s="568"/>
      <c r="G336" s="549"/>
      <c r="H336" s="161"/>
      <c r="I336" s="678"/>
      <c r="J336" s="161"/>
      <c r="K336" s="159"/>
      <c r="L336" s="520"/>
    </row>
    <row r="337" spans="1:12" ht="24">
      <c r="A337" s="669"/>
      <c r="B337" s="624" t="s">
        <v>1006</v>
      </c>
      <c r="C337" s="667" t="s">
        <v>1007</v>
      </c>
      <c r="D337" s="667"/>
      <c r="E337" s="567"/>
      <c r="F337" s="568" t="s">
        <v>183</v>
      </c>
      <c r="G337" s="156"/>
      <c r="H337" s="157"/>
      <c r="I337" s="156"/>
      <c r="J337" s="157"/>
      <c r="K337" s="159"/>
      <c r="L337" s="520"/>
    </row>
    <row r="338" spans="1:12" ht="24">
      <c r="A338" s="669"/>
      <c r="B338" s="624" t="s">
        <v>1006</v>
      </c>
      <c r="C338" s="667" t="s">
        <v>1015</v>
      </c>
      <c r="D338" s="667"/>
      <c r="E338" s="567"/>
      <c r="F338" s="581" t="s">
        <v>184</v>
      </c>
      <c r="G338" s="549"/>
      <c r="H338" s="161"/>
      <c r="I338" s="549"/>
      <c r="J338" s="161"/>
      <c r="K338" s="159"/>
      <c r="L338" s="520"/>
    </row>
    <row r="339" spans="1:12" ht="24">
      <c r="A339" s="669"/>
      <c r="B339" s="624" t="s">
        <v>1006</v>
      </c>
      <c r="C339" s="667" t="s">
        <v>1023</v>
      </c>
      <c r="D339" s="667"/>
      <c r="E339" s="567"/>
      <c r="F339" s="616" t="s">
        <v>184</v>
      </c>
      <c r="G339" s="549"/>
      <c r="H339" s="161"/>
      <c r="I339" s="678"/>
      <c r="J339" s="161"/>
      <c r="K339" s="159"/>
      <c r="L339" s="520"/>
    </row>
    <row r="340" spans="1:12" ht="24">
      <c r="A340" s="669"/>
      <c r="B340" s="639"/>
      <c r="C340" s="667"/>
      <c r="D340" s="667"/>
      <c r="E340" s="567"/>
      <c r="F340" s="616"/>
      <c r="G340" s="549"/>
      <c r="H340" s="161"/>
      <c r="I340" s="678"/>
      <c r="J340" s="161"/>
      <c r="K340" s="159"/>
      <c r="L340" s="520"/>
    </row>
    <row r="341" spans="1:12" ht="24">
      <c r="A341" s="630" t="s">
        <v>1025</v>
      </c>
      <c r="B341" s="673" t="s">
        <v>1026</v>
      </c>
      <c r="C341" s="667" t="s">
        <v>1027</v>
      </c>
      <c r="D341" s="667"/>
      <c r="E341" s="567"/>
      <c r="F341" s="568"/>
      <c r="G341" s="549"/>
      <c r="H341" s="161"/>
      <c r="I341" s="678"/>
      <c r="J341" s="161"/>
      <c r="K341" s="159"/>
      <c r="L341" s="520"/>
    </row>
    <row r="342" spans="1:12" ht="24">
      <c r="A342" s="669"/>
      <c r="B342" s="624" t="s">
        <v>134</v>
      </c>
      <c r="C342" s="667" t="s">
        <v>1028</v>
      </c>
      <c r="D342" s="667"/>
      <c r="E342" s="567"/>
      <c r="F342" s="568" t="s">
        <v>185</v>
      </c>
      <c r="G342" s="549"/>
      <c r="H342" s="161"/>
      <c r="I342" s="678"/>
      <c r="J342" s="161"/>
      <c r="K342" s="159"/>
      <c r="L342" s="520"/>
    </row>
    <row r="343" spans="1:12" ht="24">
      <c r="A343" s="669"/>
      <c r="B343" s="624" t="s">
        <v>134</v>
      </c>
      <c r="C343" s="667" t="s">
        <v>1029</v>
      </c>
      <c r="D343" s="667"/>
      <c r="E343" s="567"/>
      <c r="F343" s="568" t="s">
        <v>185</v>
      </c>
      <c r="G343" s="549"/>
      <c r="H343" s="161"/>
      <c r="I343" s="678"/>
      <c r="J343" s="161"/>
      <c r="K343" s="159"/>
      <c r="L343" s="520"/>
    </row>
    <row r="344" spans="1:12" ht="24">
      <c r="A344" s="669"/>
      <c r="B344" s="624"/>
      <c r="C344" s="667"/>
      <c r="D344" s="667"/>
      <c r="E344" s="567"/>
      <c r="F344" s="568"/>
      <c r="G344" s="549"/>
      <c r="H344" s="161"/>
      <c r="I344" s="678"/>
      <c r="J344" s="161"/>
      <c r="K344" s="159"/>
      <c r="L344" s="520"/>
    </row>
    <row r="345" spans="1:12" ht="24">
      <c r="A345" s="679"/>
      <c r="B345" s="635"/>
      <c r="C345" s="676"/>
      <c r="D345" s="676"/>
      <c r="E345" s="574"/>
      <c r="F345" s="575"/>
      <c r="G345" s="588"/>
      <c r="H345" s="533"/>
      <c r="I345" s="680"/>
      <c r="J345" s="533"/>
      <c r="K345" s="534"/>
      <c r="L345" s="577"/>
    </row>
    <row r="346" spans="1:12" ht="24">
      <c r="A346" s="630" t="s">
        <v>1030</v>
      </c>
      <c r="B346" s="681" t="s">
        <v>1031</v>
      </c>
      <c r="C346" s="670" t="s">
        <v>1032</v>
      </c>
      <c r="D346" s="670"/>
      <c r="E346" s="580"/>
      <c r="F346" s="581"/>
      <c r="G346" s="589"/>
      <c r="H346" s="157"/>
      <c r="I346" s="678"/>
      <c r="J346" s="157"/>
      <c r="K346" s="158"/>
      <c r="L346" s="520"/>
    </row>
    <row r="347" spans="1:12" ht="24">
      <c r="A347" s="669"/>
      <c r="B347" s="624" t="s">
        <v>134</v>
      </c>
      <c r="C347" s="667" t="s">
        <v>1033</v>
      </c>
      <c r="D347" s="667"/>
      <c r="E347" s="567"/>
      <c r="F347" s="568" t="s">
        <v>183</v>
      </c>
      <c r="G347" s="549"/>
      <c r="H347" s="161"/>
      <c r="I347" s="678"/>
      <c r="J347" s="161"/>
      <c r="K347" s="159"/>
      <c r="L347" s="520"/>
    </row>
    <row r="348" spans="1:12" ht="24">
      <c r="A348" s="669"/>
      <c r="B348" s="624" t="s">
        <v>134</v>
      </c>
      <c r="C348" s="667" t="s">
        <v>1034</v>
      </c>
      <c r="D348" s="667"/>
      <c r="E348" s="567"/>
      <c r="F348" s="568" t="s">
        <v>183</v>
      </c>
      <c r="G348" s="549"/>
      <c r="H348" s="161"/>
      <c r="I348" s="678"/>
      <c r="J348" s="161"/>
      <c r="K348" s="159"/>
      <c r="L348" s="520"/>
    </row>
    <row r="349" spans="1:12" ht="24">
      <c r="A349" s="669"/>
      <c r="B349" s="624" t="s">
        <v>134</v>
      </c>
      <c r="C349" s="667" t="s">
        <v>1035</v>
      </c>
      <c r="D349" s="667"/>
      <c r="E349" s="567"/>
      <c r="F349" s="568" t="s">
        <v>184</v>
      </c>
      <c r="G349" s="549"/>
      <c r="H349" s="161"/>
      <c r="I349" s="678"/>
      <c r="J349" s="161"/>
      <c r="K349" s="159"/>
      <c r="L349" s="520"/>
    </row>
    <row r="350" spans="1:12" ht="24">
      <c r="A350" s="669"/>
      <c r="B350" s="624"/>
      <c r="C350" s="667"/>
      <c r="D350" s="667"/>
      <c r="E350" s="567"/>
      <c r="F350" s="568"/>
      <c r="G350" s="549"/>
      <c r="H350" s="161"/>
      <c r="I350" s="678"/>
      <c r="J350" s="161"/>
      <c r="K350" s="159"/>
      <c r="L350" s="520"/>
    </row>
    <row r="351" spans="1:12" ht="24">
      <c r="A351" s="630" t="s">
        <v>1036</v>
      </c>
      <c r="B351" s="590" t="s">
        <v>1037</v>
      </c>
      <c r="C351" s="667" t="s">
        <v>1038</v>
      </c>
      <c r="D351" s="667"/>
      <c r="E351" s="567"/>
      <c r="F351" s="568"/>
      <c r="G351" s="549"/>
      <c r="H351" s="161"/>
      <c r="I351" s="678"/>
      <c r="J351" s="161"/>
      <c r="K351" s="159"/>
      <c r="L351" s="520"/>
    </row>
    <row r="352" spans="1:12" ht="24">
      <c r="A352" s="669"/>
      <c r="B352" s="624" t="s">
        <v>134</v>
      </c>
      <c r="C352" s="667" t="s">
        <v>1033</v>
      </c>
      <c r="D352" s="667"/>
      <c r="E352" s="567"/>
      <c r="F352" s="568" t="s">
        <v>183</v>
      </c>
      <c r="G352" s="549"/>
      <c r="H352" s="161"/>
      <c r="I352" s="678"/>
      <c r="J352" s="161"/>
      <c r="K352" s="159"/>
      <c r="L352" s="520"/>
    </row>
    <row r="353" spans="1:12" ht="24">
      <c r="A353" s="669"/>
      <c r="B353" s="624" t="s">
        <v>134</v>
      </c>
      <c r="C353" s="667" t="s">
        <v>1039</v>
      </c>
      <c r="D353" s="667"/>
      <c r="E353" s="567"/>
      <c r="F353" s="568" t="s">
        <v>183</v>
      </c>
      <c r="G353" s="549"/>
      <c r="H353" s="161"/>
      <c r="I353" s="678"/>
      <c r="J353" s="161"/>
      <c r="K353" s="159"/>
      <c r="L353" s="520"/>
    </row>
    <row r="354" spans="1:12" ht="24">
      <c r="A354" s="669"/>
      <c r="B354" s="624" t="s">
        <v>134</v>
      </c>
      <c r="C354" s="667" t="s">
        <v>1023</v>
      </c>
      <c r="D354" s="667"/>
      <c r="E354" s="567"/>
      <c r="F354" s="568" t="s">
        <v>184</v>
      </c>
      <c r="G354" s="549"/>
      <c r="H354" s="161"/>
      <c r="I354" s="678"/>
      <c r="J354" s="161"/>
      <c r="K354" s="159"/>
      <c r="L354" s="520"/>
    </row>
    <row r="355" spans="1:12" ht="24">
      <c r="A355" s="669"/>
      <c r="B355" s="624" t="s">
        <v>134</v>
      </c>
      <c r="C355" s="667" t="s">
        <v>1040</v>
      </c>
      <c r="D355" s="667"/>
      <c r="E355" s="567"/>
      <c r="F355" s="568" t="s">
        <v>183</v>
      </c>
      <c r="G355" s="549"/>
      <c r="H355" s="161"/>
      <c r="I355" s="678"/>
      <c r="J355" s="161"/>
      <c r="K355" s="159"/>
      <c r="L355" s="520"/>
    </row>
    <row r="356" spans="1:12" ht="24">
      <c r="A356" s="669"/>
      <c r="B356" s="624"/>
      <c r="C356" s="667"/>
      <c r="D356" s="667"/>
      <c r="E356" s="567"/>
      <c r="F356" s="568"/>
      <c r="G356" s="549"/>
      <c r="H356" s="161"/>
      <c r="I356" s="678"/>
      <c r="J356" s="161"/>
      <c r="K356" s="159"/>
      <c r="L356" s="520"/>
    </row>
    <row r="357" spans="1:12" ht="24">
      <c r="A357" s="630" t="s">
        <v>1041</v>
      </c>
      <c r="B357" s="590" t="s">
        <v>1042</v>
      </c>
      <c r="C357" s="667" t="s">
        <v>1043</v>
      </c>
      <c r="D357" s="667"/>
      <c r="E357" s="567"/>
      <c r="F357" s="568"/>
      <c r="G357" s="549"/>
      <c r="H357" s="161"/>
      <c r="I357" s="678"/>
      <c r="J357" s="161"/>
      <c r="K357" s="159"/>
      <c r="L357" s="520"/>
    </row>
    <row r="358" spans="1:12" ht="24">
      <c r="A358" s="669"/>
      <c r="B358" s="624" t="s">
        <v>134</v>
      </c>
      <c r="C358" s="667" t="s">
        <v>1033</v>
      </c>
      <c r="D358" s="667"/>
      <c r="E358" s="567"/>
      <c r="F358" s="568" t="s">
        <v>183</v>
      </c>
      <c r="G358" s="549"/>
      <c r="H358" s="161"/>
      <c r="I358" s="678"/>
      <c r="J358" s="161"/>
      <c r="K358" s="159"/>
      <c r="L358" s="520"/>
    </row>
    <row r="359" spans="1:12" ht="24">
      <c r="A359" s="669"/>
      <c r="B359" s="624" t="s">
        <v>134</v>
      </c>
      <c r="C359" s="667" t="s">
        <v>1039</v>
      </c>
      <c r="D359" s="667"/>
      <c r="E359" s="567"/>
      <c r="F359" s="568" t="s">
        <v>183</v>
      </c>
      <c r="G359" s="549"/>
      <c r="H359" s="161"/>
      <c r="I359" s="678"/>
      <c r="J359" s="161"/>
      <c r="K359" s="159"/>
      <c r="L359" s="520"/>
    </row>
    <row r="360" spans="1:12" ht="24">
      <c r="A360" s="669"/>
      <c r="B360" s="624" t="s">
        <v>134</v>
      </c>
      <c r="C360" s="667" t="s">
        <v>1023</v>
      </c>
      <c r="D360" s="667"/>
      <c r="E360" s="567"/>
      <c r="F360" s="568" t="s">
        <v>184</v>
      </c>
      <c r="G360" s="549"/>
      <c r="H360" s="161"/>
      <c r="I360" s="678"/>
      <c r="J360" s="161"/>
      <c r="K360" s="159"/>
      <c r="L360" s="520"/>
    </row>
    <row r="361" spans="1:12" ht="24">
      <c r="A361" s="669"/>
      <c r="B361" s="624"/>
      <c r="C361" s="667"/>
      <c r="D361" s="667"/>
      <c r="E361" s="567"/>
      <c r="F361" s="616"/>
      <c r="G361" s="549"/>
      <c r="H361" s="161"/>
      <c r="I361" s="678"/>
      <c r="J361" s="161"/>
      <c r="K361" s="159"/>
      <c r="L361" s="520"/>
    </row>
    <row r="362" spans="1:12" ht="24">
      <c r="A362" s="669"/>
      <c r="B362" s="624"/>
      <c r="C362" s="667"/>
      <c r="D362" s="667"/>
      <c r="E362" s="567"/>
      <c r="F362" s="616"/>
      <c r="G362" s="549"/>
      <c r="H362" s="161"/>
      <c r="I362" s="678"/>
      <c r="J362" s="161"/>
      <c r="K362" s="159"/>
      <c r="L362" s="520"/>
    </row>
    <row r="363" spans="1:12" ht="24">
      <c r="A363" s="669"/>
      <c r="B363" s="624"/>
      <c r="C363" s="667"/>
      <c r="D363" s="667"/>
      <c r="E363" s="567"/>
      <c r="F363" s="616"/>
      <c r="G363" s="549"/>
      <c r="H363" s="161"/>
      <c r="I363" s="678"/>
      <c r="J363" s="161"/>
      <c r="K363" s="159"/>
      <c r="L363" s="520"/>
    </row>
    <row r="364" spans="1:12" ht="24">
      <c r="A364" s="668"/>
      <c r="B364" s="624"/>
      <c r="C364" s="667"/>
      <c r="D364" s="667"/>
      <c r="E364" s="567"/>
      <c r="F364" s="616"/>
      <c r="G364" s="549"/>
      <c r="H364" s="161"/>
      <c r="I364" s="586"/>
      <c r="J364" s="161"/>
      <c r="K364" s="159"/>
      <c r="L364" s="510"/>
    </row>
    <row r="365" spans="1:12" ht="24.75" thickBot="1">
      <c r="A365" s="682"/>
      <c r="B365" s="683"/>
      <c r="C365" s="684"/>
      <c r="D365" s="684"/>
      <c r="E365" s="685"/>
      <c r="F365" s="601"/>
      <c r="G365" s="602"/>
      <c r="H365" s="603"/>
      <c r="I365" s="602"/>
      <c r="J365" s="603"/>
      <c r="K365" s="605"/>
      <c r="L365" s="606"/>
    </row>
    <row r="366" spans="1:12" ht="24.75" thickTop="1">
      <c r="A366" s="686"/>
      <c r="B366" s="2121" t="s">
        <v>1044</v>
      </c>
      <c r="C366" s="2122"/>
      <c r="D366" s="2123"/>
      <c r="E366" s="687"/>
      <c r="F366" s="609"/>
      <c r="G366" s="610"/>
      <c r="H366" s="688"/>
      <c r="I366" s="689"/>
      <c r="J366" s="688"/>
      <c r="K366" s="690"/>
      <c r="L366" s="691"/>
    </row>
    <row r="367" spans="1:12" ht="24">
      <c r="A367" s="692">
        <v>2.9</v>
      </c>
      <c r="B367" s="693" t="s">
        <v>715</v>
      </c>
      <c r="C367" s="694"/>
      <c r="D367" s="694"/>
      <c r="E367" s="580"/>
      <c r="F367" s="695"/>
      <c r="G367" s="696"/>
      <c r="H367" s="157"/>
      <c r="I367" s="589"/>
      <c r="J367" s="157"/>
      <c r="K367" s="158"/>
      <c r="L367" s="520"/>
    </row>
    <row r="368" spans="1:12" ht="24">
      <c r="A368" s="623" t="s">
        <v>1045</v>
      </c>
      <c r="B368" s="697" t="s">
        <v>1046</v>
      </c>
      <c r="C368" s="566"/>
      <c r="D368" s="566"/>
      <c r="E368" s="698"/>
      <c r="F368" s="616"/>
      <c r="G368" s="629"/>
      <c r="H368" s="699"/>
      <c r="I368" s="665"/>
      <c r="J368" s="699"/>
      <c r="K368" s="194"/>
      <c r="L368" s="356" t="s">
        <v>755</v>
      </c>
    </row>
    <row r="369" spans="1:12" ht="24">
      <c r="A369" s="623"/>
      <c r="B369" s="697" t="s">
        <v>1047</v>
      </c>
      <c r="C369" s="566"/>
      <c r="D369" s="566"/>
      <c r="E369" s="698"/>
      <c r="F369" s="616"/>
      <c r="G369" s="629"/>
      <c r="H369" s="699"/>
      <c r="I369" s="549"/>
      <c r="J369" s="699"/>
      <c r="K369" s="194"/>
      <c r="L369" s="700"/>
    </row>
    <row r="370" spans="1:12" ht="24">
      <c r="A370" s="623"/>
      <c r="B370" s="624" t="s">
        <v>134</v>
      </c>
      <c r="C370" s="566" t="s">
        <v>1048</v>
      </c>
      <c r="D370" s="566"/>
      <c r="E370" s="698"/>
      <c r="F370" s="616" t="s">
        <v>183</v>
      </c>
      <c r="G370" s="629"/>
      <c r="H370" s="699"/>
      <c r="I370" s="701"/>
      <c r="J370" s="699"/>
      <c r="K370" s="194"/>
      <c r="L370" s="700"/>
    </row>
    <row r="371" spans="1:12" ht="24">
      <c r="A371" s="623"/>
      <c r="B371" s="639" t="s">
        <v>134</v>
      </c>
      <c r="C371" s="566" t="s">
        <v>1049</v>
      </c>
      <c r="D371" s="566"/>
      <c r="E371" s="698"/>
      <c r="F371" s="616" t="s">
        <v>183</v>
      </c>
      <c r="G371" s="629"/>
      <c r="H371" s="699"/>
      <c r="I371" s="701"/>
      <c r="J371" s="699"/>
      <c r="K371" s="194"/>
      <c r="L371" s="700"/>
    </row>
    <row r="372" spans="1:12" ht="24">
      <c r="A372" s="623" t="s">
        <v>1050</v>
      </c>
      <c r="B372" s="702" t="s">
        <v>1051</v>
      </c>
      <c r="C372" s="566"/>
      <c r="D372" s="566"/>
      <c r="E372" s="698"/>
      <c r="F372" s="616" t="s">
        <v>183</v>
      </c>
      <c r="G372" s="629"/>
      <c r="H372" s="699"/>
      <c r="I372" s="701"/>
      <c r="J372" s="699"/>
      <c r="K372" s="194"/>
      <c r="L372" s="356" t="s">
        <v>755</v>
      </c>
    </row>
    <row r="373" spans="1:12" ht="24">
      <c r="A373" s="623"/>
      <c r="B373" s="697" t="s">
        <v>1047</v>
      </c>
      <c r="C373" s="566"/>
      <c r="D373" s="566"/>
      <c r="E373" s="698"/>
      <c r="F373" s="568"/>
      <c r="G373" s="549"/>
      <c r="H373" s="699"/>
      <c r="I373" s="549"/>
      <c r="J373" s="699"/>
      <c r="K373" s="194"/>
      <c r="L373" s="700"/>
    </row>
    <row r="374" spans="1:12" ht="24">
      <c r="A374" s="623" t="s">
        <v>1052</v>
      </c>
      <c r="B374" s="697" t="s">
        <v>1053</v>
      </c>
      <c r="C374" s="566"/>
      <c r="D374" s="566"/>
      <c r="E374" s="698"/>
      <c r="F374" s="616" t="s">
        <v>183</v>
      </c>
      <c r="G374" s="629"/>
      <c r="H374" s="699"/>
      <c r="I374" s="701"/>
      <c r="J374" s="699"/>
      <c r="K374" s="194"/>
      <c r="L374" s="356" t="s">
        <v>755</v>
      </c>
    </row>
    <row r="375" spans="1:12" ht="24">
      <c r="A375" s="623"/>
      <c r="B375" s="697" t="s">
        <v>1047</v>
      </c>
      <c r="C375" s="566"/>
      <c r="D375" s="566"/>
      <c r="E375" s="698"/>
      <c r="F375" s="568"/>
      <c r="G375" s="549"/>
      <c r="H375" s="699"/>
      <c r="I375" s="549"/>
      <c r="J375" s="699"/>
      <c r="K375" s="194"/>
      <c r="L375" s="700"/>
    </row>
    <row r="376" spans="1:12" s="515" customFormat="1" ht="24">
      <c r="A376" s="703" t="s">
        <v>1054</v>
      </c>
      <c r="B376" s="704" t="s">
        <v>1055</v>
      </c>
      <c r="C376" s="705"/>
      <c r="D376" s="705"/>
      <c r="E376" s="706"/>
      <c r="F376" s="707" t="s">
        <v>183</v>
      </c>
      <c r="G376" s="708"/>
      <c r="H376" s="161"/>
      <c r="I376" s="708"/>
      <c r="J376" s="161"/>
      <c r="K376" s="159"/>
      <c r="L376" s="547" t="s">
        <v>755</v>
      </c>
    </row>
    <row r="377" spans="1:12" ht="24">
      <c r="A377" s="709"/>
      <c r="B377" s="710" t="s">
        <v>1056</v>
      </c>
      <c r="C377" s="594"/>
      <c r="D377" s="594"/>
      <c r="E377" s="595"/>
      <c r="F377" s="616"/>
      <c r="G377" s="629"/>
      <c r="H377" s="161"/>
      <c r="I377" s="629"/>
      <c r="J377" s="161"/>
      <c r="K377" s="159"/>
      <c r="L377" s="591"/>
    </row>
    <row r="378" spans="1:12" ht="24">
      <c r="A378" s="709" t="s">
        <v>1057</v>
      </c>
      <c r="B378" s="711" t="s">
        <v>1058</v>
      </c>
      <c r="C378" s="594"/>
      <c r="D378" s="594"/>
      <c r="E378" s="595"/>
      <c r="F378" s="616" t="s">
        <v>1059</v>
      </c>
      <c r="G378" s="629"/>
      <c r="H378" s="161"/>
      <c r="I378" s="629"/>
      <c r="J378" s="161"/>
      <c r="K378" s="159"/>
      <c r="L378" s="591"/>
    </row>
    <row r="379" spans="1:12" ht="24">
      <c r="A379" s="709" t="s">
        <v>1060</v>
      </c>
      <c r="B379" s="711" t="s">
        <v>1061</v>
      </c>
      <c r="C379" s="594"/>
      <c r="D379" s="594"/>
      <c r="E379" s="595"/>
      <c r="F379" s="616" t="s">
        <v>1059</v>
      </c>
      <c r="G379" s="629"/>
      <c r="H379" s="161"/>
      <c r="I379" s="629"/>
      <c r="J379" s="161"/>
      <c r="K379" s="159"/>
      <c r="L379" s="591"/>
    </row>
    <row r="380" spans="1:12" ht="24">
      <c r="A380" s="709" t="s">
        <v>1062</v>
      </c>
      <c r="B380" s="711" t="s">
        <v>1063</v>
      </c>
      <c r="C380" s="594"/>
      <c r="D380" s="594"/>
      <c r="E380" s="595"/>
      <c r="F380" s="616" t="s">
        <v>1059</v>
      </c>
      <c r="G380" s="629"/>
      <c r="H380" s="161"/>
      <c r="I380" s="629"/>
      <c r="J380" s="161"/>
      <c r="K380" s="159"/>
      <c r="L380" s="591"/>
    </row>
    <row r="381" spans="1:12" ht="24">
      <c r="A381" s="709" t="s">
        <v>1064</v>
      </c>
      <c r="B381" s="711" t="s">
        <v>1065</v>
      </c>
      <c r="C381" s="594"/>
      <c r="D381" s="594"/>
      <c r="E381" s="595"/>
      <c r="F381" s="616" t="s">
        <v>1059</v>
      </c>
      <c r="G381" s="629"/>
      <c r="H381" s="161"/>
      <c r="I381" s="629"/>
      <c r="J381" s="161"/>
      <c r="K381" s="159"/>
      <c r="L381" s="591"/>
    </row>
    <row r="382" spans="1:12" ht="24">
      <c r="A382" s="709" t="s">
        <v>1066</v>
      </c>
      <c r="B382" s="711" t="s">
        <v>1067</v>
      </c>
      <c r="C382" s="594"/>
      <c r="D382" s="594"/>
      <c r="E382" s="595"/>
      <c r="F382" s="616" t="s">
        <v>184</v>
      </c>
      <c r="G382" s="629"/>
      <c r="H382" s="161"/>
      <c r="I382" s="629"/>
      <c r="J382" s="161"/>
      <c r="K382" s="159"/>
      <c r="L382" s="591"/>
    </row>
    <row r="383" spans="1:12" ht="24">
      <c r="A383" s="709" t="s">
        <v>1068</v>
      </c>
      <c r="B383" s="711" t="s">
        <v>1069</v>
      </c>
      <c r="C383" s="594"/>
      <c r="D383" s="594"/>
      <c r="E383" s="595"/>
      <c r="F383" s="616" t="s">
        <v>184</v>
      </c>
      <c r="G383" s="629"/>
      <c r="H383" s="161"/>
      <c r="I383" s="629"/>
      <c r="J383" s="161"/>
      <c r="K383" s="159"/>
      <c r="L383" s="591"/>
    </row>
    <row r="384" spans="1:12" ht="24">
      <c r="A384" s="709" t="s">
        <v>1070</v>
      </c>
      <c r="B384" s="711" t="s">
        <v>1071</v>
      </c>
      <c r="C384" s="594"/>
      <c r="D384" s="594"/>
      <c r="E384" s="595"/>
      <c r="F384" s="616" t="s">
        <v>184</v>
      </c>
      <c r="G384" s="629"/>
      <c r="H384" s="161"/>
      <c r="I384" s="629"/>
      <c r="J384" s="161"/>
      <c r="K384" s="159"/>
      <c r="L384" s="591"/>
    </row>
    <row r="385" spans="1:12" ht="24">
      <c r="A385" s="623" t="s">
        <v>1072</v>
      </c>
      <c r="B385" s="697" t="s">
        <v>1073</v>
      </c>
      <c r="C385" s="566"/>
      <c r="D385" s="566"/>
      <c r="E385" s="567"/>
      <c r="F385" s="568" t="s">
        <v>183</v>
      </c>
      <c r="G385" s="549"/>
      <c r="H385" s="161"/>
      <c r="I385" s="549"/>
      <c r="J385" s="161"/>
      <c r="K385" s="159"/>
      <c r="L385" s="546" t="s">
        <v>1074</v>
      </c>
    </row>
    <row r="386" spans="1:12" ht="24">
      <c r="A386" s="623" t="s">
        <v>1075</v>
      </c>
      <c r="B386" s="670" t="s">
        <v>1010</v>
      </c>
      <c r="C386" s="579"/>
      <c r="D386" s="579"/>
      <c r="E386" s="712"/>
      <c r="F386" s="616" t="s">
        <v>184</v>
      </c>
      <c r="G386" s="549"/>
      <c r="H386" s="161"/>
      <c r="I386" s="156"/>
      <c r="J386" s="161"/>
      <c r="K386" s="159"/>
      <c r="L386" s="520"/>
    </row>
    <row r="387" spans="1:12" ht="24">
      <c r="A387" s="713"/>
      <c r="B387" s="676" t="s">
        <v>1011</v>
      </c>
      <c r="C387" s="573"/>
      <c r="D387" s="573"/>
      <c r="E387" s="714"/>
      <c r="F387" s="575"/>
      <c r="G387" s="588"/>
      <c r="H387" s="533"/>
      <c r="I387" s="532"/>
      <c r="J387" s="533"/>
      <c r="K387" s="534"/>
      <c r="L387" s="577"/>
    </row>
    <row r="388" spans="1:12" ht="24">
      <c r="A388" s="627" t="s">
        <v>1076</v>
      </c>
      <c r="B388" s="702" t="s">
        <v>1077</v>
      </c>
      <c r="C388" s="579"/>
      <c r="D388" s="579"/>
      <c r="E388" s="712"/>
      <c r="F388" s="674" t="s">
        <v>184</v>
      </c>
      <c r="G388" s="589"/>
      <c r="H388" s="157"/>
      <c r="I388" s="156"/>
      <c r="J388" s="157"/>
      <c r="K388" s="158"/>
      <c r="L388" s="520"/>
    </row>
    <row r="389" spans="1:12" ht="24">
      <c r="A389" s="623" t="s">
        <v>1076</v>
      </c>
      <c r="B389" s="702" t="s">
        <v>1078</v>
      </c>
      <c r="C389" s="579"/>
      <c r="D389" s="579"/>
      <c r="E389" s="580"/>
      <c r="F389" s="616" t="s">
        <v>184</v>
      </c>
      <c r="G389" s="549"/>
      <c r="H389" s="161"/>
      <c r="I389" s="156"/>
      <c r="J389" s="161"/>
      <c r="K389" s="159"/>
      <c r="L389" s="520"/>
    </row>
    <row r="390" spans="1:12" ht="24">
      <c r="A390" s="627" t="s">
        <v>1079</v>
      </c>
      <c r="B390" s="702" t="s">
        <v>1080</v>
      </c>
      <c r="C390" s="579"/>
      <c r="D390" s="579"/>
      <c r="E390" s="580"/>
      <c r="F390" s="568" t="s">
        <v>184</v>
      </c>
      <c r="G390" s="589"/>
      <c r="H390" s="161"/>
      <c r="I390" s="156"/>
      <c r="J390" s="161"/>
      <c r="K390" s="159"/>
      <c r="L390" s="520"/>
    </row>
    <row r="391" spans="1:12" ht="24">
      <c r="A391" s="627" t="s">
        <v>1081</v>
      </c>
      <c r="B391" s="715" t="s">
        <v>1082</v>
      </c>
      <c r="C391" s="579"/>
      <c r="D391" s="579"/>
      <c r="E391" s="580"/>
      <c r="F391" s="568" t="s">
        <v>184</v>
      </c>
      <c r="G391" s="589"/>
      <c r="H391" s="161"/>
      <c r="I391" s="156"/>
      <c r="J391" s="161"/>
      <c r="K391" s="159"/>
      <c r="L391" s="520"/>
    </row>
    <row r="392" spans="1:12" ht="24">
      <c r="A392" s="627"/>
      <c r="B392" s="716" t="s">
        <v>1083</v>
      </c>
      <c r="C392" s="579"/>
      <c r="D392" s="579"/>
      <c r="E392" s="580"/>
      <c r="F392" s="568"/>
      <c r="G392" s="589"/>
      <c r="H392" s="161"/>
      <c r="I392" s="156"/>
      <c r="J392" s="161"/>
      <c r="K392" s="159"/>
      <c r="L392" s="520"/>
    </row>
    <row r="393" spans="1:12" ht="24">
      <c r="A393" s="627" t="s">
        <v>1084</v>
      </c>
      <c r="B393" s="667" t="s">
        <v>1085</v>
      </c>
      <c r="C393" s="579"/>
      <c r="D393" s="579"/>
      <c r="E393" s="580"/>
      <c r="F393" s="568" t="s">
        <v>184</v>
      </c>
      <c r="G393" s="582"/>
      <c r="H393" s="161"/>
      <c r="I393" s="569"/>
      <c r="J393" s="161"/>
      <c r="K393" s="159"/>
      <c r="L393" s="520"/>
    </row>
    <row r="394" spans="1:12" s="515" customFormat="1" ht="24">
      <c r="A394" s="627" t="s">
        <v>1086</v>
      </c>
      <c r="B394" s="702" t="s">
        <v>1087</v>
      </c>
      <c r="C394" s="579"/>
      <c r="D394" s="579"/>
      <c r="E394" s="717"/>
      <c r="F394" s="568" t="s">
        <v>184</v>
      </c>
      <c r="G394" s="718"/>
      <c r="H394" s="699"/>
      <c r="I394" s="549"/>
      <c r="J394" s="699"/>
      <c r="K394" s="194"/>
      <c r="L394" s="520"/>
    </row>
    <row r="395" spans="1:12" ht="24">
      <c r="A395" s="627"/>
      <c r="B395" s="702"/>
      <c r="C395" s="579"/>
      <c r="D395" s="579"/>
      <c r="E395" s="580"/>
      <c r="F395" s="568"/>
      <c r="G395" s="589"/>
      <c r="H395" s="161"/>
      <c r="I395" s="549"/>
      <c r="J395" s="161"/>
      <c r="K395" s="159"/>
      <c r="L395" s="520"/>
    </row>
    <row r="396" spans="1:12" ht="24">
      <c r="A396" s="627"/>
      <c r="B396" s="715"/>
      <c r="C396" s="579"/>
      <c r="D396" s="579"/>
      <c r="E396" s="580"/>
      <c r="F396" s="568"/>
      <c r="G396" s="589"/>
      <c r="H396" s="161"/>
      <c r="I396" s="549"/>
      <c r="J396" s="161"/>
      <c r="K396" s="159"/>
      <c r="L396" s="520"/>
    </row>
    <row r="397" spans="1:12" ht="24">
      <c r="A397" s="627"/>
      <c r="B397" s="716"/>
      <c r="C397" s="579"/>
      <c r="D397" s="579"/>
      <c r="E397" s="580"/>
      <c r="F397" s="568"/>
      <c r="G397" s="589"/>
      <c r="H397" s="161"/>
      <c r="I397" s="549"/>
      <c r="J397" s="161"/>
      <c r="K397" s="159"/>
      <c r="L397" s="520"/>
    </row>
    <row r="398" spans="1:12" ht="24">
      <c r="A398" s="627"/>
      <c r="B398" s="702"/>
      <c r="C398" s="579"/>
      <c r="D398" s="579"/>
      <c r="E398" s="580"/>
      <c r="F398" s="568"/>
      <c r="G398" s="589"/>
      <c r="H398" s="161"/>
      <c r="I398" s="549"/>
      <c r="J398" s="161"/>
      <c r="K398" s="159"/>
      <c r="L398" s="520"/>
    </row>
    <row r="399" spans="1:12" ht="24">
      <c r="A399" s="627"/>
      <c r="B399" s="702"/>
      <c r="C399" s="579"/>
      <c r="D399" s="579"/>
      <c r="E399" s="580"/>
      <c r="F399" s="568"/>
      <c r="G399" s="589"/>
      <c r="H399" s="161"/>
      <c r="I399" s="549"/>
      <c r="J399" s="161"/>
      <c r="K399" s="159"/>
      <c r="L399" s="520"/>
    </row>
    <row r="400" spans="1:12" ht="24">
      <c r="A400" s="627"/>
      <c r="B400" s="702"/>
      <c r="C400" s="579"/>
      <c r="D400" s="579"/>
      <c r="E400" s="580"/>
      <c r="F400" s="568"/>
      <c r="G400" s="589"/>
      <c r="H400" s="161"/>
      <c r="I400" s="549"/>
      <c r="J400" s="161"/>
      <c r="K400" s="159"/>
      <c r="L400" s="520"/>
    </row>
    <row r="401" spans="1:12" ht="24">
      <c r="A401" s="627"/>
      <c r="B401" s="702"/>
      <c r="C401" s="579"/>
      <c r="D401" s="579"/>
      <c r="E401" s="580"/>
      <c r="F401" s="568"/>
      <c r="G401" s="589"/>
      <c r="H401" s="161"/>
      <c r="I401" s="549"/>
      <c r="J401" s="161"/>
      <c r="K401" s="159"/>
      <c r="L401" s="520"/>
    </row>
    <row r="402" spans="1:12" ht="24">
      <c r="A402" s="627"/>
      <c r="B402" s="702"/>
      <c r="C402" s="579"/>
      <c r="D402" s="579"/>
      <c r="E402" s="580"/>
      <c r="F402" s="568"/>
      <c r="G402" s="589"/>
      <c r="H402" s="161"/>
      <c r="I402" s="549"/>
      <c r="J402" s="161"/>
      <c r="K402" s="159"/>
      <c r="L402" s="520"/>
    </row>
    <row r="403" spans="1:12" ht="24">
      <c r="A403" s="627"/>
      <c r="B403" s="702"/>
      <c r="C403" s="579"/>
      <c r="D403" s="579"/>
      <c r="E403" s="580"/>
      <c r="F403" s="568"/>
      <c r="G403" s="589"/>
      <c r="H403" s="161"/>
      <c r="I403" s="549"/>
      <c r="J403" s="161"/>
      <c r="K403" s="159"/>
      <c r="L403" s="520"/>
    </row>
    <row r="404" spans="1:12" ht="24">
      <c r="A404" s="627"/>
      <c r="B404" s="702"/>
      <c r="C404" s="579"/>
      <c r="D404" s="579"/>
      <c r="E404" s="580"/>
      <c r="F404" s="568"/>
      <c r="G404" s="589"/>
      <c r="H404" s="161"/>
      <c r="I404" s="549"/>
      <c r="J404" s="161"/>
      <c r="K404" s="159"/>
      <c r="L404" s="520"/>
    </row>
    <row r="405" spans="1:12" ht="24">
      <c r="A405" s="627"/>
      <c r="B405" s="702"/>
      <c r="C405" s="579"/>
      <c r="D405" s="579"/>
      <c r="E405" s="580"/>
      <c r="F405" s="568"/>
      <c r="G405" s="589"/>
      <c r="H405" s="161"/>
      <c r="I405" s="549"/>
      <c r="J405" s="161"/>
      <c r="K405" s="159"/>
      <c r="L405" s="520"/>
    </row>
    <row r="406" spans="1:12" ht="24">
      <c r="A406" s="627"/>
      <c r="B406" s="702"/>
      <c r="C406" s="579"/>
      <c r="D406" s="579"/>
      <c r="E406" s="580"/>
      <c r="F406" s="568"/>
      <c r="G406" s="589"/>
      <c r="H406" s="161"/>
      <c r="I406" s="549"/>
      <c r="J406" s="161"/>
      <c r="K406" s="159"/>
      <c r="L406" s="520"/>
    </row>
    <row r="407" spans="1:12" ht="24.75" thickBot="1">
      <c r="A407" s="719"/>
      <c r="B407" s="720"/>
      <c r="C407" s="721"/>
      <c r="D407" s="722"/>
      <c r="E407" s="723"/>
      <c r="F407" s="674"/>
      <c r="G407" s="650"/>
      <c r="H407" s="157"/>
      <c r="I407" s="589"/>
      <c r="J407" s="157"/>
      <c r="K407" s="158"/>
      <c r="L407" s="724"/>
    </row>
    <row r="408" spans="1:12" ht="24.75" thickTop="1">
      <c r="A408" s="686"/>
      <c r="B408" s="2121" t="s">
        <v>1088</v>
      </c>
      <c r="C408" s="2122"/>
      <c r="D408" s="2123"/>
      <c r="E408" s="687"/>
      <c r="F408" s="609"/>
      <c r="G408" s="610"/>
      <c r="H408" s="725"/>
      <c r="I408" s="726"/>
      <c r="J408" s="725"/>
      <c r="K408" s="690"/>
      <c r="L408" s="727"/>
    </row>
    <row r="409" spans="1:12">
      <c r="E409" s="728"/>
    </row>
    <row r="410" spans="1:12">
      <c r="E410" s="728"/>
    </row>
    <row r="411" spans="1:12">
      <c r="E411" s="728"/>
    </row>
    <row r="412" spans="1:12">
      <c r="E412" s="728"/>
    </row>
    <row r="413" spans="1:12">
      <c r="E413" s="728"/>
    </row>
  </sheetData>
  <mergeCells count="26">
    <mergeCell ref="B93:D93"/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1:D31"/>
    <mergeCell ref="B51:D51"/>
    <mergeCell ref="B52:D52"/>
    <mergeCell ref="B240:D240"/>
    <mergeCell ref="B303:D303"/>
    <mergeCell ref="B366:D366"/>
    <mergeCell ref="B408:D408"/>
    <mergeCell ref="B94:D94"/>
    <mergeCell ref="B114:D114"/>
    <mergeCell ref="B115:D115"/>
    <mergeCell ref="B135:D135"/>
    <mergeCell ref="B136:D136"/>
    <mergeCell ref="B156:D156"/>
  </mergeCells>
  <pageMargins left="0.31496062992125984" right="0.15748031496062992" top="0.31496062992125984" bottom="0.35433070866141736" header="0.27559055118110237" footer="0.15748031496062992"/>
  <pageSetup paperSize="9" scale="80" orientation="landscape" r:id="rId1"/>
  <headerFooter>
    <oddHeader xml:space="preserve">&amp;Rแผ่นที่ &amp;P ใน &amp;N แผ่น          </oddHeader>
    <oddFooter xml:space="preserve">&amp;Rงานสถาปัตยกรรม - อาคารส่วนบริการและกิจกรรม     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2"/>
  <sheetViews>
    <sheetView showGridLines="0" view="pageBreakPreview" topLeftCell="B1" zoomScaleNormal="90" zoomScaleSheetLayoutView="100" workbookViewId="0">
      <selection activeCell="H20" sqref="H20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2.5703125" style="361" customWidth="1"/>
    <col min="5" max="5" width="9.85546875" style="361" customWidth="1"/>
    <col min="6" max="6" width="8.710937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22" style="361" customWidth="1"/>
    <col min="13" max="16384" width="9.140625" style="361"/>
  </cols>
  <sheetData>
    <row r="1" spans="1:12" ht="26.25">
      <c r="E1" s="88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1089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1090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30"/>
      <c r="L4" s="213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2.7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730" t="s">
        <v>38</v>
      </c>
      <c r="L8" s="1992" t="s">
        <v>13</v>
      </c>
    </row>
    <row r="9" spans="1:12" ht="27" customHeight="1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731" t="s">
        <v>41</v>
      </c>
      <c r="L9" s="1993"/>
    </row>
    <row r="10" spans="1:12" ht="24.75" thickTop="1">
      <c r="A10" s="732">
        <v>3</v>
      </c>
      <c r="B10" s="2118" t="s">
        <v>1091</v>
      </c>
      <c r="C10" s="2119"/>
      <c r="D10" s="2120"/>
      <c r="E10" s="733"/>
      <c r="F10" s="734"/>
      <c r="G10" s="735"/>
      <c r="H10" s="736"/>
      <c r="I10" s="735"/>
      <c r="J10" s="736"/>
      <c r="K10" s="737"/>
      <c r="L10" s="738"/>
    </row>
    <row r="11" spans="1:12" ht="24">
      <c r="A11" s="407">
        <f>A31</f>
        <v>3.1</v>
      </c>
      <c r="B11" s="739" t="str">
        <f>B31</f>
        <v>ระบบน้ำประปา (Cold Water Supply System)</v>
      </c>
      <c r="C11" s="740"/>
      <c r="D11" s="741"/>
      <c r="E11" s="742"/>
      <c r="F11" s="742" t="s">
        <v>182</v>
      </c>
      <c r="G11" s="743"/>
      <c r="H11" s="744"/>
      <c r="I11" s="745"/>
      <c r="J11" s="744"/>
      <c r="K11" s="746"/>
      <c r="L11" s="747"/>
    </row>
    <row r="12" spans="1:12" ht="24">
      <c r="A12" s="416">
        <f>A78</f>
        <v>3.2</v>
      </c>
      <c r="B12" s="748" t="str">
        <f>B78</f>
        <v>ระบบระบายน้ำโสโครก น้ำทิ้ง ระบายอากาศและท่อน้ำทิ้งจากห้องครัว</v>
      </c>
      <c r="C12" s="749"/>
      <c r="D12" s="741"/>
      <c r="E12" s="742"/>
      <c r="F12" s="742" t="s">
        <v>182</v>
      </c>
      <c r="G12" s="743"/>
      <c r="H12" s="744"/>
      <c r="I12" s="745"/>
      <c r="J12" s="744"/>
      <c r="K12" s="746"/>
      <c r="L12" s="750"/>
    </row>
    <row r="13" spans="1:12" ht="24">
      <c r="A13" s="416" t="str">
        <f>A97</f>
        <v>3.3</v>
      </c>
      <c r="B13" s="2150" t="s">
        <v>1092</v>
      </c>
      <c r="C13" s="2151"/>
      <c r="D13" s="2152"/>
      <c r="E13" s="742"/>
      <c r="F13" s="742" t="s">
        <v>182</v>
      </c>
      <c r="G13" s="743"/>
      <c r="H13" s="744"/>
      <c r="I13" s="745"/>
      <c r="J13" s="744"/>
      <c r="K13" s="746"/>
      <c r="L13" s="750"/>
    </row>
    <row r="14" spans="1:12" ht="24">
      <c r="A14" s="416"/>
      <c r="B14" s="2141" t="s">
        <v>1093</v>
      </c>
      <c r="C14" s="2142"/>
      <c r="D14" s="2143"/>
      <c r="E14" s="742"/>
      <c r="F14" s="742"/>
      <c r="G14" s="743"/>
      <c r="H14" s="744"/>
      <c r="I14" s="745"/>
      <c r="J14" s="744"/>
      <c r="K14" s="746"/>
      <c r="L14" s="750"/>
    </row>
    <row r="15" spans="1:12" ht="24">
      <c r="A15" s="416" t="str">
        <f>A124</f>
        <v>3.4</v>
      </c>
      <c r="B15" s="751" t="str">
        <f>B124</f>
        <v>ระบบแก๊สหุงต้ม (Gas System)</v>
      </c>
      <c r="C15" s="749"/>
      <c r="D15" s="752"/>
      <c r="E15" s="742"/>
      <c r="F15" s="742" t="s">
        <v>182</v>
      </c>
      <c r="G15" s="743"/>
      <c r="H15" s="744"/>
      <c r="I15" s="745"/>
      <c r="J15" s="744"/>
      <c r="K15" s="746"/>
      <c r="L15" s="750"/>
    </row>
    <row r="16" spans="1:12" ht="24" customHeight="1">
      <c r="A16" s="416" t="str">
        <f>A136</f>
        <v>3.5</v>
      </c>
      <c r="B16" s="2153" t="s">
        <v>1094</v>
      </c>
      <c r="C16" s="2154"/>
      <c r="D16" s="2155"/>
      <c r="E16" s="742"/>
      <c r="F16" s="742" t="s">
        <v>182</v>
      </c>
      <c r="G16" s="743"/>
      <c r="H16" s="744"/>
      <c r="I16" s="745"/>
      <c r="J16" s="744"/>
      <c r="K16" s="746"/>
      <c r="L16" s="750"/>
    </row>
    <row r="17" spans="1:12" ht="24">
      <c r="A17" s="416"/>
      <c r="B17" s="2156" t="s">
        <v>1095</v>
      </c>
      <c r="C17" s="2157"/>
      <c r="D17" s="2158"/>
      <c r="E17" s="742"/>
      <c r="F17" s="742"/>
      <c r="G17" s="743"/>
      <c r="H17" s="753"/>
      <c r="I17" s="754"/>
      <c r="J17" s="753"/>
      <c r="K17" s="746"/>
      <c r="L17" s="750"/>
    </row>
    <row r="18" spans="1:12" ht="24">
      <c r="A18" s="416" t="str">
        <f>A148</f>
        <v>3.6</v>
      </c>
      <c r="B18" s="751" t="str">
        <f>B148</f>
        <v>ระบบไฟฟ้าและควบคุม (Electrical &amp; Control System)</v>
      </c>
      <c r="C18" s="749"/>
      <c r="D18" s="752"/>
      <c r="E18" s="742"/>
      <c r="F18" s="742" t="s">
        <v>182</v>
      </c>
      <c r="G18" s="743"/>
      <c r="H18" s="744"/>
      <c r="I18" s="745"/>
      <c r="J18" s="744"/>
      <c r="K18" s="746"/>
      <c r="L18" s="750"/>
    </row>
    <row r="19" spans="1:12" ht="24">
      <c r="A19" s="416">
        <f>A232</f>
        <v>3.7</v>
      </c>
      <c r="B19" s="751" t="str">
        <f>B232</f>
        <v>ระบบดับเพลิง และป้องกันอัคคีภัย</v>
      </c>
      <c r="C19" s="749"/>
      <c r="D19" s="752"/>
      <c r="E19" s="742"/>
      <c r="F19" s="742" t="s">
        <v>182</v>
      </c>
      <c r="G19" s="743"/>
      <c r="H19" s="744"/>
      <c r="I19" s="745"/>
      <c r="J19" s="744"/>
      <c r="K19" s="746"/>
      <c r="L19" s="750"/>
    </row>
    <row r="20" spans="1:12" ht="24">
      <c r="A20" s="416" t="str">
        <f>A277</f>
        <v>3.8</v>
      </c>
      <c r="B20" s="751" t="str">
        <f>B277</f>
        <v>ระบบป้องกันไฟและควันลาม (Fire Barrier System)</v>
      </c>
      <c r="C20" s="749"/>
      <c r="D20" s="752"/>
      <c r="E20" s="742"/>
      <c r="F20" s="742" t="s">
        <v>182</v>
      </c>
      <c r="G20" s="743"/>
      <c r="H20" s="744"/>
      <c r="I20" s="745"/>
      <c r="J20" s="744"/>
      <c r="K20" s="746"/>
      <c r="L20" s="750"/>
    </row>
    <row r="21" spans="1:12" ht="24">
      <c r="A21" s="755"/>
      <c r="B21" s="756"/>
      <c r="C21" s="749"/>
      <c r="D21" s="752"/>
      <c r="E21" s="757"/>
      <c r="F21" s="742"/>
      <c r="G21" s="743"/>
      <c r="H21" s="753"/>
      <c r="I21" s="745"/>
      <c r="J21" s="753"/>
      <c r="K21" s="758"/>
      <c r="L21" s="750"/>
    </row>
    <row r="22" spans="1:12" ht="24">
      <c r="A22" s="755"/>
      <c r="B22" s="756"/>
      <c r="C22" s="749"/>
      <c r="D22" s="752"/>
      <c r="E22" s="757"/>
      <c r="F22" s="742"/>
      <c r="G22" s="743"/>
      <c r="H22" s="753"/>
      <c r="I22" s="745"/>
      <c r="J22" s="753"/>
      <c r="K22" s="758"/>
      <c r="L22" s="750"/>
    </row>
    <row r="23" spans="1:12" ht="24">
      <c r="A23" s="755"/>
      <c r="B23" s="756"/>
      <c r="C23" s="749"/>
      <c r="D23" s="752"/>
      <c r="E23" s="757"/>
      <c r="F23" s="742"/>
      <c r="G23" s="743"/>
      <c r="H23" s="753"/>
      <c r="I23" s="745"/>
      <c r="J23" s="753"/>
      <c r="K23" s="758"/>
      <c r="L23" s="750"/>
    </row>
    <row r="24" spans="1:12" ht="24">
      <c r="A24" s="755"/>
      <c r="B24" s="756"/>
      <c r="C24" s="749"/>
      <c r="D24" s="752"/>
      <c r="E24" s="757"/>
      <c r="F24" s="742"/>
      <c r="G24" s="743"/>
      <c r="H24" s="753"/>
      <c r="I24" s="745"/>
      <c r="J24" s="753"/>
      <c r="K24" s="758"/>
      <c r="L24" s="750"/>
    </row>
    <row r="25" spans="1:12" ht="24">
      <c r="A25" s="416"/>
      <c r="B25" s="756"/>
      <c r="C25" s="749"/>
      <c r="D25" s="752"/>
      <c r="E25" s="757"/>
      <c r="F25" s="742"/>
      <c r="G25" s="743"/>
      <c r="H25" s="753"/>
      <c r="I25" s="745"/>
      <c r="J25" s="753"/>
      <c r="K25" s="758"/>
      <c r="L25" s="750"/>
    </row>
    <row r="26" spans="1:12" ht="24">
      <c r="A26" s="416"/>
      <c r="B26" s="756"/>
      <c r="C26" s="749"/>
      <c r="D26" s="752"/>
      <c r="E26" s="757"/>
      <c r="F26" s="742"/>
      <c r="G26" s="743"/>
      <c r="H26" s="753"/>
      <c r="I26" s="745"/>
      <c r="J26" s="753"/>
      <c r="K26" s="758"/>
      <c r="L26" s="750"/>
    </row>
    <row r="27" spans="1:12" ht="24">
      <c r="A27" s="416"/>
      <c r="B27" s="756"/>
      <c r="C27" s="749"/>
      <c r="D27" s="752"/>
      <c r="E27" s="757"/>
      <c r="F27" s="742"/>
      <c r="G27" s="743"/>
      <c r="H27" s="753"/>
      <c r="I27" s="745"/>
      <c r="J27" s="753"/>
      <c r="K27" s="758"/>
      <c r="L27" s="750"/>
    </row>
    <row r="28" spans="1:12" ht="24">
      <c r="A28" s="426"/>
      <c r="B28" s="756"/>
      <c r="C28" s="749"/>
      <c r="D28" s="752"/>
      <c r="E28" s="757"/>
      <c r="F28" s="742"/>
      <c r="G28" s="743"/>
      <c r="H28" s="753"/>
      <c r="I28" s="745"/>
      <c r="J28" s="753"/>
      <c r="K28" s="758"/>
      <c r="L28" s="750"/>
    </row>
    <row r="29" spans="1:12" ht="24.75" thickBot="1">
      <c r="A29" s="426"/>
      <c r="B29" s="756"/>
      <c r="C29" s="749"/>
      <c r="D29" s="752"/>
      <c r="E29" s="757"/>
      <c r="F29" s="742"/>
      <c r="G29" s="743"/>
      <c r="H29" s="753"/>
      <c r="I29" s="745"/>
      <c r="J29" s="753"/>
      <c r="K29" s="758"/>
      <c r="L29" s="750"/>
    </row>
    <row r="30" spans="1:12" ht="24.75" thickTop="1">
      <c r="A30" s="427"/>
      <c r="B30" s="2147" t="s">
        <v>69</v>
      </c>
      <c r="C30" s="2148"/>
      <c r="D30" s="2149"/>
      <c r="E30" s="759"/>
      <c r="F30" s="760"/>
      <c r="G30" s="761"/>
      <c r="H30" s="762"/>
      <c r="I30" s="763"/>
      <c r="J30" s="762"/>
      <c r="K30" s="764"/>
      <c r="L30" s="765"/>
    </row>
    <row r="31" spans="1:12" ht="24">
      <c r="A31" s="766">
        <v>3.1</v>
      </c>
      <c r="B31" s="767" t="s">
        <v>1096</v>
      </c>
      <c r="C31" s="768"/>
      <c r="D31" s="769"/>
      <c r="E31" s="770"/>
      <c r="F31" s="770"/>
      <c r="G31" s="743"/>
      <c r="H31" s="753"/>
      <c r="I31" s="745"/>
      <c r="J31" s="753"/>
      <c r="K31" s="758"/>
      <c r="L31" s="771"/>
    </row>
    <row r="32" spans="1:12" ht="24">
      <c r="A32" s="772" t="s">
        <v>1097</v>
      </c>
      <c r="B32" s="773" t="s">
        <v>1098</v>
      </c>
      <c r="C32" s="774"/>
      <c r="D32" s="775"/>
      <c r="E32" s="776"/>
      <c r="F32" s="776"/>
      <c r="G32" s="183"/>
      <c r="H32" s="777"/>
      <c r="I32" s="778"/>
      <c r="J32" s="777"/>
      <c r="K32" s="779"/>
      <c r="L32" s="780"/>
    </row>
    <row r="33" spans="1:12" ht="24">
      <c r="A33" s="772"/>
      <c r="B33" s="773" t="s">
        <v>1099</v>
      </c>
      <c r="C33" s="774"/>
      <c r="D33" s="775"/>
      <c r="E33" s="776"/>
      <c r="F33" s="781" t="s">
        <v>185</v>
      </c>
      <c r="G33" s="2133"/>
      <c r="H33" s="2134"/>
      <c r="I33" s="778"/>
      <c r="J33" s="744"/>
      <c r="K33" s="746"/>
      <c r="L33" s="780"/>
    </row>
    <row r="34" spans="1:12" ht="24">
      <c r="A34" s="772" t="s">
        <v>1100</v>
      </c>
      <c r="B34" s="773" t="s">
        <v>1101</v>
      </c>
      <c r="C34" s="774"/>
      <c r="D34" s="775"/>
      <c r="E34" s="776"/>
      <c r="F34" s="776"/>
      <c r="G34" s="183"/>
      <c r="H34" s="744"/>
      <c r="I34" s="778"/>
      <c r="J34" s="744"/>
      <c r="K34" s="746"/>
      <c r="L34" s="780"/>
    </row>
    <row r="35" spans="1:12" ht="24">
      <c r="A35" s="772"/>
      <c r="B35" s="773" t="s">
        <v>1102</v>
      </c>
      <c r="C35" s="774"/>
      <c r="D35" s="775"/>
      <c r="E35" s="776"/>
      <c r="F35" s="781" t="s">
        <v>185</v>
      </c>
      <c r="G35" s="2133"/>
      <c r="H35" s="2134"/>
      <c r="I35" s="778"/>
      <c r="J35" s="744"/>
      <c r="K35" s="746"/>
      <c r="L35" s="780"/>
    </row>
    <row r="36" spans="1:12" ht="24">
      <c r="A36" s="782" t="s">
        <v>1103</v>
      </c>
      <c r="B36" s="749" t="s">
        <v>1104</v>
      </c>
      <c r="C36" s="783"/>
      <c r="D36" s="784"/>
      <c r="E36" s="770"/>
      <c r="F36" s="742" t="s">
        <v>185</v>
      </c>
      <c r="G36" s="743"/>
      <c r="H36" s="744"/>
      <c r="I36" s="745"/>
      <c r="J36" s="744"/>
      <c r="K36" s="746"/>
      <c r="L36" s="771"/>
    </row>
    <row r="37" spans="1:12" ht="24">
      <c r="A37" s="785" t="s">
        <v>1105</v>
      </c>
      <c r="B37" s="749" t="s">
        <v>1106</v>
      </c>
      <c r="C37" s="749"/>
      <c r="D37" s="741"/>
      <c r="E37" s="742"/>
      <c r="F37" s="742"/>
      <c r="G37" s="786"/>
      <c r="H37" s="744"/>
      <c r="I37" s="745"/>
      <c r="J37" s="744"/>
      <c r="K37" s="746"/>
      <c r="L37" s="787"/>
    </row>
    <row r="38" spans="1:12" ht="24">
      <c r="A38" s="788"/>
      <c r="B38" s="749" t="s">
        <v>1107</v>
      </c>
      <c r="C38" s="749"/>
      <c r="D38" s="741"/>
      <c r="E38" s="742"/>
      <c r="F38" s="789"/>
      <c r="G38" s="790"/>
      <c r="H38" s="744"/>
      <c r="I38" s="791"/>
      <c r="J38" s="744"/>
      <c r="K38" s="746"/>
      <c r="L38" s="787"/>
    </row>
    <row r="39" spans="1:12" ht="24">
      <c r="A39" s="788"/>
      <c r="B39" s="749" t="s">
        <v>1108</v>
      </c>
      <c r="C39" s="749"/>
      <c r="D39" s="741"/>
      <c r="E39" s="742"/>
      <c r="F39" s="789" t="s">
        <v>1109</v>
      </c>
      <c r="G39" s="754"/>
      <c r="H39" s="744"/>
      <c r="I39" s="754"/>
      <c r="J39" s="744"/>
      <c r="K39" s="746"/>
      <c r="L39" s="787"/>
    </row>
    <row r="40" spans="1:12" ht="24">
      <c r="A40" s="788"/>
      <c r="B40" s="749" t="s">
        <v>1110</v>
      </c>
      <c r="C40" s="749"/>
      <c r="D40" s="741"/>
      <c r="E40" s="742"/>
      <c r="F40" s="789" t="s">
        <v>1109</v>
      </c>
      <c r="G40" s="754"/>
      <c r="H40" s="744"/>
      <c r="I40" s="754"/>
      <c r="J40" s="744"/>
      <c r="K40" s="746"/>
      <c r="L40" s="787"/>
    </row>
    <row r="41" spans="1:12" ht="24">
      <c r="A41" s="788"/>
      <c r="B41" s="749" t="s">
        <v>1111</v>
      </c>
      <c r="C41" s="749"/>
      <c r="D41" s="741"/>
      <c r="E41" s="742"/>
      <c r="F41" s="789" t="s">
        <v>1112</v>
      </c>
      <c r="G41" s="754"/>
      <c r="H41" s="744"/>
      <c r="I41" s="754"/>
      <c r="J41" s="744"/>
      <c r="K41" s="746"/>
      <c r="L41" s="787"/>
    </row>
    <row r="42" spans="1:12" ht="24">
      <c r="A42" s="788"/>
      <c r="B42" s="749" t="s">
        <v>1113</v>
      </c>
      <c r="C42" s="749"/>
      <c r="D42" s="741"/>
      <c r="E42" s="742"/>
      <c r="F42" s="789" t="s">
        <v>1112</v>
      </c>
      <c r="G42" s="754"/>
      <c r="H42" s="744"/>
      <c r="I42" s="791"/>
      <c r="J42" s="744"/>
      <c r="K42" s="746"/>
      <c r="L42" s="787"/>
    </row>
    <row r="43" spans="1:12" ht="24">
      <c r="A43" s="785" t="s">
        <v>1114</v>
      </c>
      <c r="B43" s="749" t="s">
        <v>1115</v>
      </c>
      <c r="C43" s="749"/>
      <c r="D43" s="741"/>
      <c r="E43" s="742"/>
      <c r="F43" s="789"/>
      <c r="G43" s="790"/>
      <c r="H43" s="744"/>
      <c r="I43" s="791"/>
      <c r="J43" s="744"/>
      <c r="K43" s="746"/>
      <c r="L43" s="787"/>
    </row>
    <row r="44" spans="1:12" ht="24">
      <c r="A44" s="785"/>
      <c r="B44" s="749" t="s">
        <v>1116</v>
      </c>
      <c r="C44" s="749"/>
      <c r="D44" s="741"/>
      <c r="E44" s="742"/>
      <c r="F44" s="789" t="s">
        <v>1109</v>
      </c>
      <c r="G44" s="754"/>
      <c r="H44" s="744"/>
      <c r="I44" s="754"/>
      <c r="J44" s="744"/>
      <c r="K44" s="746"/>
      <c r="L44" s="787"/>
    </row>
    <row r="45" spans="1:12" ht="24">
      <c r="A45" s="788"/>
      <c r="B45" s="749" t="s">
        <v>1117</v>
      </c>
      <c r="C45" s="749"/>
      <c r="D45" s="741"/>
      <c r="E45" s="742"/>
      <c r="F45" s="789" t="s">
        <v>1109</v>
      </c>
      <c r="G45" s="754"/>
      <c r="H45" s="744"/>
      <c r="I45" s="754"/>
      <c r="J45" s="744"/>
      <c r="K45" s="746"/>
      <c r="L45" s="787"/>
    </row>
    <row r="46" spans="1:12" ht="24">
      <c r="A46" s="788"/>
      <c r="B46" s="749" t="s">
        <v>1118</v>
      </c>
      <c r="C46" s="749"/>
      <c r="D46" s="741"/>
      <c r="E46" s="742"/>
      <c r="F46" s="789" t="s">
        <v>1109</v>
      </c>
      <c r="G46" s="754"/>
      <c r="H46" s="744"/>
      <c r="I46" s="754"/>
      <c r="J46" s="744"/>
      <c r="K46" s="746"/>
      <c r="L46" s="787"/>
    </row>
    <row r="47" spans="1:12" ht="24">
      <c r="A47" s="788"/>
      <c r="B47" s="749" t="s">
        <v>1119</v>
      </c>
      <c r="C47" s="749"/>
      <c r="D47" s="741"/>
      <c r="E47" s="742"/>
      <c r="F47" s="789" t="s">
        <v>1109</v>
      </c>
      <c r="G47" s="754"/>
      <c r="H47" s="744"/>
      <c r="I47" s="754"/>
      <c r="J47" s="744"/>
      <c r="K47" s="746"/>
      <c r="L47" s="787"/>
    </row>
    <row r="48" spans="1:12" ht="24">
      <c r="A48" s="788"/>
      <c r="B48" s="749" t="s">
        <v>1120</v>
      </c>
      <c r="C48" s="749"/>
      <c r="D48" s="741"/>
      <c r="E48" s="742"/>
      <c r="F48" s="789" t="s">
        <v>1109</v>
      </c>
      <c r="G48" s="754"/>
      <c r="H48" s="744"/>
      <c r="I48" s="754"/>
      <c r="J48" s="744"/>
      <c r="K48" s="746"/>
      <c r="L48" s="787"/>
    </row>
    <row r="49" spans="1:12" ht="24">
      <c r="A49" s="788"/>
      <c r="B49" s="749" t="s">
        <v>1121</v>
      </c>
      <c r="C49" s="749"/>
      <c r="D49" s="741"/>
      <c r="E49" s="742"/>
      <c r="F49" s="789" t="s">
        <v>1109</v>
      </c>
      <c r="G49" s="754"/>
      <c r="H49" s="744"/>
      <c r="I49" s="754"/>
      <c r="J49" s="744"/>
      <c r="K49" s="746"/>
      <c r="L49" s="787"/>
    </row>
    <row r="50" spans="1:12" ht="24">
      <c r="A50" s="785"/>
      <c r="B50" s="749" t="s">
        <v>1122</v>
      </c>
      <c r="C50" s="792"/>
      <c r="D50" s="793"/>
      <c r="E50" s="794"/>
      <c r="F50" s="789" t="s">
        <v>1109</v>
      </c>
      <c r="G50" s="790"/>
      <c r="H50" s="744"/>
      <c r="I50" s="791"/>
      <c r="J50" s="744"/>
      <c r="K50" s="746"/>
      <c r="L50" s="795"/>
    </row>
    <row r="51" spans="1:12" ht="24">
      <c r="A51" s="796"/>
      <c r="B51" s="797" t="s">
        <v>1113</v>
      </c>
      <c r="C51" s="798"/>
      <c r="D51" s="799"/>
      <c r="E51" s="800"/>
      <c r="F51" s="801" t="s">
        <v>1112</v>
      </c>
      <c r="G51" s="802"/>
      <c r="H51" s="803"/>
      <c r="I51" s="804"/>
      <c r="J51" s="803"/>
      <c r="K51" s="805"/>
      <c r="L51" s="806"/>
    </row>
    <row r="52" spans="1:12" ht="24">
      <c r="A52" s="807" t="s">
        <v>1123</v>
      </c>
      <c r="B52" s="783" t="s">
        <v>1124</v>
      </c>
      <c r="C52" s="808"/>
      <c r="D52" s="809"/>
      <c r="E52" s="810"/>
      <c r="F52" s="811"/>
      <c r="G52" s="812"/>
      <c r="H52" s="813"/>
      <c r="I52" s="812"/>
      <c r="J52" s="813"/>
      <c r="K52" s="814"/>
      <c r="L52" s="815"/>
    </row>
    <row r="53" spans="1:12" ht="24">
      <c r="A53" s="788"/>
      <c r="B53" s="749" t="s">
        <v>1118</v>
      </c>
      <c r="C53" s="792"/>
      <c r="D53" s="793"/>
      <c r="E53" s="794"/>
      <c r="F53" s="742" t="s">
        <v>185</v>
      </c>
      <c r="G53" s="754"/>
      <c r="H53" s="744"/>
      <c r="I53" s="754"/>
      <c r="J53" s="744"/>
      <c r="K53" s="746"/>
      <c r="L53" s="795"/>
    </row>
    <row r="54" spans="1:12" ht="24">
      <c r="A54" s="788"/>
      <c r="B54" s="749" t="s">
        <v>1119</v>
      </c>
      <c r="C54" s="792"/>
      <c r="D54" s="793"/>
      <c r="E54" s="794"/>
      <c r="F54" s="742" t="s">
        <v>185</v>
      </c>
      <c r="G54" s="754"/>
      <c r="H54" s="744"/>
      <c r="I54" s="754"/>
      <c r="J54" s="744"/>
      <c r="K54" s="746"/>
      <c r="L54" s="795"/>
    </row>
    <row r="55" spans="1:12" ht="24">
      <c r="A55" s="788"/>
      <c r="B55" s="749" t="s">
        <v>1120</v>
      </c>
      <c r="C55" s="792"/>
      <c r="D55" s="793"/>
      <c r="E55" s="794"/>
      <c r="F55" s="742" t="s">
        <v>185</v>
      </c>
      <c r="G55" s="754"/>
      <c r="H55" s="744"/>
      <c r="I55" s="754"/>
      <c r="J55" s="744"/>
      <c r="K55" s="746"/>
      <c r="L55" s="795"/>
    </row>
    <row r="56" spans="1:12" ht="24">
      <c r="A56" s="788"/>
      <c r="B56" s="749" t="s">
        <v>1121</v>
      </c>
      <c r="C56" s="792"/>
      <c r="D56" s="793"/>
      <c r="E56" s="794"/>
      <c r="F56" s="742" t="s">
        <v>185</v>
      </c>
      <c r="G56" s="754"/>
      <c r="H56" s="744"/>
      <c r="I56" s="754"/>
      <c r="J56" s="744"/>
      <c r="K56" s="746"/>
      <c r="L56" s="795"/>
    </row>
    <row r="57" spans="1:12" ht="24">
      <c r="A57" s="788"/>
      <c r="B57" s="749" t="s">
        <v>1122</v>
      </c>
      <c r="C57" s="792"/>
      <c r="D57" s="793"/>
      <c r="E57" s="794"/>
      <c r="F57" s="742" t="s">
        <v>185</v>
      </c>
      <c r="G57" s="754"/>
      <c r="H57" s="744"/>
      <c r="I57" s="754"/>
      <c r="J57" s="744"/>
      <c r="K57" s="746"/>
      <c r="L57" s="795"/>
    </row>
    <row r="58" spans="1:12" ht="24">
      <c r="A58" s="788"/>
      <c r="B58" s="749" t="s">
        <v>1125</v>
      </c>
      <c r="C58" s="792"/>
      <c r="D58" s="793"/>
      <c r="E58" s="794"/>
      <c r="F58" s="742" t="s">
        <v>185</v>
      </c>
      <c r="G58" s="754"/>
      <c r="H58" s="744"/>
      <c r="I58" s="754"/>
      <c r="J58" s="744"/>
      <c r="K58" s="746"/>
      <c r="L58" s="795"/>
    </row>
    <row r="59" spans="1:12" ht="24">
      <c r="A59" s="785" t="s">
        <v>1126</v>
      </c>
      <c r="B59" s="749" t="s">
        <v>1127</v>
      </c>
      <c r="C59" s="792"/>
      <c r="D59" s="793"/>
      <c r="E59" s="794"/>
      <c r="F59" s="789"/>
      <c r="G59" s="754"/>
      <c r="H59" s="744"/>
      <c r="I59" s="754"/>
      <c r="J59" s="744"/>
      <c r="K59" s="746"/>
      <c r="L59" s="795"/>
    </row>
    <row r="60" spans="1:12" ht="24">
      <c r="A60" s="788"/>
      <c r="B60" s="749" t="s">
        <v>1122</v>
      </c>
      <c r="C60" s="792"/>
      <c r="D60" s="793"/>
      <c r="E60" s="794"/>
      <c r="F60" s="742" t="s">
        <v>185</v>
      </c>
      <c r="G60" s="754"/>
      <c r="H60" s="744"/>
      <c r="I60" s="754"/>
      <c r="J60" s="744"/>
      <c r="K60" s="746"/>
      <c r="L60" s="795"/>
    </row>
    <row r="61" spans="1:12" ht="24">
      <c r="A61" s="788"/>
      <c r="B61" s="749" t="s">
        <v>1125</v>
      </c>
      <c r="C61" s="792"/>
      <c r="D61" s="793"/>
      <c r="E61" s="794"/>
      <c r="F61" s="742" t="s">
        <v>185</v>
      </c>
      <c r="G61" s="754"/>
      <c r="H61" s="744"/>
      <c r="I61" s="754"/>
      <c r="J61" s="744"/>
      <c r="K61" s="746"/>
      <c r="L61" s="795"/>
    </row>
    <row r="62" spans="1:12" ht="24">
      <c r="A62" s="785" t="s">
        <v>1128</v>
      </c>
      <c r="B62" s="749" t="s">
        <v>1129</v>
      </c>
      <c r="C62" s="792"/>
      <c r="D62" s="793"/>
      <c r="E62" s="794"/>
      <c r="F62" s="789"/>
      <c r="G62" s="754"/>
      <c r="H62" s="744"/>
      <c r="I62" s="754"/>
      <c r="J62" s="744"/>
      <c r="K62" s="746"/>
      <c r="L62" s="795"/>
    </row>
    <row r="63" spans="1:12" ht="24">
      <c r="A63" s="788"/>
      <c r="B63" s="749" t="s">
        <v>1119</v>
      </c>
      <c r="C63" s="792"/>
      <c r="D63" s="793"/>
      <c r="E63" s="794"/>
      <c r="F63" s="742" t="s">
        <v>185</v>
      </c>
      <c r="G63" s="754"/>
      <c r="H63" s="744"/>
      <c r="I63" s="754"/>
      <c r="J63" s="744"/>
      <c r="K63" s="746"/>
      <c r="L63" s="795"/>
    </row>
    <row r="64" spans="1:12" ht="24">
      <c r="A64" s="788"/>
      <c r="B64" s="749" t="s">
        <v>1121</v>
      </c>
      <c r="C64" s="792"/>
      <c r="D64" s="793"/>
      <c r="E64" s="794"/>
      <c r="F64" s="742" t="s">
        <v>185</v>
      </c>
      <c r="G64" s="754"/>
      <c r="H64" s="744"/>
      <c r="I64" s="754"/>
      <c r="J64" s="744"/>
      <c r="K64" s="746"/>
      <c r="L64" s="795"/>
    </row>
    <row r="65" spans="1:12" ht="24">
      <c r="A65" s="788"/>
      <c r="B65" s="749" t="s">
        <v>1122</v>
      </c>
      <c r="C65" s="792"/>
      <c r="D65" s="793"/>
      <c r="E65" s="794"/>
      <c r="F65" s="742" t="s">
        <v>185</v>
      </c>
      <c r="G65" s="754"/>
      <c r="H65" s="744"/>
      <c r="I65" s="754"/>
      <c r="J65" s="744"/>
      <c r="K65" s="746"/>
      <c r="L65" s="795"/>
    </row>
    <row r="66" spans="1:12" ht="24">
      <c r="A66" s="785" t="s">
        <v>1130</v>
      </c>
      <c r="B66" s="749" t="s">
        <v>1131</v>
      </c>
      <c r="C66" s="792"/>
      <c r="D66" s="793"/>
      <c r="E66" s="794"/>
      <c r="F66" s="789"/>
      <c r="G66" s="754"/>
      <c r="H66" s="744"/>
      <c r="I66" s="754"/>
      <c r="J66" s="744"/>
      <c r="K66" s="746"/>
      <c r="L66" s="795"/>
    </row>
    <row r="67" spans="1:12" ht="24">
      <c r="A67" s="788"/>
      <c r="B67" s="749" t="s">
        <v>1118</v>
      </c>
      <c r="C67" s="792"/>
      <c r="D67" s="793"/>
      <c r="E67" s="794"/>
      <c r="F67" s="742" t="s">
        <v>185</v>
      </c>
      <c r="G67" s="754"/>
      <c r="H67" s="744"/>
      <c r="I67" s="754"/>
      <c r="J67" s="744"/>
      <c r="K67" s="746"/>
      <c r="L67" s="795"/>
    </row>
    <row r="68" spans="1:12" ht="24">
      <c r="A68" s="788" t="s">
        <v>1132</v>
      </c>
      <c r="B68" s="773" t="s">
        <v>1133</v>
      </c>
      <c r="C68" s="816"/>
      <c r="D68" s="817"/>
      <c r="E68" s="818"/>
      <c r="F68" s="781" t="s">
        <v>185</v>
      </c>
      <c r="G68" s="819"/>
      <c r="H68" s="744"/>
      <c r="I68" s="819"/>
      <c r="J68" s="744"/>
      <c r="K68" s="746"/>
      <c r="L68" s="820"/>
    </row>
    <row r="69" spans="1:12" ht="24">
      <c r="A69" s="788" t="s">
        <v>1134</v>
      </c>
      <c r="B69" s="773" t="s">
        <v>1135</v>
      </c>
      <c r="C69" s="816"/>
      <c r="D69" s="817"/>
      <c r="E69" s="818"/>
      <c r="F69" s="781" t="s">
        <v>185</v>
      </c>
      <c r="G69" s="819"/>
      <c r="H69" s="744"/>
      <c r="I69" s="819"/>
      <c r="J69" s="744"/>
      <c r="K69" s="746"/>
      <c r="L69" s="820"/>
    </row>
    <row r="70" spans="1:12" ht="24">
      <c r="A70" s="788" t="s">
        <v>1136</v>
      </c>
      <c r="B70" s="773" t="s">
        <v>1137</v>
      </c>
      <c r="C70" s="816"/>
      <c r="D70" s="817"/>
      <c r="E70" s="818"/>
      <c r="F70" s="781" t="s">
        <v>185</v>
      </c>
      <c r="G70" s="819"/>
      <c r="H70" s="744"/>
      <c r="I70" s="819"/>
      <c r="J70" s="744"/>
      <c r="K70" s="746"/>
      <c r="L70" s="820"/>
    </row>
    <row r="71" spans="1:12" ht="24">
      <c r="A71" s="788" t="s">
        <v>1138</v>
      </c>
      <c r="B71" s="749" t="s">
        <v>1139</v>
      </c>
      <c r="C71" s="792"/>
      <c r="D71" s="793"/>
      <c r="E71" s="794"/>
      <c r="F71" s="789"/>
      <c r="G71" s="754"/>
      <c r="H71" s="744"/>
      <c r="I71" s="754"/>
      <c r="J71" s="744"/>
      <c r="K71" s="746"/>
      <c r="L71" s="795"/>
    </row>
    <row r="72" spans="1:12" ht="24">
      <c r="A72" s="796"/>
      <c r="B72" s="797" t="s">
        <v>1116</v>
      </c>
      <c r="C72" s="798"/>
      <c r="D72" s="799"/>
      <c r="E72" s="821"/>
      <c r="F72" s="800" t="s">
        <v>185</v>
      </c>
      <c r="G72" s="802"/>
      <c r="H72" s="803"/>
      <c r="I72" s="802"/>
      <c r="J72" s="803"/>
      <c r="K72" s="805"/>
      <c r="L72" s="806"/>
    </row>
    <row r="73" spans="1:12" ht="24">
      <c r="A73" s="807" t="s">
        <v>1140</v>
      </c>
      <c r="B73" s="783" t="s">
        <v>1141</v>
      </c>
      <c r="C73" s="808"/>
      <c r="D73" s="809"/>
      <c r="E73" s="810"/>
      <c r="F73" s="811" t="s">
        <v>1112</v>
      </c>
      <c r="G73" s="812"/>
      <c r="H73" s="813"/>
      <c r="I73" s="812"/>
      <c r="J73" s="813"/>
      <c r="K73" s="814"/>
      <c r="L73" s="815"/>
    </row>
    <row r="74" spans="1:12" ht="24">
      <c r="A74" s="785" t="s">
        <v>1142</v>
      </c>
      <c r="B74" s="749" t="s">
        <v>1143</v>
      </c>
      <c r="C74" s="792"/>
      <c r="D74" s="793"/>
      <c r="E74" s="794"/>
      <c r="F74" s="789" t="s">
        <v>1112</v>
      </c>
      <c r="G74" s="754"/>
      <c r="H74" s="744"/>
      <c r="I74" s="812"/>
      <c r="J74" s="744"/>
      <c r="K74" s="746"/>
      <c r="L74" s="795"/>
    </row>
    <row r="75" spans="1:12" ht="24">
      <c r="A75" s="785"/>
      <c r="B75" s="792" t="s">
        <v>1144</v>
      </c>
      <c r="C75" s="792"/>
      <c r="D75" s="793"/>
      <c r="E75" s="794"/>
      <c r="F75" s="789"/>
      <c r="G75" s="754"/>
      <c r="H75" s="744"/>
      <c r="I75" s="754"/>
      <c r="J75" s="744"/>
      <c r="K75" s="746"/>
      <c r="L75" s="795"/>
    </row>
    <row r="76" spans="1:12" ht="24.75" thickBot="1">
      <c r="A76" s="785"/>
      <c r="B76" s="792"/>
      <c r="C76" s="792"/>
      <c r="D76" s="793"/>
      <c r="E76" s="794"/>
      <c r="F76" s="789"/>
      <c r="G76" s="754"/>
      <c r="H76" s="744"/>
      <c r="I76" s="754"/>
      <c r="J76" s="744"/>
      <c r="K76" s="746"/>
      <c r="L76" s="795"/>
    </row>
    <row r="77" spans="1:12" ht="24.75" thickTop="1">
      <c r="A77" s="427"/>
      <c r="B77" s="2135" t="s">
        <v>1145</v>
      </c>
      <c r="C77" s="2136"/>
      <c r="D77" s="2137"/>
      <c r="E77" s="822"/>
      <c r="F77" s="760"/>
      <c r="G77" s="823"/>
      <c r="H77" s="762"/>
      <c r="I77" s="763"/>
      <c r="J77" s="762"/>
      <c r="K77" s="762"/>
      <c r="L77" s="824"/>
    </row>
    <row r="78" spans="1:12" ht="24">
      <c r="A78" s="766">
        <v>3.2</v>
      </c>
      <c r="B78" s="749" t="s">
        <v>1146</v>
      </c>
      <c r="C78" s="792"/>
      <c r="D78" s="793"/>
      <c r="E78" s="794"/>
      <c r="F78" s="789"/>
      <c r="G78" s="790"/>
      <c r="H78" s="744"/>
      <c r="I78" s="791"/>
      <c r="J78" s="744"/>
      <c r="K78" s="746"/>
      <c r="L78" s="795"/>
    </row>
    <row r="79" spans="1:12" ht="24">
      <c r="A79" s="785" t="s">
        <v>1147</v>
      </c>
      <c r="B79" s="749" t="s">
        <v>1115</v>
      </c>
      <c r="C79" s="792"/>
      <c r="D79" s="793"/>
      <c r="E79" s="794"/>
      <c r="F79" s="789"/>
      <c r="G79" s="790"/>
      <c r="H79" s="744"/>
      <c r="I79" s="791"/>
      <c r="J79" s="744"/>
      <c r="K79" s="746"/>
      <c r="L79" s="795"/>
    </row>
    <row r="80" spans="1:12" ht="24">
      <c r="A80" s="788"/>
      <c r="B80" s="749" t="s">
        <v>1125</v>
      </c>
      <c r="C80" s="792"/>
      <c r="D80" s="793"/>
      <c r="E80" s="794"/>
      <c r="F80" s="789" t="s">
        <v>1109</v>
      </c>
      <c r="G80" s="754"/>
      <c r="H80" s="744"/>
      <c r="I80" s="754"/>
      <c r="J80" s="744"/>
      <c r="K80" s="746"/>
      <c r="L80" s="795"/>
    </row>
    <row r="81" spans="1:12" ht="24">
      <c r="A81" s="788"/>
      <c r="B81" s="749" t="s">
        <v>1148</v>
      </c>
      <c r="C81" s="792"/>
      <c r="D81" s="793"/>
      <c r="E81" s="794"/>
      <c r="F81" s="789" t="s">
        <v>1109</v>
      </c>
      <c r="G81" s="754"/>
      <c r="H81" s="744"/>
      <c r="I81" s="754"/>
      <c r="J81" s="744"/>
      <c r="K81" s="746"/>
      <c r="L81" s="795"/>
    </row>
    <row r="82" spans="1:12" ht="24">
      <c r="A82" s="785" t="s">
        <v>1149</v>
      </c>
      <c r="B82" s="749" t="s">
        <v>1150</v>
      </c>
      <c r="C82" s="792"/>
      <c r="D82" s="793"/>
      <c r="E82" s="794"/>
      <c r="F82" s="789"/>
      <c r="G82" s="754"/>
      <c r="H82" s="744"/>
      <c r="I82" s="754"/>
      <c r="J82" s="744"/>
      <c r="K82" s="746"/>
      <c r="L82" s="795"/>
    </row>
    <row r="83" spans="1:12" ht="24">
      <c r="A83" s="788"/>
      <c r="B83" s="749" t="s">
        <v>1151</v>
      </c>
      <c r="C83" s="792"/>
      <c r="D83" s="793"/>
      <c r="E83" s="794"/>
      <c r="F83" s="789" t="s">
        <v>1109</v>
      </c>
      <c r="G83" s="754"/>
      <c r="H83" s="744"/>
      <c r="I83" s="754"/>
      <c r="J83" s="744"/>
      <c r="K83" s="746"/>
      <c r="L83" s="795"/>
    </row>
    <row r="84" spans="1:12" ht="24">
      <c r="A84" s="788"/>
      <c r="B84" s="749" t="s">
        <v>1120</v>
      </c>
      <c r="C84" s="792"/>
      <c r="D84" s="793"/>
      <c r="E84" s="794"/>
      <c r="F84" s="789" t="s">
        <v>1109</v>
      </c>
      <c r="G84" s="754"/>
      <c r="H84" s="744"/>
      <c r="I84" s="754"/>
      <c r="J84" s="744"/>
      <c r="K84" s="746"/>
      <c r="L84" s="795"/>
    </row>
    <row r="85" spans="1:12" ht="24">
      <c r="A85" s="788"/>
      <c r="B85" s="749" t="s">
        <v>1148</v>
      </c>
      <c r="C85" s="792"/>
      <c r="D85" s="793"/>
      <c r="E85" s="794"/>
      <c r="F85" s="789" t="s">
        <v>1109</v>
      </c>
      <c r="G85" s="802"/>
      <c r="H85" s="744"/>
      <c r="I85" s="802"/>
      <c r="J85" s="744"/>
      <c r="K85" s="746"/>
      <c r="L85" s="795"/>
    </row>
    <row r="86" spans="1:12" ht="24">
      <c r="A86" s="785" t="s">
        <v>1152</v>
      </c>
      <c r="B86" s="749" t="s">
        <v>1153</v>
      </c>
      <c r="C86" s="792"/>
      <c r="D86" s="793"/>
      <c r="E86" s="794"/>
      <c r="F86" s="789"/>
      <c r="G86" s="754"/>
      <c r="H86" s="744"/>
      <c r="I86" s="754"/>
      <c r="J86" s="744"/>
      <c r="K86" s="746"/>
      <c r="L86" s="795"/>
    </row>
    <row r="87" spans="1:12" ht="24">
      <c r="A87" s="785"/>
      <c r="B87" s="749" t="s">
        <v>1118</v>
      </c>
      <c r="C87" s="792"/>
      <c r="D87" s="793"/>
      <c r="E87" s="794"/>
      <c r="F87" s="789" t="s">
        <v>1109</v>
      </c>
      <c r="G87" s="819"/>
      <c r="H87" s="744"/>
      <c r="I87" s="819"/>
      <c r="J87" s="744"/>
      <c r="K87" s="746"/>
      <c r="L87" s="795"/>
    </row>
    <row r="88" spans="1:12" ht="24">
      <c r="A88" s="788"/>
      <c r="B88" s="749" t="s">
        <v>1148</v>
      </c>
      <c r="C88" s="792"/>
      <c r="D88" s="793"/>
      <c r="E88" s="794"/>
      <c r="F88" s="789" t="s">
        <v>1109</v>
      </c>
      <c r="G88" s="754"/>
      <c r="H88" s="744"/>
      <c r="I88" s="754"/>
      <c r="J88" s="744"/>
      <c r="K88" s="746"/>
      <c r="L88" s="795"/>
    </row>
    <row r="89" spans="1:12" ht="24">
      <c r="A89" s="788"/>
      <c r="B89" s="749" t="s">
        <v>1113</v>
      </c>
      <c r="C89" s="792"/>
      <c r="D89" s="793"/>
      <c r="E89" s="742"/>
      <c r="F89" s="789" t="s">
        <v>1112</v>
      </c>
      <c r="G89" s="754"/>
      <c r="H89" s="744"/>
      <c r="I89" s="791"/>
      <c r="J89" s="744"/>
      <c r="K89" s="746"/>
      <c r="L89" s="795"/>
    </row>
    <row r="90" spans="1:12" ht="24">
      <c r="A90" s="785" t="s">
        <v>1154</v>
      </c>
      <c r="B90" s="749" t="s">
        <v>1155</v>
      </c>
      <c r="C90" s="792"/>
      <c r="D90" s="793"/>
      <c r="E90" s="794"/>
      <c r="F90" s="789"/>
      <c r="G90" s="754"/>
      <c r="H90" s="744"/>
      <c r="I90" s="754"/>
      <c r="J90" s="744"/>
      <c r="K90" s="746"/>
      <c r="L90" s="795"/>
    </row>
    <row r="91" spans="1:12" ht="24">
      <c r="A91" s="788"/>
      <c r="B91" s="749" t="s">
        <v>1120</v>
      </c>
      <c r="C91" s="792"/>
      <c r="D91" s="793"/>
      <c r="E91" s="794"/>
      <c r="F91" s="742" t="s">
        <v>185</v>
      </c>
      <c r="G91" s="754"/>
      <c r="H91" s="744"/>
      <c r="I91" s="754"/>
      <c r="J91" s="744"/>
      <c r="K91" s="746"/>
      <c r="L91" s="795"/>
    </row>
    <row r="92" spans="1:12" ht="24">
      <c r="A92" s="788"/>
      <c r="B92" s="749" t="s">
        <v>1125</v>
      </c>
      <c r="C92" s="792"/>
      <c r="D92" s="793"/>
      <c r="E92" s="794"/>
      <c r="F92" s="742" t="s">
        <v>185</v>
      </c>
      <c r="G92" s="754"/>
      <c r="H92" s="744"/>
      <c r="I92" s="754"/>
      <c r="J92" s="744"/>
      <c r="K92" s="746"/>
      <c r="L92" s="795"/>
    </row>
    <row r="93" spans="1:12" ht="24">
      <c r="A93" s="796"/>
      <c r="B93" s="797" t="s">
        <v>1148</v>
      </c>
      <c r="C93" s="798"/>
      <c r="D93" s="799"/>
      <c r="E93" s="821"/>
      <c r="F93" s="800" t="s">
        <v>185</v>
      </c>
      <c r="G93" s="802"/>
      <c r="H93" s="803"/>
      <c r="I93" s="802"/>
      <c r="J93" s="803"/>
      <c r="K93" s="805"/>
      <c r="L93" s="806"/>
    </row>
    <row r="94" spans="1:12" ht="24">
      <c r="A94" s="825"/>
      <c r="B94" s="808" t="s">
        <v>1144</v>
      </c>
      <c r="C94" s="808"/>
      <c r="D94" s="809"/>
      <c r="E94" s="810"/>
      <c r="F94" s="811"/>
      <c r="G94" s="826"/>
      <c r="H94" s="813"/>
      <c r="I94" s="827"/>
      <c r="J94" s="813"/>
      <c r="K94" s="814"/>
      <c r="L94" s="815"/>
    </row>
    <row r="95" spans="1:12" ht="24.75" thickBot="1">
      <c r="A95" s="788"/>
      <c r="B95" s="828"/>
      <c r="C95" s="792"/>
      <c r="D95" s="793"/>
      <c r="E95" s="794"/>
      <c r="F95" s="789"/>
      <c r="G95" s="790"/>
      <c r="H95" s="744"/>
      <c r="I95" s="791"/>
      <c r="J95" s="744"/>
      <c r="K95" s="746"/>
      <c r="L95" s="795"/>
    </row>
    <row r="96" spans="1:12" ht="24.75" thickTop="1">
      <c r="A96" s="427"/>
      <c r="B96" s="2135" t="s">
        <v>1156</v>
      </c>
      <c r="C96" s="2136"/>
      <c r="D96" s="2137"/>
      <c r="E96" s="822"/>
      <c r="F96" s="760"/>
      <c r="G96" s="823"/>
      <c r="H96" s="762"/>
      <c r="I96" s="763"/>
      <c r="J96" s="762"/>
      <c r="K96" s="762"/>
      <c r="L96" s="824"/>
    </row>
    <row r="97" spans="1:12" ht="24" customHeight="1">
      <c r="A97" s="829" t="s">
        <v>1157</v>
      </c>
      <c r="B97" s="2138" t="s">
        <v>1092</v>
      </c>
      <c r="C97" s="2139"/>
      <c r="D97" s="2140"/>
      <c r="E97" s="794"/>
      <c r="F97" s="789"/>
      <c r="G97" s="790"/>
      <c r="H97" s="744"/>
      <c r="I97" s="791"/>
      <c r="J97" s="744"/>
      <c r="K97" s="746"/>
      <c r="L97" s="795"/>
    </row>
    <row r="98" spans="1:12" ht="24">
      <c r="A98" s="426"/>
      <c r="B98" s="2141" t="s">
        <v>1093</v>
      </c>
      <c r="C98" s="2142"/>
      <c r="D98" s="2143"/>
      <c r="E98" s="794"/>
      <c r="F98" s="789"/>
      <c r="G98" s="790"/>
      <c r="H98" s="744"/>
      <c r="I98" s="791"/>
      <c r="J98" s="744"/>
      <c r="K98" s="746"/>
      <c r="L98" s="795"/>
    </row>
    <row r="99" spans="1:12" ht="24">
      <c r="A99" s="830" t="s">
        <v>1158</v>
      </c>
      <c r="B99" s="773" t="s">
        <v>1159</v>
      </c>
      <c r="C99" s="816"/>
      <c r="D99" s="817"/>
      <c r="E99" s="831"/>
      <c r="F99" s="789"/>
      <c r="G99" s="790"/>
      <c r="H99" s="744"/>
      <c r="I99" s="791"/>
      <c r="J99" s="744"/>
      <c r="K99" s="746"/>
      <c r="L99" s="832"/>
    </row>
    <row r="100" spans="1:12" ht="24">
      <c r="A100" s="833"/>
      <c r="B100" s="773" t="s">
        <v>1160</v>
      </c>
      <c r="C100" s="816"/>
      <c r="D100" s="817"/>
      <c r="E100" s="831"/>
      <c r="F100" s="781" t="s">
        <v>185</v>
      </c>
      <c r="G100" s="2133"/>
      <c r="H100" s="2134"/>
      <c r="I100" s="819"/>
      <c r="J100" s="744"/>
      <c r="K100" s="746"/>
      <c r="L100" s="831"/>
    </row>
    <row r="101" spans="1:12" ht="24">
      <c r="A101" s="449" t="s">
        <v>1161</v>
      </c>
      <c r="B101" s="749" t="s">
        <v>1115</v>
      </c>
      <c r="C101" s="792"/>
      <c r="D101" s="793"/>
      <c r="E101" s="794"/>
      <c r="F101" s="789"/>
      <c r="G101" s="754"/>
      <c r="H101" s="744"/>
      <c r="I101" s="754"/>
      <c r="J101" s="744"/>
      <c r="K101" s="746"/>
      <c r="L101" s="795"/>
    </row>
    <row r="102" spans="1:12" ht="24">
      <c r="A102" s="449"/>
      <c r="B102" s="749" t="s">
        <v>1162</v>
      </c>
      <c r="C102" s="792"/>
      <c r="D102" s="793"/>
      <c r="E102" s="794"/>
      <c r="F102" s="789" t="s">
        <v>1109</v>
      </c>
      <c r="G102" s="754"/>
      <c r="H102" s="744"/>
      <c r="I102" s="754"/>
      <c r="J102" s="744"/>
      <c r="K102" s="746"/>
      <c r="L102" s="795"/>
    </row>
    <row r="103" spans="1:12" ht="24">
      <c r="A103" s="449"/>
      <c r="B103" s="749" t="s">
        <v>1113</v>
      </c>
      <c r="C103" s="792"/>
      <c r="D103" s="793"/>
      <c r="E103" s="794"/>
      <c r="F103" s="789" t="s">
        <v>1112</v>
      </c>
      <c r="G103" s="754"/>
      <c r="H103" s="744"/>
      <c r="I103" s="754"/>
      <c r="J103" s="744"/>
      <c r="K103" s="746"/>
      <c r="L103" s="795"/>
    </row>
    <row r="104" spans="1:12" ht="24">
      <c r="A104" s="449" t="s">
        <v>1163</v>
      </c>
      <c r="B104" s="749" t="s">
        <v>1164</v>
      </c>
      <c r="C104" s="792"/>
      <c r="D104" s="793"/>
      <c r="E104" s="794"/>
      <c r="F104" s="789"/>
      <c r="G104" s="754"/>
      <c r="H104" s="744"/>
      <c r="I104" s="754"/>
      <c r="J104" s="744"/>
      <c r="K104" s="746"/>
      <c r="L104" s="795"/>
    </row>
    <row r="105" spans="1:12" ht="24">
      <c r="A105" s="449"/>
      <c r="B105" s="749" t="s">
        <v>1165</v>
      </c>
      <c r="C105" s="792"/>
      <c r="D105" s="793"/>
      <c r="E105" s="794"/>
      <c r="F105" s="789" t="s">
        <v>1109</v>
      </c>
      <c r="G105" s="754"/>
      <c r="H105" s="744"/>
      <c r="I105" s="754"/>
      <c r="J105" s="744"/>
      <c r="K105" s="746"/>
      <c r="L105" s="795"/>
    </row>
    <row r="106" spans="1:12" ht="24">
      <c r="A106" s="426"/>
      <c r="B106" s="749" t="s">
        <v>1166</v>
      </c>
      <c r="C106" s="792"/>
      <c r="D106" s="793"/>
      <c r="E106" s="794"/>
      <c r="F106" s="789" t="s">
        <v>1109</v>
      </c>
      <c r="G106" s="754"/>
      <c r="H106" s="744"/>
      <c r="I106" s="754"/>
      <c r="J106" s="744"/>
      <c r="K106" s="746"/>
      <c r="L106" s="795"/>
    </row>
    <row r="107" spans="1:12" ht="24">
      <c r="A107" s="426"/>
      <c r="B107" s="749" t="s">
        <v>1167</v>
      </c>
      <c r="C107" s="792"/>
      <c r="D107" s="793"/>
      <c r="E107" s="794"/>
      <c r="F107" s="789" t="s">
        <v>1109</v>
      </c>
      <c r="G107" s="754"/>
      <c r="H107" s="744"/>
      <c r="I107" s="754"/>
      <c r="J107" s="744"/>
      <c r="K107" s="746"/>
      <c r="L107" s="795"/>
    </row>
    <row r="108" spans="1:12" ht="24">
      <c r="A108" s="426"/>
      <c r="B108" s="749" t="s">
        <v>1168</v>
      </c>
      <c r="C108" s="792"/>
      <c r="D108" s="793"/>
      <c r="E108" s="742"/>
      <c r="F108" s="789" t="s">
        <v>1112</v>
      </c>
      <c r="G108" s="754"/>
      <c r="H108" s="744"/>
      <c r="I108" s="791"/>
      <c r="J108" s="744"/>
      <c r="K108" s="746"/>
      <c r="L108" s="795"/>
    </row>
    <row r="109" spans="1:12" ht="24">
      <c r="A109" s="449" t="s">
        <v>1169</v>
      </c>
      <c r="B109" s="749" t="s">
        <v>1170</v>
      </c>
      <c r="C109" s="792"/>
      <c r="D109" s="793"/>
      <c r="E109" s="794"/>
      <c r="F109" s="789"/>
      <c r="G109" s="754"/>
      <c r="H109" s="744"/>
      <c r="I109" s="754"/>
      <c r="J109" s="744"/>
      <c r="K109" s="746"/>
      <c r="L109" s="795"/>
    </row>
    <row r="110" spans="1:12" ht="24">
      <c r="A110" s="449"/>
      <c r="B110" s="749" t="s">
        <v>1162</v>
      </c>
      <c r="C110" s="792"/>
      <c r="D110" s="793"/>
      <c r="E110" s="794"/>
      <c r="F110" s="742" t="s">
        <v>185</v>
      </c>
      <c r="G110" s="754"/>
      <c r="H110" s="744"/>
      <c r="I110" s="754"/>
      <c r="J110" s="744"/>
      <c r="K110" s="746"/>
      <c r="L110" s="795"/>
    </row>
    <row r="111" spans="1:12" ht="24">
      <c r="A111" s="449" t="s">
        <v>1171</v>
      </c>
      <c r="B111" s="749" t="s">
        <v>1172</v>
      </c>
      <c r="C111" s="792"/>
      <c r="D111" s="793"/>
      <c r="E111" s="794"/>
      <c r="F111" s="789"/>
      <c r="G111" s="754"/>
      <c r="H111" s="744"/>
      <c r="I111" s="754"/>
      <c r="J111" s="744"/>
      <c r="K111" s="746"/>
      <c r="L111" s="795"/>
    </row>
    <row r="112" spans="1:12" ht="24">
      <c r="A112" s="449"/>
      <c r="B112" s="749" t="s">
        <v>1122</v>
      </c>
      <c r="C112" s="792"/>
      <c r="D112" s="793"/>
      <c r="E112" s="794"/>
      <c r="F112" s="742" t="s">
        <v>185</v>
      </c>
      <c r="G112" s="754"/>
      <c r="H112" s="744"/>
      <c r="I112" s="754"/>
      <c r="J112" s="744"/>
      <c r="K112" s="746"/>
      <c r="L112" s="795"/>
    </row>
    <row r="113" spans="1:12" ht="24">
      <c r="A113" s="449" t="s">
        <v>1173</v>
      </c>
      <c r="B113" s="749" t="s">
        <v>1174</v>
      </c>
      <c r="C113" s="792"/>
      <c r="D113" s="793"/>
      <c r="E113" s="794"/>
      <c r="F113" s="789"/>
      <c r="G113" s="754"/>
      <c r="H113" s="744"/>
      <c r="I113" s="754"/>
      <c r="J113" s="744"/>
      <c r="K113" s="746"/>
      <c r="L113" s="795"/>
    </row>
    <row r="114" spans="1:12" ht="24">
      <c r="A114" s="834"/>
      <c r="B114" s="797" t="s">
        <v>1122</v>
      </c>
      <c r="C114" s="798"/>
      <c r="D114" s="799"/>
      <c r="E114" s="821"/>
      <c r="F114" s="800" t="s">
        <v>185</v>
      </c>
      <c r="G114" s="802"/>
      <c r="H114" s="803"/>
      <c r="I114" s="802"/>
      <c r="J114" s="803"/>
      <c r="K114" s="805"/>
      <c r="L114" s="806"/>
    </row>
    <row r="115" spans="1:12" ht="24">
      <c r="A115" s="835" t="s">
        <v>1175</v>
      </c>
      <c r="B115" s="783" t="s">
        <v>1176</v>
      </c>
      <c r="C115" s="808"/>
      <c r="D115" s="809"/>
      <c r="E115" s="810"/>
      <c r="F115" s="811"/>
      <c r="G115" s="812"/>
      <c r="H115" s="813"/>
      <c r="I115" s="812"/>
      <c r="J115" s="813"/>
      <c r="K115" s="814"/>
      <c r="L115" s="815"/>
    </row>
    <row r="116" spans="1:12" ht="24">
      <c r="A116" s="449"/>
      <c r="B116" s="749" t="s">
        <v>1122</v>
      </c>
      <c r="C116" s="792"/>
      <c r="D116" s="793"/>
      <c r="E116" s="794"/>
      <c r="F116" s="742" t="s">
        <v>185</v>
      </c>
      <c r="G116" s="754"/>
      <c r="H116" s="744"/>
      <c r="I116" s="754"/>
      <c r="J116" s="744"/>
      <c r="K116" s="746"/>
      <c r="L116" s="795"/>
    </row>
    <row r="117" spans="1:12" ht="24">
      <c r="A117" s="449" t="s">
        <v>1177</v>
      </c>
      <c r="B117" s="749" t="s">
        <v>1178</v>
      </c>
      <c r="C117" s="792"/>
      <c r="D117" s="793"/>
      <c r="E117" s="794"/>
      <c r="F117" s="789"/>
      <c r="G117" s="754"/>
      <c r="H117" s="744"/>
      <c r="I117" s="754"/>
      <c r="J117" s="744"/>
      <c r="K117" s="746"/>
      <c r="L117" s="795"/>
    </row>
    <row r="118" spans="1:12" ht="24">
      <c r="A118" s="449"/>
      <c r="B118" s="749" t="s">
        <v>1162</v>
      </c>
      <c r="C118" s="792"/>
      <c r="D118" s="793"/>
      <c r="E118" s="794"/>
      <c r="F118" s="742" t="s">
        <v>185</v>
      </c>
      <c r="G118" s="754"/>
      <c r="H118" s="744"/>
      <c r="I118" s="754"/>
      <c r="J118" s="744"/>
      <c r="K118" s="746"/>
      <c r="L118" s="795"/>
    </row>
    <row r="119" spans="1:12" ht="24">
      <c r="A119" s="449" t="s">
        <v>1179</v>
      </c>
      <c r="B119" s="749" t="s">
        <v>1180</v>
      </c>
      <c r="C119" s="792"/>
      <c r="D119" s="793"/>
      <c r="E119" s="794"/>
      <c r="F119" s="742" t="s">
        <v>185</v>
      </c>
      <c r="G119" s="754"/>
      <c r="H119" s="744"/>
      <c r="I119" s="754"/>
      <c r="J119" s="744"/>
      <c r="K119" s="746"/>
      <c r="L119" s="795"/>
    </row>
    <row r="120" spans="1:12" ht="24">
      <c r="A120" s="449" t="s">
        <v>1181</v>
      </c>
      <c r="B120" s="749" t="s">
        <v>1182</v>
      </c>
      <c r="C120" s="792"/>
      <c r="D120" s="793"/>
      <c r="E120" s="794"/>
      <c r="F120" s="742" t="s">
        <v>185</v>
      </c>
      <c r="G120" s="754"/>
      <c r="H120" s="744"/>
      <c r="I120" s="754"/>
      <c r="J120" s="744"/>
      <c r="K120" s="746"/>
      <c r="L120" s="795"/>
    </row>
    <row r="121" spans="1:12" ht="24">
      <c r="A121" s="449"/>
      <c r="B121" s="792" t="s">
        <v>1144</v>
      </c>
      <c r="C121" s="792"/>
      <c r="D121" s="793"/>
      <c r="E121" s="794"/>
      <c r="F121" s="742"/>
      <c r="G121" s="754"/>
      <c r="H121" s="744"/>
      <c r="I121" s="754"/>
      <c r="J121" s="744"/>
      <c r="K121" s="746"/>
      <c r="L121" s="795"/>
    </row>
    <row r="122" spans="1:12" ht="24.75" thickBot="1">
      <c r="A122" s="788"/>
      <c r="B122" s="828"/>
      <c r="C122" s="792"/>
      <c r="D122" s="793"/>
      <c r="E122" s="794"/>
      <c r="F122" s="789"/>
      <c r="G122" s="790"/>
      <c r="H122" s="744"/>
      <c r="I122" s="791"/>
      <c r="J122" s="744"/>
      <c r="K122" s="746"/>
      <c r="L122" s="795"/>
    </row>
    <row r="123" spans="1:12" ht="24.75" thickTop="1">
      <c r="A123" s="427"/>
      <c r="B123" s="2135" t="s">
        <v>1183</v>
      </c>
      <c r="C123" s="2136"/>
      <c r="D123" s="2137"/>
      <c r="E123" s="822"/>
      <c r="F123" s="760"/>
      <c r="G123" s="823"/>
      <c r="H123" s="762"/>
      <c r="I123" s="763"/>
      <c r="J123" s="762"/>
      <c r="K123" s="762"/>
      <c r="L123" s="824"/>
    </row>
    <row r="124" spans="1:12" ht="24">
      <c r="A124" s="836" t="s">
        <v>1184</v>
      </c>
      <c r="B124" s="837" t="s">
        <v>1185</v>
      </c>
      <c r="C124" s="838"/>
      <c r="D124" s="839"/>
      <c r="E124" s="840"/>
      <c r="F124" s="841"/>
      <c r="G124" s="92"/>
      <c r="H124" s="842"/>
      <c r="I124" s="843"/>
      <c r="J124" s="842"/>
      <c r="K124" s="844"/>
      <c r="L124" s="845"/>
    </row>
    <row r="125" spans="1:12" ht="24">
      <c r="A125" s="846" t="s">
        <v>1186</v>
      </c>
      <c r="B125" s="749" t="s">
        <v>1187</v>
      </c>
      <c r="C125" s="749"/>
      <c r="D125" s="752"/>
      <c r="E125" s="742"/>
      <c r="F125" s="742" t="s">
        <v>182</v>
      </c>
      <c r="G125" s="754"/>
      <c r="H125" s="744"/>
      <c r="I125" s="791"/>
      <c r="J125" s="744"/>
      <c r="K125" s="746"/>
      <c r="L125" s="795"/>
    </row>
    <row r="126" spans="1:12" ht="24">
      <c r="A126" s="846" t="s">
        <v>1188</v>
      </c>
      <c r="B126" s="749" t="s">
        <v>1189</v>
      </c>
      <c r="C126" s="749"/>
      <c r="D126" s="752"/>
      <c r="E126" s="742"/>
      <c r="F126" s="742" t="s">
        <v>182</v>
      </c>
      <c r="G126" s="754"/>
      <c r="H126" s="744"/>
      <c r="I126" s="791"/>
      <c r="J126" s="744"/>
      <c r="K126" s="746"/>
      <c r="L126" s="795"/>
    </row>
    <row r="127" spans="1:12" ht="24">
      <c r="A127" s="846" t="s">
        <v>1190</v>
      </c>
      <c r="B127" s="749" t="s">
        <v>1191</v>
      </c>
      <c r="C127" s="749"/>
      <c r="D127" s="752"/>
      <c r="E127" s="742"/>
      <c r="F127" s="742" t="s">
        <v>182</v>
      </c>
      <c r="G127" s="754"/>
      <c r="H127" s="744"/>
      <c r="I127" s="791"/>
      <c r="J127" s="744"/>
      <c r="K127" s="746"/>
      <c r="L127" s="795"/>
    </row>
    <row r="128" spans="1:12" ht="24">
      <c r="A128" s="846" t="s">
        <v>1192</v>
      </c>
      <c r="B128" s="749" t="s">
        <v>1193</v>
      </c>
      <c r="C128" s="749"/>
      <c r="D128" s="752"/>
      <c r="E128" s="742"/>
      <c r="F128" s="742" t="s">
        <v>182</v>
      </c>
      <c r="G128" s="754"/>
      <c r="H128" s="744"/>
      <c r="I128" s="791"/>
      <c r="J128" s="744"/>
      <c r="K128" s="746"/>
      <c r="L128" s="795"/>
    </row>
    <row r="129" spans="1:12" ht="24">
      <c r="A129" s="846" t="s">
        <v>1194</v>
      </c>
      <c r="B129" s="749" t="s">
        <v>1195</v>
      </c>
      <c r="C129" s="749"/>
      <c r="D129" s="752"/>
      <c r="E129" s="742"/>
      <c r="F129" s="742" t="s">
        <v>182</v>
      </c>
      <c r="G129" s="754"/>
      <c r="H129" s="744"/>
      <c r="I129" s="791"/>
      <c r="J129" s="744"/>
      <c r="K129" s="746"/>
      <c r="L129" s="795"/>
    </row>
    <row r="130" spans="1:12" ht="24">
      <c r="A130" s="846" t="s">
        <v>1196</v>
      </c>
      <c r="B130" s="749" t="s">
        <v>1197</v>
      </c>
      <c r="C130" s="749"/>
      <c r="D130" s="752"/>
      <c r="E130" s="742"/>
      <c r="F130" s="742" t="s">
        <v>182</v>
      </c>
      <c r="G130" s="754"/>
      <c r="H130" s="744"/>
      <c r="I130" s="791"/>
      <c r="J130" s="744"/>
      <c r="K130" s="746"/>
      <c r="L130" s="795"/>
    </row>
    <row r="131" spans="1:12" ht="24">
      <c r="A131" s="846" t="s">
        <v>1198</v>
      </c>
      <c r="B131" s="749" t="s">
        <v>1199</v>
      </c>
      <c r="C131" s="749"/>
      <c r="D131" s="752"/>
      <c r="E131" s="742"/>
      <c r="F131" s="742" t="s">
        <v>182</v>
      </c>
      <c r="G131" s="754"/>
      <c r="H131" s="744"/>
      <c r="I131" s="791"/>
      <c r="J131" s="744"/>
      <c r="K131" s="746"/>
      <c r="L131" s="795"/>
    </row>
    <row r="132" spans="1:12" ht="24">
      <c r="A132" s="846" t="s">
        <v>1200</v>
      </c>
      <c r="B132" s="749" t="s">
        <v>1201</v>
      </c>
      <c r="C132" s="749"/>
      <c r="D132" s="752"/>
      <c r="E132" s="742"/>
      <c r="F132" s="742" t="s">
        <v>182</v>
      </c>
      <c r="G132" s="754"/>
      <c r="H132" s="744"/>
      <c r="I132" s="791"/>
      <c r="J132" s="744"/>
      <c r="K132" s="746"/>
      <c r="L132" s="795"/>
    </row>
    <row r="133" spans="1:12" ht="24">
      <c r="A133" s="846" t="s">
        <v>1202</v>
      </c>
      <c r="B133" s="749" t="s">
        <v>1203</v>
      </c>
      <c r="C133" s="749"/>
      <c r="D133" s="752"/>
      <c r="E133" s="742"/>
      <c r="F133" s="742" t="s">
        <v>182</v>
      </c>
      <c r="G133" s="754"/>
      <c r="H133" s="744"/>
      <c r="I133" s="791"/>
      <c r="J133" s="744"/>
      <c r="K133" s="746"/>
      <c r="L133" s="795"/>
    </row>
    <row r="134" spans="1:12" ht="24.75" thickBot="1">
      <c r="A134" s="846"/>
      <c r="B134" s="792" t="s">
        <v>1144</v>
      </c>
      <c r="C134" s="749"/>
      <c r="D134" s="752"/>
      <c r="E134" s="742"/>
      <c r="F134" s="742"/>
      <c r="G134" s="754"/>
      <c r="H134" s="744"/>
      <c r="I134" s="791"/>
      <c r="J134" s="744"/>
      <c r="K134" s="746"/>
      <c r="L134" s="795"/>
    </row>
    <row r="135" spans="1:12" ht="24.75" thickTop="1">
      <c r="A135" s="427"/>
      <c r="B135" s="2135" t="s">
        <v>1204</v>
      </c>
      <c r="C135" s="2136"/>
      <c r="D135" s="2137"/>
      <c r="E135" s="822"/>
      <c r="F135" s="760"/>
      <c r="G135" s="823"/>
      <c r="H135" s="762"/>
      <c r="I135" s="763"/>
      <c r="J135" s="762"/>
      <c r="K135" s="762"/>
      <c r="L135" s="824"/>
    </row>
    <row r="136" spans="1:12" ht="24" customHeight="1">
      <c r="A136" s="836" t="s">
        <v>1205</v>
      </c>
      <c r="B136" s="2144" t="s">
        <v>1206</v>
      </c>
      <c r="C136" s="2145"/>
      <c r="D136" s="2146"/>
      <c r="E136" s="742"/>
      <c r="F136" s="742"/>
      <c r="G136" s="790"/>
      <c r="H136" s="744"/>
      <c r="I136" s="791"/>
      <c r="J136" s="744"/>
      <c r="K136" s="746"/>
      <c r="L136" s="795"/>
    </row>
    <row r="137" spans="1:12" ht="24">
      <c r="A137" s="449" t="s">
        <v>1207</v>
      </c>
      <c r="B137" s="749" t="s">
        <v>1208</v>
      </c>
      <c r="C137" s="749"/>
      <c r="D137" s="752"/>
      <c r="E137" s="742"/>
      <c r="F137" s="742"/>
      <c r="G137" s="790"/>
      <c r="H137" s="744"/>
      <c r="I137" s="791"/>
      <c r="J137" s="744"/>
      <c r="K137" s="746"/>
      <c r="L137" s="795"/>
    </row>
    <row r="138" spans="1:12" ht="24">
      <c r="A138" s="449"/>
      <c r="B138" s="749" t="s">
        <v>1209</v>
      </c>
      <c r="C138" s="749"/>
      <c r="D138" s="752"/>
      <c r="E138" s="742"/>
      <c r="F138" s="742" t="s">
        <v>185</v>
      </c>
      <c r="G138" s="790"/>
      <c r="H138" s="744"/>
      <c r="I138" s="754"/>
      <c r="J138" s="744"/>
      <c r="K138" s="746"/>
      <c r="L138" s="795"/>
    </row>
    <row r="139" spans="1:12" ht="24">
      <c r="A139" s="449" t="s">
        <v>1210</v>
      </c>
      <c r="B139" s="749" t="s">
        <v>1211</v>
      </c>
      <c r="C139" s="749"/>
      <c r="D139" s="752"/>
      <c r="E139" s="742"/>
      <c r="F139" s="742"/>
      <c r="G139" s="790"/>
      <c r="H139" s="744"/>
      <c r="I139" s="754"/>
      <c r="J139" s="744"/>
      <c r="K139" s="746"/>
      <c r="L139" s="795"/>
    </row>
    <row r="140" spans="1:12" ht="24">
      <c r="A140" s="449"/>
      <c r="B140" s="749" t="s">
        <v>1212</v>
      </c>
      <c r="C140" s="749"/>
      <c r="D140" s="752"/>
      <c r="E140" s="742"/>
      <c r="F140" s="742" t="s">
        <v>185</v>
      </c>
      <c r="G140" s="2133"/>
      <c r="H140" s="2134"/>
      <c r="I140" s="754"/>
      <c r="J140" s="744"/>
      <c r="K140" s="746"/>
      <c r="L140" s="795"/>
    </row>
    <row r="141" spans="1:12" ht="24">
      <c r="A141" s="449" t="s">
        <v>1213</v>
      </c>
      <c r="B141" s="749" t="s">
        <v>1214</v>
      </c>
      <c r="C141" s="749"/>
      <c r="D141" s="752"/>
      <c r="E141" s="742"/>
      <c r="F141" s="742"/>
      <c r="G141" s="790"/>
      <c r="H141" s="744"/>
      <c r="I141" s="754"/>
      <c r="J141" s="744"/>
      <c r="K141" s="746"/>
      <c r="L141" s="795"/>
    </row>
    <row r="142" spans="1:12" ht="24">
      <c r="A142" s="449"/>
      <c r="B142" s="749" t="s">
        <v>1215</v>
      </c>
      <c r="C142" s="749"/>
      <c r="D142" s="752"/>
      <c r="E142" s="742"/>
      <c r="F142" s="742" t="s">
        <v>185</v>
      </c>
      <c r="G142" s="2133"/>
      <c r="H142" s="2134"/>
      <c r="I142" s="754"/>
      <c r="J142" s="744"/>
      <c r="K142" s="746"/>
      <c r="L142" s="795"/>
    </row>
    <row r="143" spans="1:12" ht="24">
      <c r="A143" s="449"/>
      <c r="B143" s="749" t="s">
        <v>1216</v>
      </c>
      <c r="C143" s="749"/>
      <c r="D143" s="752"/>
      <c r="E143" s="742"/>
      <c r="F143" s="742" t="s">
        <v>185</v>
      </c>
      <c r="G143" s="2133"/>
      <c r="H143" s="2134"/>
      <c r="I143" s="754"/>
      <c r="J143" s="744"/>
      <c r="K143" s="746"/>
      <c r="L143" s="795"/>
    </row>
    <row r="144" spans="1:12" ht="24">
      <c r="A144" s="449"/>
      <c r="B144" s="749" t="s">
        <v>1113</v>
      </c>
      <c r="C144" s="749"/>
      <c r="D144" s="752"/>
      <c r="E144" s="742"/>
      <c r="F144" s="742" t="s">
        <v>1112</v>
      </c>
      <c r="G144" s="754"/>
      <c r="H144" s="744"/>
      <c r="I144" s="754"/>
      <c r="J144" s="744"/>
      <c r="K144" s="746"/>
      <c r="L144" s="795"/>
    </row>
    <row r="145" spans="1:12" ht="24">
      <c r="A145" s="788"/>
      <c r="B145" s="792" t="s">
        <v>1144</v>
      </c>
      <c r="C145" s="792"/>
      <c r="D145" s="793"/>
      <c r="E145" s="794"/>
      <c r="F145" s="789"/>
      <c r="G145" s="790"/>
      <c r="H145" s="744"/>
      <c r="I145" s="791"/>
      <c r="J145" s="744"/>
      <c r="K145" s="746"/>
      <c r="L145" s="795"/>
    </row>
    <row r="146" spans="1:12" ht="24.75" thickBot="1">
      <c r="A146" s="788"/>
      <c r="B146" s="847"/>
      <c r="C146" s="792"/>
      <c r="D146" s="793"/>
      <c r="E146" s="794"/>
      <c r="F146" s="789"/>
      <c r="G146" s="790"/>
      <c r="H146" s="744"/>
      <c r="I146" s="791"/>
      <c r="J146" s="744"/>
      <c r="K146" s="746"/>
      <c r="L146" s="795"/>
    </row>
    <row r="147" spans="1:12" ht="24.75" thickTop="1">
      <c r="A147" s="427"/>
      <c r="B147" s="2135" t="s">
        <v>1217</v>
      </c>
      <c r="C147" s="2136"/>
      <c r="D147" s="2137"/>
      <c r="E147" s="822"/>
      <c r="F147" s="760"/>
      <c r="G147" s="823"/>
      <c r="H147" s="762"/>
      <c r="I147" s="763"/>
      <c r="J147" s="762"/>
      <c r="K147" s="762"/>
      <c r="L147" s="824"/>
    </row>
    <row r="148" spans="1:12" ht="24">
      <c r="A148" s="836" t="s">
        <v>1218</v>
      </c>
      <c r="B148" s="837" t="s">
        <v>1219</v>
      </c>
      <c r="C148" s="749"/>
      <c r="D148" s="752"/>
      <c r="E148" s="742"/>
      <c r="F148" s="742"/>
      <c r="G148" s="754"/>
      <c r="H148" s="753"/>
      <c r="I148" s="754"/>
      <c r="J148" s="744"/>
      <c r="K148" s="746"/>
      <c r="L148" s="795"/>
    </row>
    <row r="149" spans="1:12" ht="24">
      <c r="A149" s="449" t="s">
        <v>1220</v>
      </c>
      <c r="B149" s="749" t="s">
        <v>1221</v>
      </c>
      <c r="C149" s="749"/>
      <c r="D149" s="752"/>
      <c r="E149" s="742"/>
      <c r="F149" s="742"/>
      <c r="G149" s="754"/>
      <c r="H149" s="753"/>
      <c r="I149" s="754"/>
      <c r="J149" s="744"/>
      <c r="K149" s="746"/>
      <c r="L149" s="795"/>
    </row>
    <row r="150" spans="1:12" ht="24">
      <c r="A150" s="449" t="s">
        <v>1222</v>
      </c>
      <c r="B150" s="848" t="s">
        <v>1223</v>
      </c>
      <c r="C150" s="849"/>
      <c r="D150" s="850"/>
      <c r="E150" s="851"/>
      <c r="F150" s="851"/>
      <c r="G150" s="812"/>
      <c r="H150" s="852"/>
      <c r="I150" s="812"/>
      <c r="J150" s="744"/>
      <c r="K150" s="744"/>
      <c r="L150" s="853"/>
    </row>
    <row r="151" spans="1:12" ht="24">
      <c r="A151" s="426"/>
      <c r="B151" s="854" t="s">
        <v>1224</v>
      </c>
      <c r="C151" s="749"/>
      <c r="D151" s="752"/>
      <c r="E151" s="742"/>
      <c r="F151" s="742"/>
      <c r="G151" s="754"/>
      <c r="H151" s="753"/>
      <c r="I151" s="754"/>
      <c r="J151" s="744"/>
      <c r="K151" s="744"/>
      <c r="L151" s="853"/>
    </row>
    <row r="152" spans="1:12" ht="24">
      <c r="A152" s="855"/>
      <c r="B152" s="856" t="s">
        <v>1225</v>
      </c>
      <c r="C152" s="783"/>
      <c r="D152" s="784"/>
      <c r="E152" s="851"/>
      <c r="F152" s="851" t="s">
        <v>185</v>
      </c>
      <c r="G152" s="812"/>
      <c r="H152" s="813"/>
      <c r="I152" s="812"/>
      <c r="J152" s="813"/>
      <c r="K152" s="814"/>
      <c r="L152" s="857"/>
    </row>
    <row r="153" spans="1:12" ht="24">
      <c r="A153" s="855"/>
      <c r="B153" s="854" t="s">
        <v>1226</v>
      </c>
      <c r="C153" s="783"/>
      <c r="D153" s="784"/>
      <c r="E153" s="851"/>
      <c r="F153" s="851"/>
      <c r="G153" s="812"/>
      <c r="H153" s="744"/>
      <c r="I153" s="812"/>
      <c r="J153" s="744"/>
      <c r="K153" s="746"/>
      <c r="L153" s="853"/>
    </row>
    <row r="154" spans="1:12" ht="24">
      <c r="A154" s="855"/>
      <c r="B154" s="854" t="s">
        <v>1227</v>
      </c>
      <c r="C154" s="783"/>
      <c r="D154" s="784"/>
      <c r="E154" s="851"/>
      <c r="F154" s="742" t="s">
        <v>185</v>
      </c>
      <c r="G154" s="812"/>
      <c r="H154" s="744"/>
      <c r="I154" s="812"/>
      <c r="J154" s="744"/>
      <c r="K154" s="746"/>
      <c r="L154" s="858"/>
    </row>
    <row r="155" spans="1:12" ht="24">
      <c r="A155" s="855"/>
      <c r="B155" s="854" t="s">
        <v>1228</v>
      </c>
      <c r="C155" s="783"/>
      <c r="D155" s="784"/>
      <c r="E155" s="851"/>
      <c r="F155" s="742" t="s">
        <v>185</v>
      </c>
      <c r="G155" s="812"/>
      <c r="H155" s="744"/>
      <c r="I155" s="812"/>
      <c r="J155" s="744"/>
      <c r="K155" s="746"/>
      <c r="L155" s="858"/>
    </row>
    <row r="156" spans="1:12" ht="24">
      <c r="A156" s="859"/>
      <c r="B156" s="860" t="s">
        <v>1229</v>
      </c>
      <c r="C156" s="797"/>
      <c r="D156" s="861"/>
      <c r="E156" s="800"/>
      <c r="F156" s="800" t="s">
        <v>185</v>
      </c>
      <c r="G156" s="802"/>
      <c r="H156" s="803"/>
      <c r="I156" s="802"/>
      <c r="J156" s="803"/>
      <c r="K156" s="805"/>
      <c r="L156" s="862"/>
    </row>
    <row r="157" spans="1:12" ht="24">
      <c r="A157" s="855"/>
      <c r="B157" s="856" t="s">
        <v>1230</v>
      </c>
      <c r="C157" s="783"/>
      <c r="D157" s="784"/>
      <c r="E157" s="851"/>
      <c r="F157" s="851" t="s">
        <v>185</v>
      </c>
      <c r="G157" s="812"/>
      <c r="H157" s="813"/>
      <c r="I157" s="812"/>
      <c r="J157" s="813"/>
      <c r="K157" s="814"/>
      <c r="L157" s="863"/>
    </row>
    <row r="158" spans="1:12" ht="24">
      <c r="A158" s="855"/>
      <c r="B158" s="854" t="s">
        <v>1231</v>
      </c>
      <c r="C158" s="783"/>
      <c r="D158" s="784"/>
      <c r="E158" s="851"/>
      <c r="F158" s="742" t="s">
        <v>185</v>
      </c>
      <c r="G158" s="812"/>
      <c r="H158" s="744"/>
      <c r="I158" s="812"/>
      <c r="J158" s="744"/>
      <c r="K158" s="746"/>
      <c r="L158" s="858"/>
    </row>
    <row r="159" spans="1:12" ht="24">
      <c r="A159" s="855"/>
      <c r="B159" s="848" t="s">
        <v>1232</v>
      </c>
      <c r="C159" s="849"/>
      <c r="D159" s="850"/>
      <c r="E159" s="851"/>
      <c r="F159" s="851"/>
      <c r="G159" s="812"/>
      <c r="H159" s="744"/>
      <c r="I159" s="812"/>
      <c r="J159" s="744"/>
      <c r="K159" s="746"/>
      <c r="L159" s="853"/>
    </row>
    <row r="160" spans="1:12" ht="24">
      <c r="A160" s="855"/>
      <c r="B160" s="854" t="s">
        <v>1233</v>
      </c>
      <c r="C160" s="783"/>
      <c r="D160" s="784"/>
      <c r="E160" s="851"/>
      <c r="F160" s="742" t="s">
        <v>185</v>
      </c>
      <c r="G160" s="812"/>
      <c r="H160" s="744"/>
      <c r="I160" s="812"/>
      <c r="J160" s="744"/>
      <c r="K160" s="746"/>
      <c r="L160" s="853"/>
    </row>
    <row r="161" spans="1:12" ht="24">
      <c r="A161" s="855"/>
      <c r="B161" s="854" t="s">
        <v>1234</v>
      </c>
      <c r="C161" s="783"/>
      <c r="D161" s="784"/>
      <c r="E161" s="851"/>
      <c r="F161" s="742" t="s">
        <v>185</v>
      </c>
      <c r="G161" s="812"/>
      <c r="H161" s="744"/>
      <c r="I161" s="812"/>
      <c r="J161" s="744"/>
      <c r="K161" s="746"/>
      <c r="L161" s="853"/>
    </row>
    <row r="162" spans="1:12" ht="24">
      <c r="A162" s="449" t="s">
        <v>1235</v>
      </c>
      <c r="B162" s="848" t="s">
        <v>1236</v>
      </c>
      <c r="C162" s="849"/>
      <c r="D162" s="850"/>
      <c r="E162" s="851"/>
      <c r="F162" s="851"/>
      <c r="G162" s="812"/>
      <c r="H162" s="744"/>
      <c r="I162" s="812"/>
      <c r="J162" s="744"/>
      <c r="K162" s="744"/>
      <c r="L162" s="853"/>
    </row>
    <row r="163" spans="1:12" ht="24">
      <c r="A163" s="855"/>
      <c r="B163" s="854" t="s">
        <v>1224</v>
      </c>
      <c r="C163" s="783"/>
      <c r="D163" s="784"/>
      <c r="E163" s="851"/>
      <c r="F163" s="851"/>
      <c r="G163" s="812"/>
      <c r="H163" s="744"/>
      <c r="I163" s="812"/>
      <c r="J163" s="744"/>
      <c r="K163" s="744"/>
      <c r="L163" s="853"/>
    </row>
    <row r="164" spans="1:12" ht="24">
      <c r="A164" s="855"/>
      <c r="B164" s="854" t="s">
        <v>1237</v>
      </c>
      <c r="C164" s="783"/>
      <c r="D164" s="784"/>
      <c r="E164" s="851"/>
      <c r="F164" s="742" t="s">
        <v>185</v>
      </c>
      <c r="G164" s="812"/>
      <c r="H164" s="744"/>
      <c r="I164" s="812"/>
      <c r="J164" s="744"/>
      <c r="K164" s="744"/>
      <c r="L164" s="853"/>
    </row>
    <row r="165" spans="1:12" ht="24">
      <c r="A165" s="855"/>
      <c r="B165" s="854" t="s">
        <v>1225</v>
      </c>
      <c r="C165" s="783"/>
      <c r="D165" s="784"/>
      <c r="E165" s="851"/>
      <c r="F165" s="742" t="s">
        <v>185</v>
      </c>
      <c r="G165" s="812"/>
      <c r="H165" s="744"/>
      <c r="I165" s="812"/>
      <c r="J165" s="744"/>
      <c r="K165" s="744"/>
      <c r="L165" s="853"/>
    </row>
    <row r="166" spans="1:12" ht="24">
      <c r="A166" s="855"/>
      <c r="B166" s="854" t="s">
        <v>1226</v>
      </c>
      <c r="C166" s="783"/>
      <c r="D166" s="784"/>
      <c r="E166" s="851"/>
      <c r="F166" s="851"/>
      <c r="G166" s="812"/>
      <c r="H166" s="744"/>
      <c r="I166" s="812"/>
      <c r="J166" s="744"/>
      <c r="K166" s="744"/>
      <c r="L166" s="853"/>
    </row>
    <row r="167" spans="1:12" ht="24">
      <c r="A167" s="855"/>
      <c r="B167" s="854" t="s">
        <v>1238</v>
      </c>
      <c r="C167" s="783"/>
      <c r="D167" s="784"/>
      <c r="E167" s="851"/>
      <c r="F167" s="742" t="s">
        <v>185</v>
      </c>
      <c r="G167" s="812"/>
      <c r="H167" s="744"/>
      <c r="I167" s="812"/>
      <c r="J167" s="744"/>
      <c r="K167" s="746"/>
      <c r="L167" s="858"/>
    </row>
    <row r="168" spans="1:12" ht="24">
      <c r="A168" s="855"/>
      <c r="B168" s="854" t="s">
        <v>1228</v>
      </c>
      <c r="C168" s="783"/>
      <c r="D168" s="784"/>
      <c r="E168" s="851"/>
      <c r="F168" s="742" t="s">
        <v>185</v>
      </c>
      <c r="G168" s="812"/>
      <c r="H168" s="744"/>
      <c r="I168" s="812"/>
      <c r="J168" s="744"/>
      <c r="K168" s="746"/>
      <c r="L168" s="858"/>
    </row>
    <row r="169" spans="1:12" ht="24">
      <c r="A169" s="855"/>
      <c r="B169" s="854" t="s">
        <v>1229</v>
      </c>
      <c r="C169" s="783"/>
      <c r="D169" s="784"/>
      <c r="E169" s="851"/>
      <c r="F169" s="742" t="s">
        <v>185</v>
      </c>
      <c r="G169" s="812"/>
      <c r="H169" s="744"/>
      <c r="I169" s="812"/>
      <c r="J169" s="744"/>
      <c r="K169" s="746"/>
      <c r="L169" s="858"/>
    </row>
    <row r="170" spans="1:12" ht="24">
      <c r="A170" s="855"/>
      <c r="B170" s="854" t="s">
        <v>1230</v>
      </c>
      <c r="C170" s="783"/>
      <c r="D170" s="784"/>
      <c r="E170" s="851"/>
      <c r="F170" s="742" t="s">
        <v>185</v>
      </c>
      <c r="G170" s="812"/>
      <c r="H170" s="744"/>
      <c r="I170" s="812"/>
      <c r="J170" s="744"/>
      <c r="K170" s="746"/>
      <c r="L170" s="858"/>
    </row>
    <row r="171" spans="1:12" ht="24">
      <c r="A171" s="855"/>
      <c r="B171" s="854" t="s">
        <v>1231</v>
      </c>
      <c r="C171" s="783"/>
      <c r="D171" s="784"/>
      <c r="E171" s="851"/>
      <c r="F171" s="742" t="s">
        <v>185</v>
      </c>
      <c r="G171" s="812"/>
      <c r="H171" s="744"/>
      <c r="I171" s="812"/>
      <c r="J171" s="744"/>
      <c r="K171" s="746"/>
      <c r="L171" s="858"/>
    </row>
    <row r="172" spans="1:12" ht="24">
      <c r="A172" s="855"/>
      <c r="B172" s="856" t="s">
        <v>1239</v>
      </c>
      <c r="C172" s="783"/>
      <c r="D172" s="784"/>
      <c r="E172" s="851"/>
      <c r="F172" s="851"/>
      <c r="G172" s="812"/>
      <c r="H172" s="744"/>
      <c r="I172" s="812"/>
      <c r="J172" s="813"/>
      <c r="K172" s="813"/>
      <c r="L172" s="857"/>
    </row>
    <row r="173" spans="1:12" ht="24">
      <c r="A173" s="855"/>
      <c r="B173" s="848" t="s">
        <v>1240</v>
      </c>
      <c r="C173" s="849"/>
      <c r="D173" s="850"/>
      <c r="E173" s="851"/>
      <c r="F173" s="742" t="s">
        <v>185</v>
      </c>
      <c r="G173" s="812"/>
      <c r="H173" s="744"/>
      <c r="I173" s="812"/>
      <c r="J173" s="744"/>
      <c r="K173" s="744"/>
      <c r="L173" s="853"/>
    </row>
    <row r="174" spans="1:12" ht="24">
      <c r="A174" s="855"/>
      <c r="B174" s="848" t="s">
        <v>1232</v>
      </c>
      <c r="C174" s="849"/>
      <c r="D174" s="850"/>
      <c r="E174" s="851"/>
      <c r="F174" s="851"/>
      <c r="G174" s="812"/>
      <c r="H174" s="744"/>
      <c r="I174" s="812"/>
      <c r="J174" s="744"/>
      <c r="K174" s="744"/>
      <c r="L174" s="853"/>
    </row>
    <row r="175" spans="1:12" ht="24">
      <c r="A175" s="855"/>
      <c r="B175" s="854" t="s">
        <v>1233</v>
      </c>
      <c r="C175" s="783"/>
      <c r="D175" s="784"/>
      <c r="E175" s="851"/>
      <c r="F175" s="742" t="s">
        <v>185</v>
      </c>
      <c r="G175" s="812"/>
      <c r="H175" s="744"/>
      <c r="I175" s="812"/>
      <c r="J175" s="744"/>
      <c r="K175" s="744"/>
      <c r="L175" s="853"/>
    </row>
    <row r="176" spans="1:12" ht="24">
      <c r="A176" s="855"/>
      <c r="B176" s="749" t="s">
        <v>1241</v>
      </c>
      <c r="C176" s="749"/>
      <c r="D176" s="752"/>
      <c r="E176" s="742"/>
      <c r="F176" s="742" t="s">
        <v>185</v>
      </c>
      <c r="G176" s="754"/>
      <c r="H176" s="744"/>
      <c r="I176" s="754"/>
      <c r="J176" s="744"/>
      <c r="K176" s="746"/>
      <c r="L176" s="864"/>
    </row>
    <row r="177" spans="1:12" ht="24">
      <c r="A177" s="859"/>
      <c r="B177" s="860" t="s">
        <v>1234</v>
      </c>
      <c r="C177" s="797"/>
      <c r="D177" s="861"/>
      <c r="E177" s="800"/>
      <c r="F177" s="800" t="s">
        <v>185</v>
      </c>
      <c r="G177" s="802"/>
      <c r="H177" s="744"/>
      <c r="I177" s="802"/>
      <c r="J177" s="803"/>
      <c r="K177" s="805"/>
      <c r="L177" s="865"/>
    </row>
    <row r="178" spans="1:12" ht="24">
      <c r="A178" s="835" t="s">
        <v>1242</v>
      </c>
      <c r="B178" s="856" t="s">
        <v>1243</v>
      </c>
      <c r="C178" s="783"/>
      <c r="D178" s="784"/>
      <c r="E178" s="851"/>
      <c r="F178" s="851"/>
      <c r="G178" s="812"/>
      <c r="H178" s="852"/>
      <c r="I178" s="812"/>
      <c r="J178" s="813"/>
      <c r="K178" s="813"/>
      <c r="L178" s="857"/>
    </row>
    <row r="179" spans="1:12" ht="24">
      <c r="A179" s="855"/>
      <c r="B179" s="854" t="s">
        <v>1224</v>
      </c>
      <c r="C179" s="783"/>
      <c r="D179" s="784"/>
      <c r="E179" s="851"/>
      <c r="F179" s="742"/>
      <c r="G179" s="812"/>
      <c r="H179" s="852"/>
      <c r="I179" s="812"/>
      <c r="J179" s="744"/>
      <c r="K179" s="744"/>
      <c r="L179" s="853"/>
    </row>
    <row r="180" spans="1:12" ht="24">
      <c r="A180" s="855"/>
      <c r="B180" s="854" t="s">
        <v>1244</v>
      </c>
      <c r="C180" s="783"/>
      <c r="D180" s="784"/>
      <c r="E180" s="851"/>
      <c r="F180" s="742" t="s">
        <v>185</v>
      </c>
      <c r="G180" s="812"/>
      <c r="H180" s="852"/>
      <c r="I180" s="812"/>
      <c r="J180" s="744"/>
      <c r="K180" s="744"/>
      <c r="L180" s="853"/>
    </row>
    <row r="181" spans="1:12" ht="24">
      <c r="A181" s="855"/>
      <c r="B181" s="854" t="s">
        <v>1226</v>
      </c>
      <c r="C181" s="783"/>
      <c r="D181" s="784"/>
      <c r="E181" s="851"/>
      <c r="F181" s="851"/>
      <c r="G181" s="812"/>
      <c r="H181" s="852"/>
      <c r="I181" s="812"/>
      <c r="J181" s="744"/>
      <c r="K181" s="744"/>
      <c r="L181" s="853"/>
    </row>
    <row r="182" spans="1:12" ht="24">
      <c r="A182" s="855"/>
      <c r="B182" s="854" t="s">
        <v>1227</v>
      </c>
      <c r="C182" s="783"/>
      <c r="D182" s="784"/>
      <c r="E182" s="851"/>
      <c r="F182" s="742" t="s">
        <v>185</v>
      </c>
      <c r="G182" s="812"/>
      <c r="H182" s="852"/>
      <c r="I182" s="812"/>
      <c r="J182" s="744"/>
      <c r="K182" s="746"/>
      <c r="L182" s="858"/>
    </row>
    <row r="183" spans="1:12" ht="24">
      <c r="A183" s="855"/>
      <c r="B183" s="854" t="s">
        <v>1228</v>
      </c>
      <c r="C183" s="783"/>
      <c r="D183" s="784"/>
      <c r="E183" s="851"/>
      <c r="F183" s="742" t="s">
        <v>185</v>
      </c>
      <c r="G183" s="812"/>
      <c r="H183" s="852"/>
      <c r="I183" s="812"/>
      <c r="J183" s="744"/>
      <c r="K183" s="746"/>
      <c r="L183" s="858"/>
    </row>
    <row r="184" spans="1:12" ht="24">
      <c r="A184" s="855"/>
      <c r="B184" s="854" t="s">
        <v>1229</v>
      </c>
      <c r="C184" s="783"/>
      <c r="D184" s="784"/>
      <c r="E184" s="851"/>
      <c r="F184" s="742" t="s">
        <v>185</v>
      </c>
      <c r="G184" s="812"/>
      <c r="H184" s="852"/>
      <c r="I184" s="812"/>
      <c r="J184" s="744"/>
      <c r="K184" s="746"/>
      <c r="L184" s="858"/>
    </row>
    <row r="185" spans="1:12" ht="24">
      <c r="A185" s="855"/>
      <c r="B185" s="854" t="s">
        <v>1230</v>
      </c>
      <c r="C185" s="783"/>
      <c r="D185" s="784"/>
      <c r="E185" s="851"/>
      <c r="F185" s="742" t="s">
        <v>185</v>
      </c>
      <c r="G185" s="812"/>
      <c r="H185" s="852"/>
      <c r="I185" s="812"/>
      <c r="J185" s="744"/>
      <c r="K185" s="746"/>
      <c r="L185" s="858"/>
    </row>
    <row r="186" spans="1:12" ht="24">
      <c r="A186" s="855"/>
      <c r="B186" s="854" t="s">
        <v>1231</v>
      </c>
      <c r="C186" s="783"/>
      <c r="D186" s="784"/>
      <c r="E186" s="851"/>
      <c r="F186" s="742" t="s">
        <v>185</v>
      </c>
      <c r="G186" s="812"/>
      <c r="H186" s="852"/>
      <c r="I186" s="812"/>
      <c r="J186" s="744"/>
      <c r="K186" s="746"/>
      <c r="L186" s="858"/>
    </row>
    <row r="187" spans="1:12" ht="24">
      <c r="A187" s="855"/>
      <c r="B187" s="848" t="s">
        <v>1232</v>
      </c>
      <c r="C187" s="849"/>
      <c r="D187" s="784"/>
      <c r="E187" s="851"/>
      <c r="F187" s="851"/>
      <c r="G187" s="812"/>
      <c r="H187" s="852"/>
      <c r="I187" s="812"/>
      <c r="J187" s="744"/>
      <c r="K187" s="744"/>
      <c r="L187" s="858"/>
    </row>
    <row r="188" spans="1:12" ht="24">
      <c r="A188" s="855"/>
      <c r="B188" s="854" t="s">
        <v>1245</v>
      </c>
      <c r="C188" s="783"/>
      <c r="D188" s="784"/>
      <c r="E188" s="851"/>
      <c r="F188" s="742" t="s">
        <v>185</v>
      </c>
      <c r="G188" s="812"/>
      <c r="H188" s="852"/>
      <c r="I188" s="812"/>
      <c r="J188" s="744"/>
      <c r="K188" s="744"/>
      <c r="L188" s="858"/>
    </row>
    <row r="189" spans="1:12" ht="24">
      <c r="A189" s="855"/>
      <c r="B189" s="854" t="s">
        <v>1234</v>
      </c>
      <c r="C189" s="783"/>
      <c r="D189" s="784"/>
      <c r="E189" s="851"/>
      <c r="F189" s="742" t="s">
        <v>185</v>
      </c>
      <c r="G189" s="812"/>
      <c r="H189" s="852"/>
      <c r="I189" s="812"/>
      <c r="J189" s="744"/>
      <c r="K189" s="746"/>
      <c r="L189" s="858"/>
    </row>
    <row r="190" spans="1:12" ht="24">
      <c r="A190" s="835" t="s">
        <v>1246</v>
      </c>
      <c r="B190" s="854" t="s">
        <v>1247</v>
      </c>
      <c r="C190" s="783"/>
      <c r="D190" s="784"/>
      <c r="E190" s="851"/>
      <c r="F190" s="851"/>
      <c r="G190" s="812"/>
      <c r="H190" s="852"/>
      <c r="I190" s="812"/>
      <c r="J190" s="744"/>
      <c r="K190" s="744"/>
      <c r="L190" s="858"/>
    </row>
    <row r="191" spans="1:12" ht="24">
      <c r="A191" s="855"/>
      <c r="B191" s="854" t="s">
        <v>1224</v>
      </c>
      <c r="C191" s="783"/>
      <c r="D191" s="784"/>
      <c r="E191" s="851"/>
      <c r="F191" s="742"/>
      <c r="G191" s="812"/>
      <c r="H191" s="852"/>
      <c r="I191" s="812"/>
      <c r="J191" s="744"/>
      <c r="K191" s="744"/>
      <c r="L191" s="858"/>
    </row>
    <row r="192" spans="1:12" ht="24">
      <c r="A192" s="426"/>
      <c r="B192" s="854" t="s">
        <v>1248</v>
      </c>
      <c r="C192" s="749"/>
      <c r="D192" s="752"/>
      <c r="E192" s="742"/>
      <c r="F192" s="742" t="s">
        <v>185</v>
      </c>
      <c r="G192" s="754"/>
      <c r="H192" s="852"/>
      <c r="I192" s="812"/>
      <c r="J192" s="744"/>
      <c r="K192" s="744"/>
      <c r="L192" s="858"/>
    </row>
    <row r="193" spans="1:12" ht="24">
      <c r="A193" s="855"/>
      <c r="B193" s="856" t="s">
        <v>1226</v>
      </c>
      <c r="C193" s="783"/>
      <c r="D193" s="784"/>
      <c r="E193" s="851"/>
      <c r="F193" s="851"/>
      <c r="G193" s="812"/>
      <c r="H193" s="852"/>
      <c r="I193" s="812"/>
      <c r="J193" s="813"/>
      <c r="K193" s="813"/>
      <c r="L193" s="863"/>
    </row>
    <row r="194" spans="1:12" ht="24">
      <c r="A194" s="855"/>
      <c r="B194" s="854" t="s">
        <v>1227</v>
      </c>
      <c r="C194" s="783"/>
      <c r="D194" s="784"/>
      <c r="E194" s="851"/>
      <c r="F194" s="742" t="s">
        <v>185</v>
      </c>
      <c r="G194" s="812"/>
      <c r="H194" s="852"/>
      <c r="I194" s="812"/>
      <c r="J194" s="744"/>
      <c r="K194" s="746"/>
      <c r="L194" s="858"/>
    </row>
    <row r="195" spans="1:12" ht="24">
      <c r="A195" s="855"/>
      <c r="B195" s="854" t="s">
        <v>1228</v>
      </c>
      <c r="C195" s="783"/>
      <c r="D195" s="784"/>
      <c r="E195" s="851"/>
      <c r="F195" s="742" t="s">
        <v>185</v>
      </c>
      <c r="G195" s="812"/>
      <c r="H195" s="852"/>
      <c r="I195" s="812"/>
      <c r="J195" s="744"/>
      <c r="K195" s="746"/>
      <c r="L195" s="858"/>
    </row>
    <row r="196" spans="1:12" ht="24">
      <c r="A196" s="855"/>
      <c r="B196" s="854" t="s">
        <v>1229</v>
      </c>
      <c r="C196" s="783"/>
      <c r="D196" s="784"/>
      <c r="E196" s="851"/>
      <c r="F196" s="742" t="s">
        <v>185</v>
      </c>
      <c r="G196" s="812"/>
      <c r="H196" s="852"/>
      <c r="I196" s="812"/>
      <c r="J196" s="744"/>
      <c r="K196" s="746"/>
      <c r="L196" s="858"/>
    </row>
    <row r="197" spans="1:12" ht="24">
      <c r="A197" s="855"/>
      <c r="B197" s="854" t="s">
        <v>1230</v>
      </c>
      <c r="C197" s="783"/>
      <c r="D197" s="784"/>
      <c r="E197" s="851"/>
      <c r="F197" s="742" t="s">
        <v>185</v>
      </c>
      <c r="G197" s="812"/>
      <c r="H197" s="852"/>
      <c r="I197" s="812"/>
      <c r="J197" s="744"/>
      <c r="K197" s="746"/>
      <c r="L197" s="858"/>
    </row>
    <row r="198" spans="1:12" ht="24">
      <c r="A198" s="859"/>
      <c r="B198" s="860" t="s">
        <v>1231</v>
      </c>
      <c r="C198" s="797"/>
      <c r="D198" s="861"/>
      <c r="E198" s="800"/>
      <c r="F198" s="800" t="s">
        <v>185</v>
      </c>
      <c r="G198" s="802"/>
      <c r="H198" s="852"/>
      <c r="I198" s="802"/>
      <c r="J198" s="803"/>
      <c r="K198" s="805"/>
      <c r="L198" s="862"/>
    </row>
    <row r="199" spans="1:12" ht="24">
      <c r="A199" s="855"/>
      <c r="B199" s="866" t="s">
        <v>1239</v>
      </c>
      <c r="C199" s="867"/>
      <c r="D199" s="784"/>
      <c r="E199" s="851"/>
      <c r="F199" s="851"/>
      <c r="G199" s="812"/>
      <c r="H199" s="852"/>
      <c r="I199" s="812"/>
      <c r="J199" s="813"/>
      <c r="K199" s="813"/>
      <c r="L199" s="863"/>
    </row>
    <row r="200" spans="1:12" ht="24">
      <c r="A200" s="855"/>
      <c r="B200" s="854" t="s">
        <v>1249</v>
      </c>
      <c r="C200" s="783"/>
      <c r="D200" s="784"/>
      <c r="E200" s="851"/>
      <c r="F200" s="742" t="s">
        <v>185</v>
      </c>
      <c r="G200" s="812"/>
      <c r="H200" s="852"/>
      <c r="I200" s="812"/>
      <c r="J200" s="744"/>
      <c r="K200" s="746"/>
      <c r="L200" s="853"/>
    </row>
    <row r="201" spans="1:12" ht="24">
      <c r="A201" s="855"/>
      <c r="B201" s="854" t="s">
        <v>1234</v>
      </c>
      <c r="C201" s="783"/>
      <c r="D201" s="784"/>
      <c r="E201" s="851"/>
      <c r="F201" s="742" t="s">
        <v>185</v>
      </c>
      <c r="G201" s="812"/>
      <c r="H201" s="852"/>
      <c r="I201" s="812"/>
      <c r="J201" s="744"/>
      <c r="K201" s="746"/>
      <c r="L201" s="853"/>
    </row>
    <row r="202" spans="1:12" ht="24">
      <c r="A202" s="835" t="s">
        <v>1250</v>
      </c>
      <c r="B202" s="848" t="s">
        <v>1251</v>
      </c>
      <c r="C202" s="849"/>
      <c r="D202" s="784"/>
      <c r="E202" s="851"/>
      <c r="F202" s="851"/>
      <c r="G202" s="812"/>
      <c r="H202" s="852"/>
      <c r="I202" s="812"/>
      <c r="J202" s="744"/>
      <c r="K202" s="744"/>
      <c r="L202" s="853"/>
    </row>
    <row r="203" spans="1:12" ht="24">
      <c r="A203" s="855"/>
      <c r="B203" s="854" t="s">
        <v>1224</v>
      </c>
      <c r="C203" s="783"/>
      <c r="D203" s="784"/>
      <c r="E203" s="851"/>
      <c r="F203" s="742"/>
      <c r="G203" s="812"/>
      <c r="H203" s="852"/>
      <c r="I203" s="812"/>
      <c r="J203" s="744"/>
      <c r="K203" s="744"/>
      <c r="L203" s="853"/>
    </row>
    <row r="204" spans="1:12" ht="24">
      <c r="A204" s="855"/>
      <c r="B204" s="854" t="s">
        <v>1237</v>
      </c>
      <c r="C204" s="783"/>
      <c r="D204" s="784"/>
      <c r="E204" s="851"/>
      <c r="F204" s="742" t="s">
        <v>185</v>
      </c>
      <c r="G204" s="868"/>
      <c r="H204" s="753"/>
      <c r="I204" s="812"/>
      <c r="J204" s="753"/>
      <c r="K204" s="869"/>
      <c r="L204" s="853"/>
    </row>
    <row r="205" spans="1:12" ht="24">
      <c r="A205" s="855"/>
      <c r="B205" s="854" t="s">
        <v>1244</v>
      </c>
      <c r="C205" s="783"/>
      <c r="D205" s="784"/>
      <c r="E205" s="851"/>
      <c r="F205" s="742" t="s">
        <v>185</v>
      </c>
      <c r="G205" s="812"/>
      <c r="H205" s="753"/>
      <c r="I205" s="812"/>
      <c r="J205" s="744"/>
      <c r="K205" s="746"/>
      <c r="L205" s="853"/>
    </row>
    <row r="206" spans="1:12" ht="24">
      <c r="A206" s="855"/>
      <c r="B206" s="854" t="s">
        <v>1226</v>
      </c>
      <c r="C206" s="783"/>
      <c r="D206" s="784"/>
      <c r="E206" s="851"/>
      <c r="F206" s="851"/>
      <c r="G206" s="812"/>
      <c r="H206" s="753"/>
      <c r="I206" s="812"/>
      <c r="J206" s="744"/>
      <c r="K206" s="744"/>
      <c r="L206" s="853"/>
    </row>
    <row r="207" spans="1:12" ht="24">
      <c r="A207" s="855"/>
      <c r="B207" s="854" t="s">
        <v>1252</v>
      </c>
      <c r="C207" s="783"/>
      <c r="D207" s="784"/>
      <c r="E207" s="851"/>
      <c r="F207" s="742" t="s">
        <v>185</v>
      </c>
      <c r="G207" s="812"/>
      <c r="H207" s="753"/>
      <c r="I207" s="812"/>
      <c r="J207" s="744"/>
      <c r="K207" s="746"/>
      <c r="L207" s="858"/>
    </row>
    <row r="208" spans="1:12" ht="24">
      <c r="A208" s="855"/>
      <c r="B208" s="854" t="s">
        <v>1228</v>
      </c>
      <c r="C208" s="783"/>
      <c r="D208" s="784"/>
      <c r="E208" s="851"/>
      <c r="F208" s="742" t="s">
        <v>185</v>
      </c>
      <c r="G208" s="812"/>
      <c r="H208" s="753"/>
      <c r="I208" s="812"/>
      <c r="J208" s="744"/>
      <c r="K208" s="746"/>
      <c r="L208" s="858"/>
    </row>
    <row r="209" spans="1:12" ht="24">
      <c r="A209" s="855"/>
      <c r="B209" s="854" t="s">
        <v>1229</v>
      </c>
      <c r="C209" s="783"/>
      <c r="D209" s="784"/>
      <c r="E209" s="851"/>
      <c r="F209" s="742" t="s">
        <v>185</v>
      </c>
      <c r="G209" s="812"/>
      <c r="H209" s="753"/>
      <c r="I209" s="812"/>
      <c r="J209" s="744"/>
      <c r="K209" s="746"/>
      <c r="L209" s="858"/>
    </row>
    <row r="210" spans="1:12" ht="24">
      <c r="A210" s="855"/>
      <c r="B210" s="854" t="s">
        <v>1230</v>
      </c>
      <c r="C210" s="783"/>
      <c r="D210" s="784"/>
      <c r="E210" s="851"/>
      <c r="F210" s="742" t="s">
        <v>185</v>
      </c>
      <c r="G210" s="812"/>
      <c r="H210" s="753"/>
      <c r="I210" s="812"/>
      <c r="J210" s="744"/>
      <c r="K210" s="746"/>
      <c r="L210" s="858"/>
    </row>
    <row r="211" spans="1:12" ht="24">
      <c r="A211" s="855"/>
      <c r="B211" s="854" t="s">
        <v>1231</v>
      </c>
      <c r="C211" s="783"/>
      <c r="D211" s="784"/>
      <c r="E211" s="851"/>
      <c r="F211" s="742" t="s">
        <v>185</v>
      </c>
      <c r="G211" s="812"/>
      <c r="H211" s="753"/>
      <c r="I211" s="812"/>
      <c r="J211" s="744"/>
      <c r="K211" s="746"/>
      <c r="L211" s="858"/>
    </row>
    <row r="212" spans="1:12" ht="24">
      <c r="A212" s="855"/>
      <c r="B212" s="848" t="s">
        <v>1239</v>
      </c>
      <c r="C212" s="849"/>
      <c r="D212" s="784"/>
      <c r="E212" s="851"/>
      <c r="F212" s="851"/>
      <c r="G212" s="812"/>
      <c r="H212" s="753"/>
      <c r="I212" s="812"/>
      <c r="J212" s="744"/>
      <c r="K212" s="744"/>
      <c r="L212" s="853"/>
    </row>
    <row r="213" spans="1:12" ht="24">
      <c r="A213" s="426"/>
      <c r="B213" s="854" t="s">
        <v>1253</v>
      </c>
      <c r="C213" s="749"/>
      <c r="D213" s="752"/>
      <c r="E213" s="742"/>
      <c r="F213" s="742" t="s">
        <v>185</v>
      </c>
      <c r="G213" s="754"/>
      <c r="H213" s="753"/>
      <c r="I213" s="754"/>
      <c r="J213" s="744"/>
      <c r="K213" s="744"/>
      <c r="L213" s="853"/>
    </row>
    <row r="214" spans="1:12" ht="24">
      <c r="A214" s="855"/>
      <c r="B214" s="866" t="s">
        <v>1232</v>
      </c>
      <c r="C214" s="783"/>
      <c r="D214" s="784"/>
      <c r="E214" s="851"/>
      <c r="F214" s="851"/>
      <c r="G214" s="812"/>
      <c r="H214" s="753"/>
      <c r="I214" s="812"/>
      <c r="J214" s="813"/>
      <c r="K214" s="870"/>
      <c r="L214" s="857"/>
    </row>
    <row r="215" spans="1:12" ht="24">
      <c r="A215" s="855"/>
      <c r="B215" s="854" t="s">
        <v>1254</v>
      </c>
      <c r="C215" s="783"/>
      <c r="D215" s="784"/>
      <c r="E215" s="851"/>
      <c r="F215" s="742" t="s">
        <v>185</v>
      </c>
      <c r="G215" s="812"/>
      <c r="H215" s="753"/>
      <c r="I215" s="812"/>
      <c r="J215" s="744"/>
      <c r="K215" s="746"/>
      <c r="L215" s="853"/>
    </row>
    <row r="216" spans="1:12" ht="24">
      <c r="A216" s="855"/>
      <c r="B216" s="854" t="s">
        <v>1234</v>
      </c>
      <c r="C216" s="783"/>
      <c r="D216" s="784"/>
      <c r="E216" s="851"/>
      <c r="F216" s="742" t="s">
        <v>185</v>
      </c>
      <c r="G216" s="812"/>
      <c r="H216" s="753"/>
      <c r="I216" s="812"/>
      <c r="J216" s="744"/>
      <c r="K216" s="746"/>
      <c r="L216" s="853"/>
    </row>
    <row r="217" spans="1:12" ht="24">
      <c r="A217" s="449" t="s">
        <v>1255</v>
      </c>
      <c r="B217" s="749" t="s">
        <v>1256</v>
      </c>
      <c r="C217" s="749"/>
      <c r="D217" s="752"/>
      <c r="E217" s="742"/>
      <c r="F217" s="742"/>
      <c r="G217" s="754"/>
      <c r="H217" s="753"/>
      <c r="I217" s="754"/>
      <c r="J217" s="744"/>
      <c r="K217" s="746"/>
      <c r="L217" s="795"/>
    </row>
    <row r="218" spans="1:12" ht="24">
      <c r="A218" s="426"/>
      <c r="B218" s="749" t="s">
        <v>1257</v>
      </c>
      <c r="C218" s="749"/>
      <c r="D218" s="752"/>
      <c r="E218" s="742"/>
      <c r="F218" s="789" t="s">
        <v>1109</v>
      </c>
      <c r="G218" s="754"/>
      <c r="H218" s="753"/>
      <c r="I218" s="754"/>
      <c r="J218" s="744"/>
      <c r="K218" s="746"/>
      <c r="L218" s="795"/>
    </row>
    <row r="219" spans="1:12" ht="24">
      <c r="A219" s="859"/>
      <c r="B219" s="797" t="s">
        <v>1258</v>
      </c>
      <c r="C219" s="797"/>
      <c r="D219" s="861"/>
      <c r="E219" s="800"/>
      <c r="F219" s="801" t="s">
        <v>1109</v>
      </c>
      <c r="G219" s="802"/>
      <c r="H219" s="753"/>
      <c r="I219" s="802"/>
      <c r="J219" s="803"/>
      <c r="K219" s="805"/>
      <c r="L219" s="806"/>
    </row>
    <row r="220" spans="1:12" ht="24">
      <c r="A220" s="855"/>
      <c r="B220" s="783" t="s">
        <v>1259</v>
      </c>
      <c r="C220" s="783"/>
      <c r="D220" s="784"/>
      <c r="E220" s="851"/>
      <c r="F220" s="811" t="s">
        <v>1109</v>
      </c>
      <c r="G220" s="812"/>
      <c r="H220" s="753"/>
      <c r="I220" s="812"/>
      <c r="J220" s="813"/>
      <c r="K220" s="814"/>
      <c r="L220" s="815"/>
    </row>
    <row r="221" spans="1:12" ht="24">
      <c r="A221" s="426"/>
      <c r="B221" s="749" t="s">
        <v>1260</v>
      </c>
      <c r="C221" s="749"/>
      <c r="D221" s="752"/>
      <c r="E221" s="742"/>
      <c r="F221" s="789" t="s">
        <v>1109</v>
      </c>
      <c r="G221" s="754"/>
      <c r="H221" s="753"/>
      <c r="I221" s="754"/>
      <c r="J221" s="744"/>
      <c r="K221" s="746"/>
      <c r="L221" s="795"/>
    </row>
    <row r="222" spans="1:12" ht="24">
      <c r="A222" s="426"/>
      <c r="B222" s="749" t="s">
        <v>1261</v>
      </c>
      <c r="C222" s="749"/>
      <c r="D222" s="752"/>
      <c r="E222" s="742"/>
      <c r="F222" s="789" t="s">
        <v>1109</v>
      </c>
      <c r="G222" s="754"/>
      <c r="H222" s="753"/>
      <c r="I222" s="754"/>
      <c r="J222" s="744"/>
      <c r="K222" s="746"/>
      <c r="L222" s="795"/>
    </row>
    <row r="223" spans="1:12" ht="24">
      <c r="A223" s="449" t="s">
        <v>1262</v>
      </c>
      <c r="B223" s="749" t="s">
        <v>1263</v>
      </c>
      <c r="C223" s="749"/>
      <c r="D223" s="752"/>
      <c r="E223" s="742"/>
      <c r="F223" s="742"/>
      <c r="G223" s="754"/>
      <c r="H223" s="753"/>
      <c r="I223" s="754"/>
      <c r="J223" s="744"/>
      <c r="K223" s="746"/>
      <c r="L223" s="795"/>
    </row>
    <row r="224" spans="1:12" ht="24">
      <c r="A224" s="426"/>
      <c r="B224" s="749" t="s">
        <v>1116</v>
      </c>
      <c r="C224" s="749"/>
      <c r="D224" s="752"/>
      <c r="E224" s="742"/>
      <c r="F224" s="789" t="s">
        <v>1109</v>
      </c>
      <c r="G224" s="754"/>
      <c r="H224" s="753"/>
      <c r="I224" s="754"/>
      <c r="J224" s="744"/>
      <c r="K224" s="746"/>
      <c r="L224" s="795"/>
    </row>
    <row r="225" spans="1:12" ht="24">
      <c r="A225" s="426"/>
      <c r="B225" s="749" t="s">
        <v>1117</v>
      </c>
      <c r="C225" s="749"/>
      <c r="D225" s="752"/>
      <c r="E225" s="742"/>
      <c r="F225" s="789" t="s">
        <v>1109</v>
      </c>
      <c r="G225" s="754"/>
      <c r="H225" s="753"/>
      <c r="I225" s="754"/>
      <c r="J225" s="744"/>
      <c r="K225" s="746"/>
      <c r="L225" s="795"/>
    </row>
    <row r="226" spans="1:12" ht="24">
      <c r="A226" s="426"/>
      <c r="B226" s="749" t="s">
        <v>1151</v>
      </c>
      <c r="C226" s="749"/>
      <c r="D226" s="752"/>
      <c r="E226" s="742"/>
      <c r="F226" s="789" t="s">
        <v>1109</v>
      </c>
      <c r="G226" s="754"/>
      <c r="H226" s="753"/>
      <c r="I226" s="754"/>
      <c r="J226" s="744"/>
      <c r="K226" s="746"/>
      <c r="L226" s="795"/>
    </row>
    <row r="227" spans="1:12" ht="24">
      <c r="A227" s="426"/>
      <c r="B227" s="749" t="s">
        <v>1119</v>
      </c>
      <c r="C227" s="749"/>
      <c r="D227" s="752"/>
      <c r="E227" s="742"/>
      <c r="F227" s="789" t="s">
        <v>1109</v>
      </c>
      <c r="G227" s="754"/>
      <c r="H227" s="753"/>
      <c r="I227" s="754"/>
      <c r="J227" s="744"/>
      <c r="K227" s="746"/>
      <c r="L227" s="795"/>
    </row>
    <row r="228" spans="1:12" ht="24">
      <c r="A228" s="426"/>
      <c r="B228" s="749" t="s">
        <v>1168</v>
      </c>
      <c r="C228" s="749"/>
      <c r="D228" s="752"/>
      <c r="E228" s="742"/>
      <c r="F228" s="742" t="s">
        <v>1112</v>
      </c>
      <c r="G228" s="754"/>
      <c r="H228" s="753"/>
      <c r="I228" s="754"/>
      <c r="J228" s="744"/>
      <c r="K228" s="746"/>
      <c r="L228" s="795"/>
    </row>
    <row r="229" spans="1:12" ht="24">
      <c r="A229" s="825"/>
      <c r="B229" s="792" t="s">
        <v>1144</v>
      </c>
      <c r="C229" s="808"/>
      <c r="D229" s="809"/>
      <c r="E229" s="810"/>
      <c r="F229" s="811"/>
      <c r="G229" s="826"/>
      <c r="H229" s="813"/>
      <c r="I229" s="827"/>
      <c r="J229" s="813"/>
      <c r="K229" s="814"/>
      <c r="L229" s="815"/>
    </row>
    <row r="230" spans="1:12" ht="24.75" thickBot="1">
      <c r="A230" s="788"/>
      <c r="B230" s="847"/>
      <c r="C230" s="792"/>
      <c r="D230" s="793"/>
      <c r="E230" s="794"/>
      <c r="F230" s="789"/>
      <c r="G230" s="790"/>
      <c r="H230" s="744"/>
      <c r="I230" s="791"/>
      <c r="J230" s="744"/>
      <c r="K230" s="746"/>
      <c r="L230" s="795"/>
    </row>
    <row r="231" spans="1:12" ht="24.75" thickTop="1">
      <c r="A231" s="427"/>
      <c r="B231" s="2135" t="s">
        <v>1264</v>
      </c>
      <c r="C231" s="2136"/>
      <c r="D231" s="2137"/>
      <c r="E231" s="822"/>
      <c r="F231" s="760"/>
      <c r="G231" s="823"/>
      <c r="H231" s="762"/>
      <c r="I231" s="763"/>
      <c r="J231" s="762"/>
      <c r="K231" s="762"/>
      <c r="L231" s="824"/>
    </row>
    <row r="232" spans="1:12" ht="24">
      <c r="A232" s="871">
        <v>3.7</v>
      </c>
      <c r="B232" s="872" t="s">
        <v>1265</v>
      </c>
      <c r="C232" s="792"/>
      <c r="D232" s="793"/>
      <c r="E232" s="794"/>
      <c r="F232" s="789"/>
      <c r="G232" s="790"/>
      <c r="H232" s="744"/>
      <c r="I232" s="791"/>
      <c r="J232" s="744"/>
      <c r="K232" s="746"/>
      <c r="L232" s="795"/>
    </row>
    <row r="233" spans="1:12" ht="24">
      <c r="A233" s="449" t="s">
        <v>1266</v>
      </c>
      <c r="B233" s="749" t="s">
        <v>1267</v>
      </c>
      <c r="C233" s="749"/>
      <c r="D233" s="752"/>
      <c r="E233" s="742"/>
      <c r="F233" s="742"/>
      <c r="G233" s="754"/>
      <c r="H233" s="744"/>
      <c r="I233" s="791"/>
      <c r="J233" s="744"/>
      <c r="K233" s="746"/>
      <c r="L233" s="795"/>
    </row>
    <row r="234" spans="1:12" ht="24">
      <c r="A234" s="449"/>
      <c r="B234" s="749" t="s">
        <v>1125</v>
      </c>
      <c r="C234" s="749"/>
      <c r="D234" s="752"/>
      <c r="E234" s="742"/>
      <c r="F234" s="789" t="s">
        <v>1109</v>
      </c>
      <c r="G234" s="754"/>
      <c r="H234" s="744"/>
      <c r="I234" s="754"/>
      <c r="J234" s="744"/>
      <c r="K234" s="746"/>
      <c r="L234" s="795"/>
    </row>
    <row r="235" spans="1:12" ht="24">
      <c r="A235" s="449"/>
      <c r="B235" s="749" t="s">
        <v>1148</v>
      </c>
      <c r="C235" s="749"/>
      <c r="D235" s="752"/>
      <c r="E235" s="742"/>
      <c r="F235" s="789" t="s">
        <v>1109</v>
      </c>
      <c r="G235" s="754"/>
      <c r="H235" s="744"/>
      <c r="I235" s="754"/>
      <c r="J235" s="744"/>
      <c r="K235" s="746"/>
      <c r="L235" s="795"/>
    </row>
    <row r="236" spans="1:12" ht="24">
      <c r="A236" s="788"/>
      <c r="B236" s="749" t="s">
        <v>1113</v>
      </c>
      <c r="C236" s="749"/>
      <c r="D236" s="752"/>
      <c r="E236" s="742"/>
      <c r="F236" s="742" t="s">
        <v>1112</v>
      </c>
      <c r="G236" s="754"/>
      <c r="H236" s="744"/>
      <c r="I236" s="754"/>
      <c r="J236" s="744"/>
      <c r="K236" s="746"/>
      <c r="L236" s="757"/>
    </row>
    <row r="237" spans="1:12" ht="24">
      <c r="A237" s="449" t="s">
        <v>1268</v>
      </c>
      <c r="B237" s="749" t="s">
        <v>1269</v>
      </c>
      <c r="C237" s="749"/>
      <c r="D237" s="752"/>
      <c r="E237" s="742"/>
      <c r="F237" s="742"/>
      <c r="G237" s="754"/>
      <c r="H237" s="744"/>
      <c r="I237" s="754"/>
      <c r="J237" s="744"/>
      <c r="K237" s="746"/>
      <c r="L237" s="757"/>
    </row>
    <row r="238" spans="1:12" ht="24">
      <c r="A238" s="785" t="s">
        <v>1270</v>
      </c>
      <c r="B238" s="749" t="s">
        <v>1271</v>
      </c>
      <c r="C238" s="749"/>
      <c r="D238" s="752"/>
      <c r="E238" s="742"/>
      <c r="F238" s="742"/>
      <c r="G238" s="754"/>
      <c r="H238" s="744"/>
      <c r="I238" s="754"/>
      <c r="J238" s="744"/>
      <c r="K238" s="746"/>
      <c r="L238" s="757"/>
    </row>
    <row r="239" spans="1:12" ht="24">
      <c r="A239" s="788"/>
      <c r="B239" s="749" t="s">
        <v>1148</v>
      </c>
      <c r="C239" s="749"/>
      <c r="D239" s="752"/>
      <c r="E239" s="742"/>
      <c r="F239" s="742" t="s">
        <v>185</v>
      </c>
      <c r="G239" s="754"/>
      <c r="H239" s="744"/>
      <c r="I239" s="754"/>
      <c r="J239" s="744"/>
      <c r="K239" s="746"/>
      <c r="L239" s="757"/>
    </row>
    <row r="240" spans="1:12" ht="24">
      <c r="A240" s="796"/>
      <c r="B240" s="797"/>
      <c r="C240" s="797"/>
      <c r="D240" s="861"/>
      <c r="E240" s="800"/>
      <c r="F240" s="800"/>
      <c r="G240" s="802"/>
      <c r="H240" s="803"/>
      <c r="I240" s="802"/>
      <c r="J240" s="803"/>
      <c r="K240" s="805"/>
      <c r="L240" s="873"/>
    </row>
    <row r="241" spans="1:12" ht="24">
      <c r="A241" s="807" t="s">
        <v>1272</v>
      </c>
      <c r="B241" s="783" t="s">
        <v>1273</v>
      </c>
      <c r="C241" s="783"/>
      <c r="D241" s="784"/>
      <c r="E241" s="851"/>
      <c r="F241" s="851"/>
      <c r="G241" s="812"/>
      <c r="H241" s="813"/>
      <c r="I241" s="812"/>
      <c r="J241" s="813"/>
      <c r="K241" s="814"/>
      <c r="L241" s="874"/>
    </row>
    <row r="242" spans="1:12" ht="24">
      <c r="A242" s="788"/>
      <c r="B242" s="749" t="s">
        <v>1148</v>
      </c>
      <c r="C242" s="749"/>
      <c r="D242" s="752"/>
      <c r="E242" s="742"/>
      <c r="F242" s="742" t="s">
        <v>185</v>
      </c>
      <c r="G242" s="754"/>
      <c r="H242" s="744"/>
      <c r="I242" s="754"/>
      <c r="J242" s="744"/>
      <c r="K242" s="746"/>
      <c r="L242" s="757"/>
    </row>
    <row r="243" spans="1:12" ht="24">
      <c r="A243" s="785" t="s">
        <v>1274</v>
      </c>
      <c r="B243" s="749" t="s">
        <v>1275</v>
      </c>
      <c r="C243" s="749"/>
      <c r="D243" s="752"/>
      <c r="E243" s="742"/>
      <c r="F243" s="742"/>
      <c r="G243" s="754"/>
      <c r="H243" s="744"/>
      <c r="I243" s="754"/>
      <c r="J243" s="744"/>
      <c r="K243" s="746"/>
      <c r="L243" s="757"/>
    </row>
    <row r="244" spans="1:12" ht="24">
      <c r="A244" s="788"/>
      <c r="B244" s="749" t="s">
        <v>1118</v>
      </c>
      <c r="C244" s="749"/>
      <c r="D244" s="752"/>
      <c r="E244" s="742"/>
      <c r="F244" s="742" t="s">
        <v>185</v>
      </c>
      <c r="G244" s="754"/>
      <c r="H244" s="744"/>
      <c r="I244" s="754"/>
      <c r="J244" s="744"/>
      <c r="K244" s="746"/>
      <c r="L244" s="757"/>
    </row>
    <row r="245" spans="1:12" ht="24">
      <c r="A245" s="785" t="s">
        <v>1276</v>
      </c>
      <c r="B245" s="749" t="s">
        <v>1277</v>
      </c>
      <c r="C245" s="749"/>
      <c r="D245" s="752"/>
      <c r="E245" s="742"/>
      <c r="F245" s="742"/>
      <c r="G245" s="754"/>
      <c r="H245" s="744"/>
      <c r="I245" s="754"/>
      <c r="J245" s="744"/>
      <c r="K245" s="746"/>
      <c r="L245" s="757"/>
    </row>
    <row r="246" spans="1:12" ht="24">
      <c r="A246" s="788"/>
      <c r="B246" s="749" t="s">
        <v>1278</v>
      </c>
      <c r="C246" s="749"/>
      <c r="D246" s="752"/>
      <c r="E246" s="742"/>
      <c r="F246" s="742" t="s">
        <v>185</v>
      </c>
      <c r="G246" s="754"/>
      <c r="H246" s="744"/>
      <c r="I246" s="754"/>
      <c r="J246" s="744"/>
      <c r="K246" s="746"/>
      <c r="L246" s="757"/>
    </row>
    <row r="247" spans="1:12" ht="24">
      <c r="A247" s="449" t="s">
        <v>1279</v>
      </c>
      <c r="B247" s="749" t="s">
        <v>1280</v>
      </c>
      <c r="C247" s="749"/>
      <c r="D247" s="752"/>
      <c r="E247" s="742"/>
      <c r="F247" s="742"/>
      <c r="G247" s="875"/>
      <c r="H247" s="744"/>
      <c r="I247" s="754"/>
      <c r="J247" s="744"/>
      <c r="K247" s="746"/>
      <c r="L247" s="757"/>
    </row>
    <row r="248" spans="1:12" ht="24">
      <c r="A248" s="835" t="s">
        <v>1281</v>
      </c>
      <c r="B248" s="783" t="s">
        <v>1282</v>
      </c>
      <c r="C248" s="783"/>
      <c r="D248" s="784"/>
      <c r="E248" s="851"/>
      <c r="F248" s="851"/>
      <c r="G248" s="876"/>
      <c r="H248" s="813"/>
      <c r="I248" s="812"/>
      <c r="J248" s="813"/>
      <c r="K248" s="814"/>
      <c r="L248" s="874"/>
    </row>
    <row r="249" spans="1:12" ht="24">
      <c r="A249" s="846"/>
      <c r="B249" s="749" t="s">
        <v>1283</v>
      </c>
      <c r="C249" s="749"/>
      <c r="D249" s="752"/>
      <c r="E249" s="742"/>
      <c r="F249" s="742" t="s">
        <v>185</v>
      </c>
      <c r="G249" s="754"/>
      <c r="H249" s="744"/>
      <c r="I249" s="754"/>
      <c r="J249" s="744"/>
      <c r="K249" s="746"/>
      <c r="L249" s="757"/>
    </row>
    <row r="250" spans="1:12" ht="24">
      <c r="A250" s="449"/>
      <c r="B250" s="749" t="s">
        <v>1284</v>
      </c>
      <c r="C250" s="749"/>
      <c r="D250" s="752"/>
      <c r="E250" s="742"/>
      <c r="F250" s="742" t="s">
        <v>185</v>
      </c>
      <c r="G250" s="754"/>
      <c r="H250" s="744"/>
      <c r="I250" s="754"/>
      <c r="J250" s="744"/>
      <c r="K250" s="746"/>
      <c r="L250" s="757"/>
    </row>
    <row r="251" spans="1:12" ht="24">
      <c r="A251" s="449"/>
      <c r="B251" s="749" t="s">
        <v>1285</v>
      </c>
      <c r="C251" s="749"/>
      <c r="D251" s="752"/>
      <c r="E251" s="742"/>
      <c r="F251" s="742" t="s">
        <v>185</v>
      </c>
      <c r="G251" s="754"/>
      <c r="H251" s="744"/>
      <c r="I251" s="754"/>
      <c r="J251" s="744"/>
      <c r="K251" s="746"/>
      <c r="L251" s="757"/>
    </row>
    <row r="252" spans="1:12" ht="24">
      <c r="A252" s="449"/>
      <c r="B252" s="749" t="s">
        <v>1286</v>
      </c>
      <c r="C252" s="749"/>
      <c r="D252" s="752"/>
      <c r="E252" s="742"/>
      <c r="F252" s="742" t="s">
        <v>185</v>
      </c>
      <c r="G252" s="754"/>
      <c r="H252" s="744"/>
      <c r="I252" s="754"/>
      <c r="J252" s="744"/>
      <c r="K252" s="746"/>
      <c r="L252" s="757"/>
    </row>
    <row r="253" spans="1:12" ht="24">
      <c r="A253" s="449"/>
      <c r="B253" s="749" t="s">
        <v>1287</v>
      </c>
      <c r="C253" s="749"/>
      <c r="D253" s="752"/>
      <c r="E253" s="742"/>
      <c r="F253" s="742" t="s">
        <v>185</v>
      </c>
      <c r="G253" s="754"/>
      <c r="H253" s="744"/>
      <c r="I253" s="754"/>
      <c r="J253" s="744"/>
      <c r="K253" s="746"/>
      <c r="L253" s="757"/>
    </row>
    <row r="254" spans="1:12" ht="24">
      <c r="A254" s="426"/>
      <c r="B254" s="749" t="s">
        <v>1288</v>
      </c>
      <c r="C254" s="749"/>
      <c r="D254" s="752"/>
      <c r="E254" s="742"/>
      <c r="F254" s="742" t="s">
        <v>185</v>
      </c>
      <c r="G254" s="754"/>
      <c r="H254" s="744"/>
      <c r="I254" s="754"/>
      <c r="J254" s="744"/>
      <c r="K254" s="746"/>
      <c r="L254" s="757"/>
    </row>
    <row r="255" spans="1:12" ht="24">
      <c r="A255" s="877"/>
      <c r="B255" s="749" t="s">
        <v>1289</v>
      </c>
      <c r="C255" s="749"/>
      <c r="D255" s="752"/>
      <c r="E255" s="742"/>
      <c r="F255" s="742" t="s">
        <v>185</v>
      </c>
      <c r="G255" s="754"/>
      <c r="H255" s="744"/>
      <c r="I255" s="754"/>
      <c r="J255" s="744"/>
      <c r="K255" s="746"/>
      <c r="L255" s="757"/>
    </row>
    <row r="256" spans="1:12" ht="24">
      <c r="A256" s="877"/>
      <c r="B256" s="749" t="s">
        <v>1290</v>
      </c>
      <c r="C256" s="749"/>
      <c r="D256" s="752"/>
      <c r="E256" s="742"/>
      <c r="F256" s="742" t="s">
        <v>185</v>
      </c>
      <c r="G256" s="754"/>
      <c r="H256" s="744"/>
      <c r="I256" s="754"/>
      <c r="J256" s="744"/>
      <c r="K256" s="746"/>
      <c r="L256" s="757"/>
    </row>
    <row r="257" spans="1:12" ht="24">
      <c r="A257" s="426"/>
      <c r="B257" s="749" t="s">
        <v>1291</v>
      </c>
      <c r="C257" s="749"/>
      <c r="D257" s="752"/>
      <c r="E257" s="742"/>
      <c r="F257" s="742" t="s">
        <v>185</v>
      </c>
      <c r="G257" s="754"/>
      <c r="H257" s="744"/>
      <c r="I257" s="754"/>
      <c r="J257" s="744"/>
      <c r="K257" s="746"/>
      <c r="L257" s="757"/>
    </row>
    <row r="258" spans="1:12" ht="24">
      <c r="A258" s="426"/>
      <c r="B258" s="749"/>
      <c r="C258" s="749"/>
      <c r="D258" s="752"/>
      <c r="E258" s="742"/>
      <c r="F258" s="742"/>
      <c r="G258" s="754"/>
      <c r="H258" s="744"/>
      <c r="I258" s="754"/>
      <c r="J258" s="744"/>
      <c r="K258" s="746"/>
      <c r="L258" s="757"/>
    </row>
    <row r="259" spans="1:12" ht="24">
      <c r="A259" s="426"/>
      <c r="B259" s="749"/>
      <c r="C259" s="749"/>
      <c r="D259" s="752"/>
      <c r="E259" s="742"/>
      <c r="F259" s="742"/>
      <c r="G259" s="754"/>
      <c r="H259" s="744"/>
      <c r="I259" s="754"/>
      <c r="J259" s="744"/>
      <c r="K259" s="746"/>
      <c r="L259" s="757"/>
    </row>
    <row r="260" spans="1:12" ht="24">
      <c r="A260" s="426"/>
      <c r="B260" s="749"/>
      <c r="C260" s="749"/>
      <c r="D260" s="752"/>
      <c r="E260" s="742"/>
      <c r="F260" s="742"/>
      <c r="G260" s="754"/>
      <c r="H260" s="744"/>
      <c r="I260" s="754"/>
      <c r="J260" s="744"/>
      <c r="K260" s="746"/>
      <c r="L260" s="757"/>
    </row>
    <row r="261" spans="1:12" ht="24">
      <c r="A261" s="859"/>
      <c r="B261" s="797"/>
      <c r="C261" s="797"/>
      <c r="D261" s="861"/>
      <c r="E261" s="800"/>
      <c r="F261" s="800"/>
      <c r="G261" s="802"/>
      <c r="H261" s="803"/>
      <c r="I261" s="802"/>
      <c r="J261" s="803"/>
      <c r="K261" s="805"/>
      <c r="L261" s="873"/>
    </row>
    <row r="262" spans="1:12" ht="24">
      <c r="A262" s="835" t="s">
        <v>1292</v>
      </c>
      <c r="B262" s="783" t="s">
        <v>1293</v>
      </c>
      <c r="C262" s="783"/>
      <c r="D262" s="784"/>
      <c r="E262" s="851"/>
      <c r="F262" s="851"/>
      <c r="G262" s="812"/>
      <c r="H262" s="813"/>
      <c r="I262" s="812"/>
      <c r="J262" s="813"/>
      <c r="K262" s="814"/>
      <c r="L262" s="874"/>
    </row>
    <row r="263" spans="1:12" ht="24">
      <c r="A263" s="426"/>
      <c r="B263" s="749" t="s">
        <v>1284</v>
      </c>
      <c r="C263" s="749"/>
      <c r="D263" s="752"/>
      <c r="E263" s="742"/>
      <c r="F263" s="742" t="s">
        <v>185</v>
      </c>
      <c r="G263" s="754"/>
      <c r="H263" s="744"/>
      <c r="I263" s="754"/>
      <c r="J263" s="744"/>
      <c r="K263" s="746"/>
      <c r="L263" s="757"/>
    </row>
    <row r="264" spans="1:12" ht="24">
      <c r="A264" s="785"/>
      <c r="B264" s="792" t="s">
        <v>1144</v>
      </c>
      <c r="C264" s="792"/>
      <c r="D264" s="793"/>
      <c r="E264" s="794"/>
      <c r="F264" s="789"/>
      <c r="G264" s="790"/>
      <c r="H264" s="744"/>
      <c r="I264" s="791"/>
      <c r="J264" s="744"/>
      <c r="K264" s="746"/>
      <c r="L264" s="795"/>
    </row>
    <row r="265" spans="1:12" ht="24">
      <c r="A265" s="785"/>
      <c r="B265" s="792"/>
      <c r="C265" s="792"/>
      <c r="D265" s="793"/>
      <c r="E265" s="794"/>
      <c r="F265" s="789"/>
      <c r="G265" s="790"/>
      <c r="H265" s="744"/>
      <c r="I265" s="791"/>
      <c r="J265" s="744"/>
      <c r="K265" s="746"/>
      <c r="L265" s="795"/>
    </row>
    <row r="266" spans="1:12" ht="24">
      <c r="A266" s="785"/>
      <c r="B266" s="792"/>
      <c r="C266" s="792"/>
      <c r="D266" s="793"/>
      <c r="E266" s="794"/>
      <c r="F266" s="789"/>
      <c r="G266" s="790"/>
      <c r="H266" s="744"/>
      <c r="I266" s="791"/>
      <c r="J266" s="744"/>
      <c r="K266" s="746"/>
      <c r="L266" s="795"/>
    </row>
    <row r="267" spans="1:12" ht="24">
      <c r="A267" s="785"/>
      <c r="B267" s="792"/>
      <c r="C267" s="792"/>
      <c r="D267" s="793"/>
      <c r="E267" s="794"/>
      <c r="F267" s="789"/>
      <c r="G267" s="790"/>
      <c r="H267" s="744"/>
      <c r="I267" s="791"/>
      <c r="J267" s="744"/>
      <c r="K267" s="746"/>
      <c r="L267" s="795"/>
    </row>
    <row r="268" spans="1:12" ht="24">
      <c r="A268" s="785"/>
      <c r="B268" s="792"/>
      <c r="C268" s="792"/>
      <c r="D268" s="793"/>
      <c r="E268" s="794"/>
      <c r="F268" s="789"/>
      <c r="G268" s="790"/>
      <c r="H268" s="744"/>
      <c r="I268" s="791"/>
      <c r="J268" s="744"/>
      <c r="K268" s="746"/>
      <c r="L268" s="795"/>
    </row>
    <row r="269" spans="1:12" ht="24">
      <c r="A269" s="785"/>
      <c r="B269" s="792"/>
      <c r="C269" s="792"/>
      <c r="D269" s="793"/>
      <c r="E269" s="794"/>
      <c r="F269" s="789"/>
      <c r="G269" s="790"/>
      <c r="H269" s="744"/>
      <c r="I269" s="791"/>
      <c r="J269" s="744"/>
      <c r="K269" s="746"/>
      <c r="L269" s="795"/>
    </row>
    <row r="270" spans="1:12" ht="24">
      <c r="A270" s="785"/>
      <c r="B270" s="792"/>
      <c r="C270" s="792"/>
      <c r="D270" s="793"/>
      <c r="E270" s="794"/>
      <c r="F270" s="789"/>
      <c r="G270" s="790"/>
      <c r="H270" s="744"/>
      <c r="I270" s="791"/>
      <c r="J270" s="744"/>
      <c r="K270" s="746"/>
      <c r="L270" s="795"/>
    </row>
    <row r="271" spans="1:12" ht="24">
      <c r="A271" s="785"/>
      <c r="B271" s="792"/>
      <c r="C271" s="792"/>
      <c r="D271" s="793"/>
      <c r="E271" s="794"/>
      <c r="F271" s="789"/>
      <c r="G271" s="790"/>
      <c r="H271" s="744"/>
      <c r="I271" s="791"/>
      <c r="J271" s="744"/>
      <c r="K271" s="746"/>
      <c r="L271" s="795"/>
    </row>
    <row r="272" spans="1:12" ht="24">
      <c r="A272" s="785"/>
      <c r="B272" s="792"/>
      <c r="C272" s="792"/>
      <c r="D272" s="793"/>
      <c r="E272" s="794"/>
      <c r="F272" s="789"/>
      <c r="G272" s="790"/>
      <c r="H272" s="744"/>
      <c r="I272" s="791"/>
      <c r="J272" s="744"/>
      <c r="K272" s="746"/>
      <c r="L272" s="795"/>
    </row>
    <row r="273" spans="1:12" ht="24">
      <c r="A273" s="785"/>
      <c r="B273" s="792"/>
      <c r="C273" s="792"/>
      <c r="D273" s="793"/>
      <c r="E273" s="794"/>
      <c r="F273" s="789"/>
      <c r="G273" s="790"/>
      <c r="H273" s="744"/>
      <c r="I273" s="791"/>
      <c r="J273" s="744"/>
      <c r="K273" s="746"/>
      <c r="L273" s="795"/>
    </row>
    <row r="274" spans="1:12" ht="24">
      <c r="A274" s="785"/>
      <c r="B274" s="792"/>
      <c r="C274" s="792"/>
      <c r="D274" s="793"/>
      <c r="E274" s="794"/>
      <c r="F274" s="789"/>
      <c r="G274" s="790"/>
      <c r="H274" s="744"/>
      <c r="I274" s="791"/>
      <c r="J274" s="744"/>
      <c r="K274" s="746"/>
      <c r="L274" s="795"/>
    </row>
    <row r="275" spans="1:12" ht="24.75" thickBot="1">
      <c r="A275" s="785"/>
      <c r="B275" s="878"/>
      <c r="C275" s="792"/>
      <c r="D275" s="793"/>
      <c r="E275" s="794"/>
      <c r="F275" s="789"/>
      <c r="G275" s="790"/>
      <c r="H275" s="744"/>
      <c r="I275" s="791"/>
      <c r="J275" s="744"/>
      <c r="K275" s="746"/>
      <c r="L275" s="795"/>
    </row>
    <row r="276" spans="1:12" ht="24.75" thickTop="1">
      <c r="A276" s="427"/>
      <c r="B276" s="2135" t="s">
        <v>1294</v>
      </c>
      <c r="C276" s="2136"/>
      <c r="D276" s="2137"/>
      <c r="E276" s="822"/>
      <c r="F276" s="760"/>
      <c r="G276" s="823"/>
      <c r="H276" s="762"/>
      <c r="I276" s="763"/>
      <c r="J276" s="762"/>
      <c r="K276" s="762"/>
      <c r="L276" s="824"/>
    </row>
    <row r="277" spans="1:12" ht="24">
      <c r="A277" s="836" t="s">
        <v>1295</v>
      </c>
      <c r="B277" s="837" t="s">
        <v>1296</v>
      </c>
      <c r="C277" s="749"/>
      <c r="D277" s="752"/>
      <c r="E277" s="742"/>
      <c r="F277" s="742" t="s">
        <v>1112</v>
      </c>
      <c r="G277" s="790"/>
      <c r="H277" s="744"/>
      <c r="I277" s="791"/>
      <c r="J277" s="744"/>
      <c r="K277" s="746"/>
      <c r="L277" s="795"/>
    </row>
    <row r="278" spans="1:12" ht="24">
      <c r="A278" s="836"/>
      <c r="B278" s="837"/>
      <c r="C278" s="749"/>
      <c r="D278" s="752"/>
      <c r="E278" s="742"/>
      <c r="F278" s="742"/>
      <c r="G278" s="879"/>
      <c r="H278" s="880"/>
      <c r="I278" s="881"/>
      <c r="J278" s="880"/>
      <c r="K278" s="746"/>
      <c r="L278" s="795"/>
    </row>
    <row r="279" spans="1:12" ht="24">
      <c r="A279" s="836"/>
      <c r="B279" s="882"/>
      <c r="C279" s="749"/>
      <c r="D279" s="752"/>
      <c r="E279" s="742"/>
      <c r="F279" s="742"/>
      <c r="G279" s="879"/>
      <c r="H279" s="880"/>
      <c r="I279" s="881"/>
      <c r="J279" s="880"/>
      <c r="K279" s="746"/>
      <c r="L279" s="795"/>
    </row>
    <row r="280" spans="1:12" ht="24">
      <c r="A280" s="836"/>
      <c r="B280" s="882"/>
      <c r="C280" s="749"/>
      <c r="D280" s="752"/>
      <c r="E280" s="742"/>
      <c r="F280" s="742"/>
      <c r="G280" s="879"/>
      <c r="H280" s="880"/>
      <c r="I280" s="881"/>
      <c r="J280" s="880"/>
      <c r="K280" s="746"/>
      <c r="L280" s="795"/>
    </row>
    <row r="281" spans="1:12" ht="24.75" thickBot="1">
      <c r="A281" s="883"/>
      <c r="B281" s="884"/>
      <c r="C281" s="792"/>
      <c r="D281" s="793"/>
      <c r="E281" s="794"/>
      <c r="F281" s="789"/>
      <c r="G281" s="885"/>
      <c r="H281" s="886"/>
      <c r="I281" s="887"/>
      <c r="J281" s="886"/>
      <c r="K281" s="746"/>
      <c r="L281" s="795"/>
    </row>
    <row r="282" spans="1:12" ht="24.75" thickTop="1">
      <c r="A282" s="427"/>
      <c r="B282" s="2135" t="s">
        <v>1297</v>
      </c>
      <c r="C282" s="2136"/>
      <c r="D282" s="2137"/>
      <c r="E282" s="822"/>
      <c r="F282" s="760"/>
      <c r="G282" s="823"/>
      <c r="H282" s="762"/>
      <c r="I282" s="763"/>
      <c r="J282" s="762"/>
      <c r="K282" s="762"/>
      <c r="L282" s="824"/>
    </row>
  </sheetData>
  <mergeCells count="33">
    <mergeCell ref="B30:D30"/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13:D13"/>
    <mergeCell ref="B14:D14"/>
    <mergeCell ref="B16:D16"/>
    <mergeCell ref="B17:D17"/>
    <mergeCell ref="G142:H142"/>
    <mergeCell ref="G33:H33"/>
    <mergeCell ref="G35:H35"/>
    <mergeCell ref="B77:D77"/>
    <mergeCell ref="B96:D96"/>
    <mergeCell ref="B97:D97"/>
    <mergeCell ref="B98:D98"/>
    <mergeCell ref="G100:H100"/>
    <mergeCell ref="B123:D123"/>
    <mergeCell ref="B135:D135"/>
    <mergeCell ref="B136:D136"/>
    <mergeCell ref="G140:H140"/>
    <mergeCell ref="G143:H143"/>
    <mergeCell ref="B147:D147"/>
    <mergeCell ref="B231:D231"/>
    <mergeCell ref="B276:D276"/>
    <mergeCell ref="B282:D282"/>
  </mergeCells>
  <printOptions horizontalCentered="1"/>
  <pageMargins left="0" right="0" top="0.35433070866141736" bottom="0.43307086614173229" header="0.35433070866141736" footer="0.15748031496062992"/>
  <pageSetup paperSize="9" scale="80" orientation="landscape" r:id="rId1"/>
  <headerFooter>
    <oddHeader xml:space="preserve">&amp;Rแผ่นที่ &amp;P ใน &amp;N แผ่น                    </oddHeader>
    <oddFooter xml:space="preserve">&amp;Rงานระบบสุขาภิบาล-ป้องกันอัคคีภัย - อาคารส่วนบริการและกิจกรรม                  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8"/>
  <sheetViews>
    <sheetView showGridLines="0" view="pageBreakPreview" topLeftCell="D1" zoomScaleNormal="90" zoomScaleSheetLayoutView="100" workbookViewId="0">
      <selection activeCell="K21" sqref="K21"/>
    </sheetView>
  </sheetViews>
  <sheetFormatPr defaultRowHeight="21.75"/>
  <cols>
    <col min="1" max="1" width="8.7109375" style="361" customWidth="1"/>
    <col min="2" max="2" width="15.5703125" style="361" customWidth="1"/>
    <col min="3" max="3" width="44.140625" style="361" customWidth="1"/>
    <col min="4" max="4" width="11.7109375" style="1014" customWidth="1"/>
    <col min="5" max="5" width="11" style="361" customWidth="1"/>
    <col min="6" max="6" width="16.140625" style="361" customWidth="1"/>
    <col min="7" max="7" width="16.28515625" style="361" customWidth="1"/>
    <col min="8" max="8" width="15.85546875" style="361" customWidth="1"/>
    <col min="9" max="9" width="15.7109375" style="361" customWidth="1"/>
    <col min="10" max="10" width="16.140625" style="361" customWidth="1"/>
    <col min="11" max="11" width="23" style="361" customWidth="1"/>
    <col min="12" max="16384" width="9.140625" style="361"/>
  </cols>
  <sheetData>
    <row r="1" spans="1:13" ht="26.25">
      <c r="D1" s="88" t="s">
        <v>62</v>
      </c>
      <c r="I1" s="497" t="s">
        <v>30</v>
      </c>
      <c r="M1" s="361">
        <v>1.1000000000000001</v>
      </c>
    </row>
    <row r="2" spans="1:13">
      <c r="A2" s="36" t="s">
        <v>43</v>
      </c>
      <c r="B2" s="369"/>
      <c r="C2" s="38" t="s">
        <v>1298</v>
      </c>
      <c r="D2" s="888"/>
      <c r="E2" s="38"/>
      <c r="F2" s="38"/>
      <c r="G2" s="38"/>
      <c r="H2" s="369"/>
      <c r="I2" s="373"/>
      <c r="J2" s="373"/>
      <c r="K2" s="373"/>
    </row>
    <row r="3" spans="1:13">
      <c r="A3" s="41" t="s">
        <v>1299</v>
      </c>
      <c r="B3" s="374"/>
      <c r="C3" s="43"/>
      <c r="D3" s="47"/>
      <c r="E3" s="43"/>
      <c r="F3" s="43"/>
      <c r="G3" s="43"/>
      <c r="H3" s="43"/>
      <c r="I3" s="364"/>
      <c r="J3" s="362"/>
      <c r="K3" s="363" t="s">
        <v>490</v>
      </c>
    </row>
    <row r="4" spans="1:13">
      <c r="A4" s="41" t="s">
        <v>44</v>
      </c>
      <c r="B4" s="374"/>
      <c r="C4" s="43" t="s">
        <v>522</v>
      </c>
      <c r="D4" s="47"/>
      <c r="E4" s="46"/>
      <c r="G4" s="47"/>
      <c r="H4" s="43"/>
      <c r="I4" s="364"/>
      <c r="J4" s="2110"/>
      <c r="K4" s="2110"/>
    </row>
    <row r="5" spans="1:13">
      <c r="A5" s="41" t="s">
        <v>523</v>
      </c>
      <c r="B5" s="374"/>
      <c r="C5" s="43"/>
      <c r="D5" s="47"/>
      <c r="E5" s="46"/>
      <c r="F5" s="43"/>
      <c r="G5" s="43"/>
      <c r="H5" s="47" t="s">
        <v>31</v>
      </c>
      <c r="I5" s="43" t="s">
        <v>524</v>
      </c>
      <c r="J5" s="379"/>
      <c r="K5" s="379"/>
    </row>
    <row r="6" spans="1:13">
      <c r="A6" s="41" t="s">
        <v>42</v>
      </c>
      <c r="B6" s="374"/>
      <c r="C6" s="2111" t="s">
        <v>485</v>
      </c>
      <c r="D6" s="2111"/>
      <c r="E6" s="2111"/>
      <c r="F6" s="48" t="s">
        <v>32</v>
      </c>
      <c r="G6" s="381">
        <v>15</v>
      </c>
      <c r="H6" s="382" t="s">
        <v>33</v>
      </c>
      <c r="I6" s="383" t="s">
        <v>525</v>
      </c>
      <c r="J6" s="126" t="s">
        <v>526</v>
      </c>
      <c r="K6" s="2131" t="s">
        <v>45</v>
      </c>
    </row>
    <row r="7" spans="1:13" ht="14.25" customHeight="1" thickBot="1">
      <c r="A7" s="31"/>
      <c r="B7" s="32"/>
      <c r="C7" s="33"/>
      <c r="D7" s="889"/>
      <c r="E7" s="33"/>
      <c r="F7" s="35"/>
      <c r="G7" s="103"/>
      <c r="H7" s="35"/>
      <c r="I7" s="32"/>
      <c r="J7" s="35"/>
      <c r="K7" s="2132"/>
    </row>
    <row r="8" spans="1:13" ht="22.5" thickTop="1">
      <c r="A8" s="1984" t="s">
        <v>9</v>
      </c>
      <c r="B8" s="1986" t="s">
        <v>10</v>
      </c>
      <c r="C8" s="1988"/>
      <c r="D8" s="1999" t="s">
        <v>34</v>
      </c>
      <c r="E8" s="1999" t="s">
        <v>35</v>
      </c>
      <c r="F8" s="1997" t="s">
        <v>36</v>
      </c>
      <c r="G8" s="1998"/>
      <c r="H8" s="1997" t="s">
        <v>37</v>
      </c>
      <c r="I8" s="1998"/>
      <c r="J8" s="108" t="s">
        <v>38</v>
      </c>
      <c r="K8" s="1992" t="s">
        <v>13</v>
      </c>
    </row>
    <row r="9" spans="1:13" ht="22.5" thickBot="1">
      <c r="A9" s="1985"/>
      <c r="B9" s="1989"/>
      <c r="C9" s="1991"/>
      <c r="D9" s="2000"/>
      <c r="E9" s="2000"/>
      <c r="F9" s="110" t="s">
        <v>39</v>
      </c>
      <c r="G9" s="116" t="s">
        <v>40</v>
      </c>
      <c r="H9" s="110" t="s">
        <v>39</v>
      </c>
      <c r="I9" s="116" t="s">
        <v>40</v>
      </c>
      <c r="J9" s="109" t="s">
        <v>41</v>
      </c>
      <c r="K9" s="1993"/>
    </row>
    <row r="10" spans="1:13" ht="24" thickTop="1">
      <c r="A10" s="890">
        <v>4</v>
      </c>
      <c r="B10" s="891" t="s">
        <v>1300</v>
      </c>
      <c r="C10" s="892"/>
      <c r="D10" s="893"/>
      <c r="E10" s="894"/>
      <c r="F10" s="895"/>
      <c r="G10" s="896"/>
      <c r="H10" s="895"/>
      <c r="I10" s="896"/>
      <c r="J10" s="897"/>
      <c r="K10" s="894"/>
    </row>
    <row r="11" spans="1:13" ht="24">
      <c r="A11" s="883">
        <v>4.0999999999999996</v>
      </c>
      <c r="B11" s="898" t="str">
        <f>B31</f>
        <v>Main Incoming &amp; HV Routing</v>
      </c>
      <c r="C11" s="899"/>
      <c r="D11" s="794"/>
      <c r="E11" s="789" t="s">
        <v>182</v>
      </c>
      <c r="F11" s="754"/>
      <c r="G11" s="900"/>
      <c r="H11" s="754"/>
      <c r="I11" s="900"/>
      <c r="J11" s="901"/>
      <c r="K11" s="902"/>
    </row>
    <row r="12" spans="1:13" ht="24">
      <c r="A12" s="785">
        <v>4.2</v>
      </c>
      <c r="B12" s="898" t="str">
        <f>B51</f>
        <v>Transformer</v>
      </c>
      <c r="C12" s="899"/>
      <c r="D12" s="794"/>
      <c r="E12" s="789" t="s">
        <v>182</v>
      </c>
      <c r="F12" s="754"/>
      <c r="G12" s="900"/>
      <c r="H12" s="754"/>
      <c r="I12" s="900"/>
      <c r="J12" s="901"/>
      <c r="K12" s="902"/>
    </row>
    <row r="13" spans="1:13" ht="24">
      <c r="A13" s="785">
        <v>4.3</v>
      </c>
      <c r="B13" s="903" t="str">
        <f>B58</f>
        <v>เครื่องกำเนิดไฟฟ้าสำรอง (Standby Generator Set)</v>
      </c>
      <c r="C13" s="904"/>
      <c r="D13" s="831"/>
      <c r="E13" s="789" t="s">
        <v>182</v>
      </c>
      <c r="F13" s="819"/>
      <c r="G13" s="900"/>
      <c r="H13" s="819"/>
      <c r="I13" s="900"/>
      <c r="J13" s="901"/>
      <c r="K13" s="905"/>
    </row>
    <row r="14" spans="1:13" ht="24">
      <c r="A14" s="785">
        <v>4.4000000000000004</v>
      </c>
      <c r="B14" s="906" t="str">
        <f>B71</f>
        <v>แผงเมนไฟฟ้าปกติ (Main Distribution Board)</v>
      </c>
      <c r="C14" s="899"/>
      <c r="D14" s="794"/>
      <c r="E14" s="789" t="s">
        <v>182</v>
      </c>
      <c r="F14" s="754"/>
      <c r="G14" s="900"/>
      <c r="H14" s="754"/>
      <c r="I14" s="900"/>
      <c r="J14" s="901"/>
      <c r="K14" s="902"/>
    </row>
    <row r="15" spans="1:13" ht="24">
      <c r="A15" s="785">
        <v>4.5</v>
      </c>
      <c r="B15" s="898" t="str">
        <f>B100</f>
        <v>แผงเมนไฟฟ้าฉุกเฉิน (Main Essential Distribution Board)</v>
      </c>
      <c r="C15" s="899"/>
      <c r="D15" s="794"/>
      <c r="E15" s="789" t="s">
        <v>182</v>
      </c>
      <c r="F15" s="754"/>
      <c r="G15" s="900"/>
      <c r="H15" s="754"/>
      <c r="I15" s="900"/>
      <c r="J15" s="901"/>
      <c r="K15" s="902"/>
    </row>
    <row r="16" spans="1:13" ht="24">
      <c r="A16" s="785">
        <v>4.5999999999999996</v>
      </c>
      <c r="B16" s="898" t="str">
        <f>B121</f>
        <v>Distribution Board</v>
      </c>
      <c r="C16" s="899"/>
      <c r="D16" s="794"/>
      <c r="E16" s="789" t="s">
        <v>182</v>
      </c>
      <c r="F16" s="754"/>
      <c r="G16" s="900"/>
      <c r="H16" s="754"/>
      <c r="I16" s="900"/>
      <c r="J16" s="901"/>
      <c r="K16" s="902"/>
    </row>
    <row r="17" spans="1:11" ht="24">
      <c r="A17" s="785">
        <v>4.7</v>
      </c>
      <c r="B17" s="898" t="str">
        <f>B188</f>
        <v>Essential Distribution Board</v>
      </c>
      <c r="C17" s="899"/>
      <c r="D17" s="794"/>
      <c r="E17" s="789" t="s">
        <v>182</v>
      </c>
      <c r="F17" s="754"/>
      <c r="G17" s="900"/>
      <c r="H17" s="754"/>
      <c r="I17" s="900"/>
      <c r="J17" s="901"/>
      <c r="K17" s="902"/>
    </row>
    <row r="18" spans="1:11" ht="24">
      <c r="A18" s="785">
        <v>4.8</v>
      </c>
      <c r="B18" s="898" t="str">
        <f>B222</f>
        <v>CB Box &amp; Safety Switch</v>
      </c>
      <c r="C18" s="899"/>
      <c r="D18" s="794"/>
      <c r="E18" s="789" t="s">
        <v>182</v>
      </c>
      <c r="F18" s="754"/>
      <c r="G18" s="900"/>
      <c r="H18" s="754"/>
      <c r="I18" s="900"/>
      <c r="J18" s="901"/>
      <c r="K18" s="902"/>
    </row>
    <row r="19" spans="1:11" ht="24">
      <c r="A19" s="785">
        <v>4.9000000000000004</v>
      </c>
      <c r="B19" s="898" t="str">
        <f>B230</f>
        <v>แผงสวิทช์ย่อยและเซอร์กิต เบรคเกอร์ (Panelboard &amp; CB)</v>
      </c>
      <c r="C19" s="899"/>
      <c r="D19" s="794"/>
      <c r="E19" s="789" t="s">
        <v>182</v>
      </c>
      <c r="F19" s="754"/>
      <c r="G19" s="900"/>
      <c r="H19" s="754"/>
      <c r="I19" s="900"/>
      <c r="J19" s="901"/>
      <c r="K19" s="902"/>
    </row>
    <row r="20" spans="1:11" ht="24">
      <c r="A20" s="907">
        <v>4.0999999999999996</v>
      </c>
      <c r="B20" s="898" t="str">
        <f>B260</f>
        <v>สายไฟฟ้า (Cable &amp; Wire)</v>
      </c>
      <c r="C20" s="899"/>
      <c r="D20" s="794"/>
      <c r="E20" s="789" t="s">
        <v>182</v>
      </c>
      <c r="F20" s="754"/>
      <c r="G20" s="900"/>
      <c r="H20" s="754"/>
      <c r="I20" s="900"/>
      <c r="J20" s="901"/>
      <c r="K20" s="902"/>
    </row>
    <row r="21" spans="1:11" ht="24">
      <c r="A21" s="907">
        <v>4.1100000000000003</v>
      </c>
      <c r="B21" s="898" t="str">
        <f>B284</f>
        <v>รางเดินสายไฟฟ้า (Raceway)</v>
      </c>
      <c r="C21" s="899"/>
      <c r="D21" s="794"/>
      <c r="E21" s="789" t="s">
        <v>182</v>
      </c>
      <c r="F21" s="754"/>
      <c r="G21" s="900"/>
      <c r="H21" s="754"/>
      <c r="I21" s="900"/>
      <c r="J21" s="901"/>
      <c r="K21" s="902"/>
    </row>
    <row r="22" spans="1:11" ht="24">
      <c r="A22" s="907">
        <v>4.12</v>
      </c>
      <c r="B22" s="898" t="str">
        <f>B314</f>
        <v>สวิทช์และเต้ารับ (Switch &amp; Outlet)</v>
      </c>
      <c r="C22" s="899"/>
      <c r="D22" s="794"/>
      <c r="E22" s="789" t="s">
        <v>182</v>
      </c>
      <c r="F22" s="754"/>
      <c r="G22" s="900"/>
      <c r="H22" s="754"/>
      <c r="I22" s="900"/>
      <c r="J22" s="901"/>
      <c r="K22" s="902"/>
    </row>
    <row r="23" spans="1:11" ht="24">
      <c r="A23" s="907">
        <v>4.13</v>
      </c>
      <c r="B23" s="898" t="str">
        <f>B323</f>
        <v>โคมไฟฟ้า (Luminaire)</v>
      </c>
      <c r="C23" s="899"/>
      <c r="D23" s="794"/>
      <c r="E23" s="789" t="s">
        <v>182</v>
      </c>
      <c r="F23" s="754"/>
      <c r="G23" s="900"/>
      <c r="H23" s="754"/>
      <c r="I23" s="900"/>
      <c r="J23" s="901"/>
      <c r="K23" s="902"/>
    </row>
    <row r="24" spans="1:11" ht="24">
      <c r="A24" s="907">
        <v>4.1399999999999997</v>
      </c>
      <c r="B24" s="898" t="str">
        <f>B340</f>
        <v>ระบบป้องกันฟ้าผ่าและระบบต่อลงดิน</v>
      </c>
      <c r="C24" s="899"/>
      <c r="D24" s="794"/>
      <c r="E24" s="789" t="s">
        <v>182</v>
      </c>
      <c r="F24" s="754"/>
      <c r="G24" s="900"/>
      <c r="H24" s="754"/>
      <c r="I24" s="900"/>
      <c r="J24" s="901"/>
      <c r="K24" s="902"/>
    </row>
    <row r="25" spans="1:11" ht="24">
      <c r="A25" s="907">
        <v>4.1500000000000004</v>
      </c>
      <c r="B25" s="898" t="str">
        <f>B355</f>
        <v>ระบบสัญญาณแจ้งเหตุเพลิงไหม้ (Fire Alarm System)</v>
      </c>
      <c r="C25" s="899"/>
      <c r="D25" s="794"/>
      <c r="E25" s="789" t="s">
        <v>182</v>
      </c>
      <c r="F25" s="754"/>
      <c r="G25" s="900"/>
      <c r="H25" s="754"/>
      <c r="I25" s="900"/>
      <c r="J25" s="901"/>
      <c r="K25" s="902"/>
    </row>
    <row r="26" spans="1:11" ht="24">
      <c r="A26" s="907">
        <v>4.16</v>
      </c>
      <c r="B26" s="906" t="str">
        <f>B386</f>
        <v>ระบบโทรศัพท์ (Telephone System)</v>
      </c>
      <c r="C26" s="899"/>
      <c r="D26" s="794"/>
      <c r="E26" s="789" t="s">
        <v>182</v>
      </c>
      <c r="F26" s="754"/>
      <c r="G26" s="900"/>
      <c r="H26" s="754"/>
      <c r="I26" s="900"/>
      <c r="J26" s="901"/>
      <c r="K26" s="902"/>
    </row>
    <row r="27" spans="1:11" ht="24">
      <c r="A27" s="907">
        <v>4.17</v>
      </c>
      <c r="B27" s="906" t="str">
        <f>B402</f>
        <v>ระบบสื่อสารข้อมูล (Data System)</v>
      </c>
      <c r="C27" s="899"/>
      <c r="D27" s="794"/>
      <c r="E27" s="789" t="s">
        <v>182</v>
      </c>
      <c r="F27" s="754"/>
      <c r="G27" s="900"/>
      <c r="H27" s="754"/>
      <c r="I27" s="900"/>
      <c r="J27" s="901"/>
      <c r="K27" s="902"/>
    </row>
    <row r="28" spans="1:11" ht="24">
      <c r="A28" s="907">
        <v>4.18</v>
      </c>
      <c r="B28" s="906" t="str">
        <f>B428</f>
        <v>ระบบเสาอากาศโทรทัศน์รวม (MATV System)</v>
      </c>
      <c r="C28" s="899"/>
      <c r="D28" s="794"/>
      <c r="E28" s="789" t="s">
        <v>182</v>
      </c>
      <c r="F28" s="754"/>
      <c r="G28" s="900"/>
      <c r="H28" s="754"/>
      <c r="I28" s="900"/>
      <c r="J28" s="901"/>
      <c r="K28" s="902"/>
    </row>
    <row r="29" spans="1:11" ht="24.75" thickBot="1">
      <c r="A29" s="907">
        <v>4.1900000000000004</v>
      </c>
      <c r="B29" s="906" t="str">
        <f>B446</f>
        <v>ระบบป้องกันไฟและควันลาม (Fire Barrier System)</v>
      </c>
      <c r="C29" s="899"/>
      <c r="D29" s="794"/>
      <c r="E29" s="789" t="s">
        <v>182</v>
      </c>
      <c r="F29" s="754"/>
      <c r="G29" s="900"/>
      <c r="H29" s="754"/>
      <c r="I29" s="900"/>
      <c r="J29" s="901"/>
      <c r="K29" s="902"/>
    </row>
    <row r="30" spans="1:11" ht="24.75" thickTop="1">
      <c r="A30" s="908"/>
      <c r="B30" s="2084" t="s">
        <v>69</v>
      </c>
      <c r="C30" s="2086"/>
      <c r="D30" s="909"/>
      <c r="E30" s="910"/>
      <c r="F30" s="911"/>
      <c r="G30" s="912"/>
      <c r="H30" s="912"/>
      <c r="I30" s="913"/>
      <c r="J30" s="914"/>
      <c r="K30" s="915"/>
    </row>
    <row r="31" spans="1:11" ht="24">
      <c r="A31" s="916">
        <v>4.0999999999999996</v>
      </c>
      <c r="B31" s="917" t="s">
        <v>1301</v>
      </c>
      <c r="C31" s="538"/>
      <c r="D31" s="918"/>
      <c r="E31" s="811"/>
      <c r="F31" s="919"/>
      <c r="G31" s="920"/>
      <c r="H31" s="919"/>
      <c r="I31" s="920"/>
      <c r="J31" s="921"/>
      <c r="K31" s="922"/>
    </row>
    <row r="32" spans="1:11" ht="24">
      <c r="A32" s="785" t="s">
        <v>1302</v>
      </c>
      <c r="B32" s="923" t="s">
        <v>1303</v>
      </c>
      <c r="C32" s="525"/>
      <c r="D32" s="831"/>
      <c r="E32" s="924"/>
      <c r="F32" s="819"/>
      <c r="G32" s="900"/>
      <c r="H32" s="819"/>
      <c r="I32" s="900"/>
      <c r="J32" s="901"/>
      <c r="K32" s="925"/>
    </row>
    <row r="33" spans="1:11" ht="24">
      <c r="A33" s="785"/>
      <c r="B33" s="926" t="s">
        <v>1304</v>
      </c>
      <c r="C33" s="525" t="s">
        <v>1305</v>
      </c>
      <c r="D33" s="831"/>
      <c r="E33" s="789" t="s">
        <v>1109</v>
      </c>
      <c r="F33" s="819"/>
      <c r="G33" s="900"/>
      <c r="H33" s="819"/>
      <c r="I33" s="900"/>
      <c r="J33" s="901"/>
      <c r="K33" s="925"/>
    </row>
    <row r="34" spans="1:11" ht="24">
      <c r="A34" s="785" t="s">
        <v>1306</v>
      </c>
      <c r="B34" s="923" t="s">
        <v>1307</v>
      </c>
      <c r="C34" s="904"/>
      <c r="D34" s="831"/>
      <c r="E34" s="789"/>
      <c r="F34" s="819"/>
      <c r="G34" s="900"/>
      <c r="H34" s="819"/>
      <c r="I34" s="900"/>
      <c r="J34" s="901"/>
      <c r="K34" s="925"/>
    </row>
    <row r="35" spans="1:11" ht="24">
      <c r="A35" s="785"/>
      <c r="B35" s="926" t="s">
        <v>1304</v>
      </c>
      <c r="C35" s="525" t="s">
        <v>1305</v>
      </c>
      <c r="D35" s="831"/>
      <c r="E35" s="924" t="s">
        <v>185</v>
      </c>
      <c r="F35" s="819"/>
      <c r="G35" s="900"/>
      <c r="H35" s="819"/>
      <c r="I35" s="900"/>
      <c r="J35" s="901"/>
      <c r="K35" s="925"/>
    </row>
    <row r="36" spans="1:11" ht="24">
      <c r="A36" s="785" t="s">
        <v>1308</v>
      </c>
      <c r="B36" s="923" t="s">
        <v>1309</v>
      </c>
      <c r="C36" s="904"/>
      <c r="D36" s="831"/>
      <c r="E36" s="789"/>
      <c r="F36" s="819"/>
      <c r="G36" s="900"/>
      <c r="H36" s="819"/>
      <c r="I36" s="900"/>
      <c r="J36" s="901"/>
      <c r="K36" s="925"/>
    </row>
    <row r="37" spans="1:11" ht="24">
      <c r="A37" s="785"/>
      <c r="B37" s="926" t="s">
        <v>1304</v>
      </c>
      <c r="C37" s="525" t="s">
        <v>1310</v>
      </c>
      <c r="D37" s="831"/>
      <c r="E37" s="924" t="s">
        <v>185</v>
      </c>
      <c r="F37" s="819"/>
      <c r="G37" s="900"/>
      <c r="H37" s="819"/>
      <c r="I37" s="900"/>
      <c r="J37" s="901"/>
      <c r="K37" s="925"/>
    </row>
    <row r="38" spans="1:11" ht="24">
      <c r="A38" s="785" t="s">
        <v>1311</v>
      </c>
      <c r="B38" s="923" t="s">
        <v>1312</v>
      </c>
      <c r="C38" s="904"/>
      <c r="D38" s="831"/>
      <c r="E38" s="789"/>
      <c r="F38" s="819"/>
      <c r="G38" s="900"/>
      <c r="H38" s="819"/>
      <c r="I38" s="900"/>
      <c r="J38" s="901"/>
      <c r="K38" s="925"/>
    </row>
    <row r="39" spans="1:11" ht="24">
      <c r="A39" s="785"/>
      <c r="B39" s="926" t="s">
        <v>1304</v>
      </c>
      <c r="C39" s="525" t="s">
        <v>1313</v>
      </c>
      <c r="D39" s="831"/>
      <c r="E39" s="924" t="s">
        <v>185</v>
      </c>
      <c r="F39" s="819"/>
      <c r="G39" s="900"/>
      <c r="H39" s="819"/>
      <c r="I39" s="900"/>
      <c r="J39" s="901"/>
      <c r="K39" s="925"/>
    </row>
    <row r="40" spans="1:11" ht="24">
      <c r="A40" s="785" t="s">
        <v>1314</v>
      </c>
      <c r="B40" s="923" t="s">
        <v>1315</v>
      </c>
      <c r="C40" s="904"/>
      <c r="D40" s="831"/>
      <c r="E40" s="924" t="s">
        <v>185</v>
      </c>
      <c r="F40" s="819"/>
      <c r="G40" s="900"/>
      <c r="H40" s="819"/>
      <c r="I40" s="900"/>
      <c r="J40" s="901"/>
      <c r="K40" s="905"/>
    </row>
    <row r="41" spans="1:11" ht="24">
      <c r="A41" s="785" t="s">
        <v>1316</v>
      </c>
      <c r="B41" s="923" t="s">
        <v>1317</v>
      </c>
      <c r="C41" s="904"/>
      <c r="D41" s="831"/>
      <c r="E41" s="924" t="s">
        <v>185</v>
      </c>
      <c r="F41" s="819"/>
      <c r="G41" s="900"/>
      <c r="H41" s="819"/>
      <c r="I41" s="900"/>
      <c r="J41" s="901"/>
      <c r="K41" s="905"/>
    </row>
    <row r="42" spans="1:11" ht="24">
      <c r="A42" s="785" t="s">
        <v>1318</v>
      </c>
      <c r="B42" s="923" t="s">
        <v>1319</v>
      </c>
      <c r="C42" s="904"/>
      <c r="D42" s="831"/>
      <c r="E42" s="924" t="s">
        <v>185</v>
      </c>
      <c r="F42" s="819"/>
      <c r="G42" s="900"/>
      <c r="H42" s="819"/>
      <c r="I42" s="900"/>
      <c r="J42" s="901"/>
      <c r="K42" s="905"/>
    </row>
    <row r="43" spans="1:11" ht="24">
      <c r="A43" s="785" t="s">
        <v>1320</v>
      </c>
      <c r="B43" s="923" t="s">
        <v>1321</v>
      </c>
      <c r="C43" s="904"/>
      <c r="D43" s="831"/>
      <c r="E43" s="924" t="s">
        <v>185</v>
      </c>
      <c r="F43" s="819"/>
      <c r="G43" s="900"/>
      <c r="H43" s="819"/>
      <c r="I43" s="900"/>
      <c r="J43" s="901"/>
      <c r="K43" s="905"/>
    </row>
    <row r="44" spans="1:11" ht="24">
      <c r="A44" s="785" t="s">
        <v>1322</v>
      </c>
      <c r="B44" s="923" t="s">
        <v>1323</v>
      </c>
      <c r="C44" s="904"/>
      <c r="D44" s="831"/>
      <c r="E44" s="924" t="s">
        <v>185</v>
      </c>
      <c r="F44" s="819"/>
      <c r="G44" s="900"/>
      <c r="H44" s="819"/>
      <c r="I44" s="900"/>
      <c r="J44" s="901"/>
      <c r="K44" s="905"/>
    </row>
    <row r="45" spans="1:11" ht="24">
      <c r="A45" s="785" t="s">
        <v>1324</v>
      </c>
      <c r="B45" s="923" t="s">
        <v>1325</v>
      </c>
      <c r="C45" s="904"/>
      <c r="D45" s="831"/>
      <c r="E45" s="924" t="s">
        <v>185</v>
      </c>
      <c r="F45" s="819"/>
      <c r="G45" s="900"/>
      <c r="H45" s="819"/>
      <c r="I45" s="900"/>
      <c r="J45" s="901"/>
      <c r="K45" s="905"/>
    </row>
    <row r="46" spans="1:11" ht="24">
      <c r="A46" s="785" t="s">
        <v>1326</v>
      </c>
      <c r="B46" s="923" t="s">
        <v>1327</v>
      </c>
      <c r="C46" s="904"/>
      <c r="D46" s="831"/>
      <c r="E46" s="924" t="s">
        <v>1112</v>
      </c>
      <c r="F46" s="819"/>
      <c r="G46" s="900"/>
      <c r="H46" s="819"/>
      <c r="I46" s="900"/>
      <c r="J46" s="901"/>
      <c r="K46" s="925"/>
    </row>
    <row r="47" spans="1:11" ht="24">
      <c r="A47" s="883"/>
      <c r="B47" s="927" t="s">
        <v>1144</v>
      </c>
      <c r="C47" s="904"/>
      <c r="D47" s="831"/>
      <c r="E47" s="789"/>
      <c r="F47" s="819"/>
      <c r="G47" s="900"/>
      <c r="H47" s="819"/>
      <c r="I47" s="900"/>
      <c r="J47" s="901"/>
      <c r="K47" s="925"/>
    </row>
    <row r="48" spans="1:11" ht="24">
      <c r="A48" s="883"/>
      <c r="B48" s="927"/>
      <c r="C48" s="904"/>
      <c r="D48" s="831"/>
      <c r="E48" s="789"/>
      <c r="F48" s="819"/>
      <c r="G48" s="900"/>
      <c r="H48" s="819"/>
      <c r="I48" s="900"/>
      <c r="J48" s="901"/>
      <c r="K48" s="925"/>
    </row>
    <row r="49" spans="1:11" ht="24.75" thickBot="1">
      <c r="A49" s="883"/>
      <c r="B49" s="898"/>
      <c r="C49" s="899"/>
      <c r="D49" s="794"/>
      <c r="E49" s="789"/>
      <c r="F49" s="754"/>
      <c r="G49" s="900"/>
      <c r="H49" s="754"/>
      <c r="I49" s="900"/>
      <c r="J49" s="901"/>
      <c r="K49" s="902"/>
    </row>
    <row r="50" spans="1:11" ht="24.75" thickTop="1">
      <c r="A50" s="427"/>
      <c r="B50" s="2159" t="s">
        <v>1328</v>
      </c>
      <c r="C50" s="2160"/>
      <c r="D50" s="822"/>
      <c r="E50" s="760"/>
      <c r="F50" s="823"/>
      <c r="G50" s="928"/>
      <c r="H50" s="823"/>
      <c r="I50" s="928"/>
      <c r="J50" s="928"/>
      <c r="K50" s="929"/>
    </row>
    <row r="51" spans="1:11" ht="24">
      <c r="A51" s="829" t="s">
        <v>1329</v>
      </c>
      <c r="B51" s="930" t="s">
        <v>1330</v>
      </c>
      <c r="C51" s="899"/>
      <c r="D51" s="794"/>
      <c r="E51" s="789"/>
      <c r="F51" s="754"/>
      <c r="G51" s="900"/>
      <c r="H51" s="754"/>
      <c r="I51" s="900"/>
      <c r="J51" s="901"/>
      <c r="K51" s="902"/>
    </row>
    <row r="52" spans="1:11" ht="24">
      <c r="A52" s="785" t="s">
        <v>1331</v>
      </c>
      <c r="B52" s="927" t="s">
        <v>1332</v>
      </c>
      <c r="C52" s="904"/>
      <c r="D52" s="831"/>
      <c r="E52" s="924" t="s">
        <v>185</v>
      </c>
      <c r="F52" s="819"/>
      <c r="G52" s="900"/>
      <c r="H52" s="819"/>
      <c r="I52" s="900"/>
      <c r="J52" s="901"/>
      <c r="K52" s="925"/>
    </row>
    <row r="53" spans="1:11" ht="24">
      <c r="A53" s="785" t="s">
        <v>1333</v>
      </c>
      <c r="B53" s="923" t="s">
        <v>1334</v>
      </c>
      <c r="C53" s="904"/>
      <c r="D53" s="831"/>
      <c r="E53" s="924" t="s">
        <v>185</v>
      </c>
      <c r="F53" s="819"/>
      <c r="G53" s="900"/>
      <c r="H53" s="819"/>
      <c r="I53" s="900"/>
      <c r="J53" s="901"/>
      <c r="K53" s="925"/>
    </row>
    <row r="54" spans="1:11" ht="24">
      <c r="A54" s="785"/>
      <c r="B54" s="923"/>
      <c r="C54" s="904"/>
      <c r="D54" s="831"/>
      <c r="E54" s="924"/>
      <c r="F54" s="819"/>
      <c r="G54" s="900"/>
      <c r="H54" s="819"/>
      <c r="I54" s="900"/>
      <c r="J54" s="901"/>
      <c r="K54" s="925"/>
    </row>
    <row r="55" spans="1:11" ht="24">
      <c r="A55" s="785"/>
      <c r="B55" s="923"/>
      <c r="C55" s="904"/>
      <c r="D55" s="831"/>
      <c r="E55" s="924"/>
      <c r="F55" s="819"/>
      <c r="G55" s="900"/>
      <c r="H55" s="819"/>
      <c r="I55" s="900"/>
      <c r="J55" s="901"/>
      <c r="K55" s="925"/>
    </row>
    <row r="56" spans="1:11" ht="24.75" thickBot="1">
      <c r="A56" s="883"/>
      <c r="B56" s="898"/>
      <c r="C56" s="899"/>
      <c r="D56" s="794"/>
      <c r="E56" s="789"/>
      <c r="F56" s="754"/>
      <c r="G56" s="900"/>
      <c r="H56" s="754"/>
      <c r="I56" s="900"/>
      <c r="J56" s="901"/>
      <c r="K56" s="902"/>
    </row>
    <row r="57" spans="1:11" ht="24.75" thickTop="1">
      <c r="A57" s="427"/>
      <c r="B57" s="2159" t="s">
        <v>1335</v>
      </c>
      <c r="C57" s="2160"/>
      <c r="D57" s="822"/>
      <c r="E57" s="760"/>
      <c r="F57" s="823"/>
      <c r="G57" s="928"/>
      <c r="H57" s="823"/>
      <c r="I57" s="928"/>
      <c r="J57" s="928"/>
      <c r="K57" s="929"/>
    </row>
    <row r="58" spans="1:11" ht="24">
      <c r="A58" s="829" t="s">
        <v>1336</v>
      </c>
      <c r="B58" s="931" t="s">
        <v>1337</v>
      </c>
      <c r="C58" s="899"/>
      <c r="D58" s="794"/>
      <c r="E58" s="789"/>
      <c r="F58" s="754"/>
      <c r="G58" s="900"/>
      <c r="H58" s="754"/>
      <c r="I58" s="900"/>
      <c r="J58" s="901"/>
      <c r="K58" s="902"/>
    </row>
    <row r="59" spans="1:11" ht="24">
      <c r="A59" s="785" t="s">
        <v>1338</v>
      </c>
      <c r="B59" s="932" t="s">
        <v>1339</v>
      </c>
      <c r="C59" s="899"/>
      <c r="D59" s="794"/>
      <c r="E59" s="789"/>
      <c r="F59" s="819"/>
      <c r="G59" s="900"/>
      <c r="H59" s="819"/>
      <c r="I59" s="900"/>
      <c r="J59" s="901"/>
      <c r="K59" s="902"/>
    </row>
    <row r="60" spans="1:11" ht="24">
      <c r="A60" s="785"/>
      <c r="B60" s="932" t="s">
        <v>1340</v>
      </c>
      <c r="C60" s="899"/>
      <c r="D60" s="742"/>
      <c r="E60" s="742" t="s">
        <v>185</v>
      </c>
      <c r="F60" s="819"/>
      <c r="G60" s="900"/>
      <c r="H60" s="819"/>
      <c r="I60" s="900"/>
      <c r="J60" s="901"/>
      <c r="K60" s="933"/>
    </row>
    <row r="61" spans="1:11" ht="24">
      <c r="A61" s="785" t="s">
        <v>1341</v>
      </c>
      <c r="B61" s="932" t="s">
        <v>1342</v>
      </c>
      <c r="C61" s="899"/>
      <c r="D61" s="742"/>
      <c r="E61" s="742" t="s">
        <v>185</v>
      </c>
      <c r="F61" s="819"/>
      <c r="G61" s="900"/>
      <c r="H61" s="819"/>
      <c r="I61" s="900"/>
      <c r="J61" s="901"/>
      <c r="K61" s="934"/>
    </row>
    <row r="62" spans="1:11" ht="24">
      <c r="A62" s="785" t="s">
        <v>1343</v>
      </c>
      <c r="B62" s="932" t="s">
        <v>1344</v>
      </c>
      <c r="C62" s="899"/>
      <c r="D62" s="742"/>
      <c r="E62" s="742" t="s">
        <v>1112</v>
      </c>
      <c r="F62" s="819"/>
      <c r="G62" s="900"/>
      <c r="H62" s="819"/>
      <c r="I62" s="900"/>
      <c r="J62" s="901"/>
      <c r="K62" s="934"/>
    </row>
    <row r="63" spans="1:11" ht="24">
      <c r="A63" s="785" t="s">
        <v>1345</v>
      </c>
      <c r="B63" s="932" t="s">
        <v>1346</v>
      </c>
      <c r="C63" s="899"/>
      <c r="D63" s="742"/>
      <c r="E63" s="742"/>
      <c r="F63" s="819"/>
      <c r="G63" s="900"/>
      <c r="H63" s="819"/>
      <c r="I63" s="900"/>
      <c r="J63" s="901"/>
      <c r="K63" s="934"/>
    </row>
    <row r="64" spans="1:11" ht="24">
      <c r="A64" s="785" t="s">
        <v>1347</v>
      </c>
      <c r="B64" s="935" t="s">
        <v>1348</v>
      </c>
      <c r="C64" s="899"/>
      <c r="D64" s="742"/>
      <c r="E64" s="742"/>
      <c r="F64" s="819"/>
      <c r="G64" s="900"/>
      <c r="H64" s="819"/>
      <c r="I64" s="900"/>
      <c r="J64" s="901"/>
      <c r="K64" s="934"/>
    </row>
    <row r="65" spans="1:11" ht="24">
      <c r="A65" s="785"/>
      <c r="B65" s="932" t="s">
        <v>1349</v>
      </c>
      <c r="C65" s="899"/>
      <c r="D65" s="742"/>
      <c r="E65" s="742" t="s">
        <v>185</v>
      </c>
      <c r="F65" s="819"/>
      <c r="G65" s="900"/>
      <c r="H65" s="936"/>
      <c r="I65" s="900"/>
      <c r="J65" s="901"/>
      <c r="K65" s="905"/>
    </row>
    <row r="66" spans="1:11" ht="24">
      <c r="A66" s="785" t="s">
        <v>1350</v>
      </c>
      <c r="B66" s="935" t="s">
        <v>1234</v>
      </c>
      <c r="C66" s="899"/>
      <c r="D66" s="742"/>
      <c r="E66" s="742" t="s">
        <v>1112</v>
      </c>
      <c r="F66" s="819"/>
      <c r="G66" s="900"/>
      <c r="H66" s="819"/>
      <c r="I66" s="900"/>
      <c r="J66" s="901"/>
      <c r="K66" s="934"/>
    </row>
    <row r="67" spans="1:11" ht="24">
      <c r="A67" s="785" t="s">
        <v>1351</v>
      </c>
      <c r="B67" s="935" t="s">
        <v>1352</v>
      </c>
      <c r="C67" s="899"/>
      <c r="D67" s="742"/>
      <c r="E67" s="742" t="s">
        <v>1112</v>
      </c>
      <c r="F67" s="819"/>
      <c r="G67" s="900"/>
      <c r="H67" s="819"/>
      <c r="I67" s="900"/>
      <c r="J67" s="901"/>
      <c r="K67" s="934"/>
    </row>
    <row r="68" spans="1:11" ht="24">
      <c r="A68" s="785"/>
      <c r="B68" s="935"/>
      <c r="C68" s="899"/>
      <c r="D68" s="742"/>
      <c r="E68" s="742"/>
      <c r="F68" s="819"/>
      <c r="G68" s="900"/>
      <c r="H68" s="819"/>
      <c r="I68" s="900"/>
      <c r="J68" s="901"/>
      <c r="K68" s="934"/>
    </row>
    <row r="69" spans="1:11" ht="24.75" thickBot="1">
      <c r="A69" s="883"/>
      <c r="B69" s="898"/>
      <c r="C69" s="899"/>
      <c r="D69" s="794"/>
      <c r="E69" s="789"/>
      <c r="F69" s="754"/>
      <c r="G69" s="900"/>
      <c r="H69" s="754"/>
      <c r="I69" s="900"/>
      <c r="J69" s="901"/>
      <c r="K69" s="934"/>
    </row>
    <row r="70" spans="1:11" ht="24.75" thickTop="1">
      <c r="A70" s="427"/>
      <c r="B70" s="2159" t="s">
        <v>1353</v>
      </c>
      <c r="C70" s="2160"/>
      <c r="D70" s="822"/>
      <c r="E70" s="760"/>
      <c r="F70" s="823"/>
      <c r="G70" s="928"/>
      <c r="H70" s="823"/>
      <c r="I70" s="928"/>
      <c r="J70" s="928"/>
      <c r="K70" s="937"/>
    </row>
    <row r="71" spans="1:11" ht="24">
      <c r="A71" s="829" t="s">
        <v>1354</v>
      </c>
      <c r="B71" s="931" t="s">
        <v>1355</v>
      </c>
      <c r="C71" s="899"/>
      <c r="D71" s="794"/>
      <c r="E71" s="789"/>
      <c r="F71" s="754"/>
      <c r="G71" s="900"/>
      <c r="H71" s="754"/>
      <c r="I71" s="900"/>
      <c r="J71" s="901"/>
      <c r="K71" s="934"/>
    </row>
    <row r="72" spans="1:11" ht="24">
      <c r="A72" s="785" t="s">
        <v>1356</v>
      </c>
      <c r="B72" s="898" t="s">
        <v>1357</v>
      </c>
      <c r="C72" s="899"/>
      <c r="D72" s="794"/>
      <c r="E72" s="789"/>
      <c r="F72" s="754"/>
      <c r="G72" s="900"/>
      <c r="H72" s="754"/>
      <c r="I72" s="900"/>
      <c r="J72" s="901"/>
      <c r="K72" s="934"/>
    </row>
    <row r="73" spans="1:11" ht="24">
      <c r="A73" s="785" t="s">
        <v>1358</v>
      </c>
      <c r="B73" s="898" t="s">
        <v>1359</v>
      </c>
      <c r="C73" s="899"/>
      <c r="D73" s="794"/>
      <c r="E73" s="789"/>
      <c r="F73" s="754"/>
      <c r="G73" s="900"/>
      <c r="H73" s="754"/>
      <c r="I73" s="900"/>
      <c r="J73" s="901"/>
      <c r="K73" s="934"/>
    </row>
    <row r="74" spans="1:11" ht="24">
      <c r="A74" s="785"/>
      <c r="B74" s="926" t="s">
        <v>1304</v>
      </c>
      <c r="C74" s="525" t="s">
        <v>1360</v>
      </c>
      <c r="D74" s="794"/>
      <c r="E74" s="924" t="s">
        <v>185</v>
      </c>
      <c r="F74" s="754"/>
      <c r="G74" s="900"/>
      <c r="H74" s="936"/>
      <c r="I74" s="900"/>
      <c r="J74" s="901"/>
      <c r="K74" s="938"/>
    </row>
    <row r="75" spans="1:11" ht="24">
      <c r="A75" s="785"/>
      <c r="B75" s="926" t="s">
        <v>1304</v>
      </c>
      <c r="C75" s="525" t="s">
        <v>1361</v>
      </c>
      <c r="D75" s="794"/>
      <c r="E75" s="924" t="s">
        <v>185</v>
      </c>
      <c r="F75" s="754"/>
      <c r="G75" s="900"/>
      <c r="H75" s="754"/>
      <c r="I75" s="900"/>
      <c r="J75" s="901"/>
      <c r="K75" s="938"/>
    </row>
    <row r="76" spans="1:11" ht="24">
      <c r="A76" s="785"/>
      <c r="B76" s="926" t="s">
        <v>1304</v>
      </c>
      <c r="C76" s="525" t="s">
        <v>1362</v>
      </c>
      <c r="D76" s="794"/>
      <c r="E76" s="924" t="s">
        <v>185</v>
      </c>
      <c r="F76" s="754"/>
      <c r="G76" s="900"/>
      <c r="H76" s="754"/>
      <c r="I76" s="900"/>
      <c r="J76" s="901"/>
      <c r="K76" s="938"/>
    </row>
    <row r="77" spans="1:11" ht="24">
      <c r="A77" s="785"/>
      <c r="B77" s="926" t="s">
        <v>1304</v>
      </c>
      <c r="C77" s="525" t="s">
        <v>1363</v>
      </c>
      <c r="D77" s="794"/>
      <c r="E77" s="924" t="s">
        <v>185</v>
      </c>
      <c r="F77" s="754"/>
      <c r="G77" s="900"/>
      <c r="H77" s="754"/>
      <c r="I77" s="900"/>
      <c r="J77" s="901"/>
      <c r="K77" s="938"/>
    </row>
    <row r="78" spans="1:11" ht="24">
      <c r="A78" s="785"/>
      <c r="B78" s="926" t="s">
        <v>1304</v>
      </c>
      <c r="C78" s="525" t="s">
        <v>1364</v>
      </c>
      <c r="D78" s="794"/>
      <c r="E78" s="924" t="s">
        <v>185</v>
      </c>
      <c r="F78" s="754"/>
      <c r="G78" s="900"/>
      <c r="H78" s="754"/>
      <c r="I78" s="900"/>
      <c r="J78" s="901"/>
      <c r="K78" s="938"/>
    </row>
    <row r="79" spans="1:11" ht="24">
      <c r="A79" s="807" t="s">
        <v>1365</v>
      </c>
      <c r="B79" s="939" t="s">
        <v>1226</v>
      </c>
      <c r="C79" s="940"/>
      <c r="D79" s="810"/>
      <c r="E79" s="811"/>
      <c r="F79" s="812"/>
      <c r="G79" s="920"/>
      <c r="H79" s="812"/>
      <c r="I79" s="920"/>
      <c r="J79" s="921"/>
      <c r="K79" s="941"/>
    </row>
    <row r="80" spans="1:11" ht="24">
      <c r="A80" s="785"/>
      <c r="B80" s="926" t="s">
        <v>1304</v>
      </c>
      <c r="C80" s="525" t="s">
        <v>1366</v>
      </c>
      <c r="D80" s="794"/>
      <c r="E80" s="924" t="s">
        <v>185</v>
      </c>
      <c r="F80" s="754"/>
      <c r="G80" s="900"/>
      <c r="H80" s="754"/>
      <c r="I80" s="900"/>
      <c r="J80" s="901"/>
      <c r="K80" s="938"/>
    </row>
    <row r="81" spans="1:11" ht="24">
      <c r="A81" s="785"/>
      <c r="B81" s="926" t="s">
        <v>1304</v>
      </c>
      <c r="C81" s="525" t="s">
        <v>1367</v>
      </c>
      <c r="D81" s="794"/>
      <c r="E81" s="924" t="s">
        <v>185</v>
      </c>
      <c r="F81" s="754"/>
      <c r="G81" s="900"/>
      <c r="H81" s="754"/>
      <c r="I81" s="900"/>
      <c r="J81" s="901"/>
      <c r="K81" s="938"/>
    </row>
    <row r="82" spans="1:11" ht="24">
      <c r="A82" s="785"/>
      <c r="B82" s="926" t="s">
        <v>1304</v>
      </c>
      <c r="C82" s="525" t="s">
        <v>1368</v>
      </c>
      <c r="D82" s="794"/>
      <c r="E82" s="924" t="s">
        <v>185</v>
      </c>
      <c r="F82" s="754"/>
      <c r="G82" s="900"/>
      <c r="H82" s="754"/>
      <c r="I82" s="900"/>
      <c r="J82" s="901"/>
      <c r="K82" s="938"/>
    </row>
    <row r="83" spans="1:11" ht="24">
      <c r="A83" s="785"/>
      <c r="B83" s="926" t="s">
        <v>1304</v>
      </c>
      <c r="C83" s="525" t="s">
        <v>1369</v>
      </c>
      <c r="D83" s="794"/>
      <c r="E83" s="924" t="s">
        <v>185</v>
      </c>
      <c r="F83" s="754"/>
      <c r="G83" s="900"/>
      <c r="H83" s="754"/>
      <c r="I83" s="900"/>
      <c r="J83" s="901"/>
      <c r="K83" s="938"/>
    </row>
    <row r="84" spans="1:11" ht="24">
      <c r="A84" s="785"/>
      <c r="B84" s="926" t="s">
        <v>1304</v>
      </c>
      <c r="C84" s="525" t="s">
        <v>1370</v>
      </c>
      <c r="D84" s="794"/>
      <c r="E84" s="924" t="s">
        <v>185</v>
      </c>
      <c r="F84" s="754"/>
      <c r="G84" s="900"/>
      <c r="H84" s="754"/>
      <c r="I84" s="900"/>
      <c r="J84" s="901"/>
      <c r="K84" s="938"/>
    </row>
    <row r="85" spans="1:11" ht="24">
      <c r="A85" s="785"/>
      <c r="B85" s="926" t="s">
        <v>1304</v>
      </c>
      <c r="C85" s="525" t="s">
        <v>1371</v>
      </c>
      <c r="D85" s="794"/>
      <c r="E85" s="924" t="s">
        <v>185</v>
      </c>
      <c r="F85" s="754"/>
      <c r="G85" s="900"/>
      <c r="H85" s="754"/>
      <c r="I85" s="900"/>
      <c r="J85" s="901"/>
      <c r="K85" s="942"/>
    </row>
    <row r="86" spans="1:11" ht="24">
      <c r="A86" s="785" t="s">
        <v>1372</v>
      </c>
      <c r="B86" s="943" t="s">
        <v>1373</v>
      </c>
      <c r="C86" s="899"/>
      <c r="D86" s="794"/>
      <c r="E86" s="789" t="s">
        <v>1112</v>
      </c>
      <c r="F86" s="754"/>
      <c r="G86" s="900"/>
      <c r="H86" s="754"/>
      <c r="I86" s="900"/>
      <c r="J86" s="901"/>
      <c r="K86" s="942"/>
    </row>
    <row r="87" spans="1:11" ht="24">
      <c r="A87" s="785" t="s">
        <v>1374</v>
      </c>
      <c r="B87" s="943" t="s">
        <v>1352</v>
      </c>
      <c r="C87" s="899"/>
      <c r="D87" s="794"/>
      <c r="E87" s="789" t="s">
        <v>1112</v>
      </c>
      <c r="F87" s="754"/>
      <c r="G87" s="900"/>
      <c r="H87" s="754"/>
      <c r="I87" s="900"/>
      <c r="J87" s="901"/>
      <c r="K87" s="942"/>
    </row>
    <row r="88" spans="1:11" ht="24">
      <c r="A88" s="785" t="s">
        <v>1375</v>
      </c>
      <c r="B88" s="943" t="s">
        <v>1376</v>
      </c>
      <c r="C88" s="899"/>
      <c r="D88" s="794"/>
      <c r="E88" s="789"/>
      <c r="F88" s="754"/>
      <c r="G88" s="900"/>
      <c r="H88" s="754"/>
      <c r="I88" s="900"/>
      <c r="J88" s="901"/>
      <c r="K88" s="942"/>
    </row>
    <row r="89" spans="1:11" ht="24">
      <c r="A89" s="785"/>
      <c r="B89" s="926" t="s">
        <v>1304</v>
      </c>
      <c r="C89" s="899" t="s">
        <v>1377</v>
      </c>
      <c r="D89" s="794"/>
      <c r="E89" s="924" t="s">
        <v>185</v>
      </c>
      <c r="F89" s="754"/>
      <c r="G89" s="900"/>
      <c r="H89" s="754"/>
      <c r="I89" s="900"/>
      <c r="J89" s="901"/>
      <c r="K89" s="938"/>
    </row>
    <row r="90" spans="1:11" ht="24">
      <c r="A90" s="785"/>
      <c r="B90" s="926" t="s">
        <v>1304</v>
      </c>
      <c r="C90" s="899" t="s">
        <v>1378</v>
      </c>
      <c r="D90" s="794"/>
      <c r="E90" s="924" t="s">
        <v>185</v>
      </c>
      <c r="F90" s="754"/>
      <c r="G90" s="900"/>
      <c r="H90" s="754"/>
      <c r="I90" s="900"/>
      <c r="J90" s="901"/>
      <c r="K90" s="942"/>
    </row>
    <row r="91" spans="1:11" ht="24">
      <c r="A91" s="944"/>
      <c r="B91" s="945" t="s">
        <v>1304</v>
      </c>
      <c r="C91" s="946" t="s">
        <v>1379</v>
      </c>
      <c r="D91" s="821"/>
      <c r="E91" s="947" t="s">
        <v>185</v>
      </c>
      <c r="F91" s="802"/>
      <c r="G91" s="948"/>
      <c r="H91" s="802"/>
      <c r="I91" s="948"/>
      <c r="J91" s="949"/>
      <c r="K91" s="950"/>
    </row>
    <row r="92" spans="1:11" ht="24">
      <c r="A92" s="807"/>
      <c r="B92" s="951" t="s">
        <v>1304</v>
      </c>
      <c r="C92" s="940" t="s">
        <v>1380</v>
      </c>
      <c r="D92" s="810"/>
      <c r="E92" s="952" t="s">
        <v>185</v>
      </c>
      <c r="F92" s="812"/>
      <c r="G92" s="920"/>
      <c r="H92" s="812"/>
      <c r="I92" s="920"/>
      <c r="J92" s="921"/>
      <c r="K92" s="941"/>
    </row>
    <row r="93" spans="1:11" ht="24">
      <c r="A93" s="785"/>
      <c r="B93" s="926" t="s">
        <v>1304</v>
      </c>
      <c r="C93" s="899" t="s">
        <v>1381</v>
      </c>
      <c r="D93" s="794"/>
      <c r="E93" s="924" t="s">
        <v>185</v>
      </c>
      <c r="F93" s="754"/>
      <c r="G93" s="900"/>
      <c r="H93" s="754"/>
      <c r="I93" s="900"/>
      <c r="J93" s="901"/>
      <c r="K93" s="942"/>
    </row>
    <row r="94" spans="1:11" ht="24">
      <c r="A94" s="785"/>
      <c r="B94" s="926" t="s">
        <v>1304</v>
      </c>
      <c r="C94" s="899" t="s">
        <v>1373</v>
      </c>
      <c r="D94" s="794"/>
      <c r="E94" s="789" t="s">
        <v>1112</v>
      </c>
      <c r="F94" s="754"/>
      <c r="G94" s="900"/>
      <c r="H94" s="754"/>
      <c r="I94" s="900"/>
      <c r="J94" s="901"/>
      <c r="K94" s="942"/>
    </row>
    <row r="95" spans="1:11" ht="24">
      <c r="A95" s="785"/>
      <c r="B95" s="926" t="s">
        <v>1304</v>
      </c>
      <c r="C95" s="899" t="s">
        <v>1352</v>
      </c>
      <c r="D95" s="794"/>
      <c r="E95" s="789" t="s">
        <v>1112</v>
      </c>
      <c r="F95" s="754"/>
      <c r="G95" s="900"/>
      <c r="H95" s="754"/>
      <c r="I95" s="900"/>
      <c r="J95" s="901"/>
      <c r="K95" s="942"/>
    </row>
    <row r="96" spans="1:11" ht="24">
      <c r="A96" s="785"/>
      <c r="B96" s="898" t="s">
        <v>1144</v>
      </c>
      <c r="C96" s="899"/>
      <c r="D96" s="794"/>
      <c r="E96" s="789"/>
      <c r="F96" s="754"/>
      <c r="G96" s="900"/>
      <c r="H96" s="754"/>
      <c r="I96" s="900"/>
      <c r="J96" s="901"/>
      <c r="K96" s="942"/>
    </row>
    <row r="97" spans="1:11" ht="24">
      <c r="A97" s="785"/>
      <c r="B97" s="898"/>
      <c r="C97" s="899"/>
      <c r="D97" s="794"/>
      <c r="E97" s="789"/>
      <c r="F97" s="754"/>
      <c r="G97" s="900"/>
      <c r="H97" s="754"/>
      <c r="I97" s="900"/>
      <c r="J97" s="901"/>
      <c r="K97" s="942"/>
    </row>
    <row r="98" spans="1:11" ht="24.75" thickBot="1">
      <c r="A98" s="883"/>
      <c r="B98" s="898"/>
      <c r="C98" s="899"/>
      <c r="D98" s="794"/>
      <c r="E98" s="789"/>
      <c r="F98" s="754"/>
      <c r="G98" s="900"/>
      <c r="H98" s="754"/>
      <c r="I98" s="900"/>
      <c r="J98" s="901"/>
      <c r="K98" s="942"/>
    </row>
    <row r="99" spans="1:11" ht="24.75" thickTop="1">
      <c r="A99" s="427"/>
      <c r="B99" s="2159" t="s">
        <v>1382</v>
      </c>
      <c r="C99" s="2160"/>
      <c r="D99" s="822"/>
      <c r="E99" s="760"/>
      <c r="F99" s="823"/>
      <c r="G99" s="928"/>
      <c r="H99" s="823"/>
      <c r="I99" s="928"/>
      <c r="J99" s="928"/>
      <c r="K99" s="953"/>
    </row>
    <row r="100" spans="1:11" ht="24">
      <c r="A100" s="829" t="s">
        <v>1383</v>
      </c>
      <c r="B100" s="954" t="s">
        <v>1384</v>
      </c>
      <c r="C100" s="904"/>
      <c r="D100" s="831"/>
      <c r="E100" s="789"/>
      <c r="F100" s="819"/>
      <c r="G100" s="900"/>
      <c r="H100" s="819"/>
      <c r="I100" s="900"/>
      <c r="J100" s="901"/>
      <c r="K100" s="938"/>
    </row>
    <row r="101" spans="1:11" ht="24">
      <c r="A101" s="785" t="s">
        <v>1385</v>
      </c>
      <c r="B101" s="927" t="s">
        <v>1386</v>
      </c>
      <c r="C101" s="904"/>
      <c r="D101" s="831"/>
      <c r="E101" s="789"/>
      <c r="F101" s="819"/>
      <c r="G101" s="900"/>
      <c r="H101" s="819"/>
      <c r="I101" s="900"/>
      <c r="J101" s="901"/>
      <c r="K101" s="938"/>
    </row>
    <row r="102" spans="1:11" ht="24">
      <c r="A102" s="785" t="s">
        <v>1387</v>
      </c>
      <c r="B102" s="927" t="s">
        <v>1359</v>
      </c>
      <c r="C102" s="904"/>
      <c r="D102" s="831"/>
      <c r="E102" s="789"/>
      <c r="F102" s="819"/>
      <c r="G102" s="900"/>
      <c r="H102" s="819"/>
      <c r="I102" s="900"/>
      <c r="J102" s="901"/>
      <c r="K102" s="938"/>
    </row>
    <row r="103" spans="1:11" ht="24">
      <c r="A103" s="785"/>
      <c r="B103" s="926" t="s">
        <v>1304</v>
      </c>
      <c r="C103" s="525" t="s">
        <v>1388</v>
      </c>
      <c r="D103" s="831"/>
      <c r="E103" s="924" t="s">
        <v>185</v>
      </c>
      <c r="F103" s="819"/>
      <c r="G103" s="900"/>
      <c r="H103" s="819"/>
      <c r="I103" s="900"/>
      <c r="J103" s="901"/>
      <c r="K103" s="938"/>
    </row>
    <row r="104" spans="1:11" ht="24">
      <c r="A104" s="785"/>
      <c r="B104" s="926" t="s">
        <v>1304</v>
      </c>
      <c r="C104" s="525" t="s">
        <v>1389</v>
      </c>
      <c r="D104" s="831"/>
      <c r="E104" s="924" t="s">
        <v>185</v>
      </c>
      <c r="F104" s="819"/>
      <c r="G104" s="900"/>
      <c r="H104" s="819"/>
      <c r="I104" s="900"/>
      <c r="J104" s="901"/>
      <c r="K104" s="938"/>
    </row>
    <row r="105" spans="1:11" ht="24">
      <c r="A105" s="785"/>
      <c r="B105" s="926" t="s">
        <v>1304</v>
      </c>
      <c r="C105" s="525" t="s">
        <v>1390</v>
      </c>
      <c r="D105" s="831"/>
      <c r="E105" s="924" t="s">
        <v>185</v>
      </c>
      <c r="F105" s="819"/>
      <c r="G105" s="900"/>
      <c r="H105" s="819"/>
      <c r="I105" s="900"/>
      <c r="J105" s="901"/>
      <c r="K105" s="938"/>
    </row>
    <row r="106" spans="1:11" ht="24">
      <c r="A106" s="785"/>
      <c r="B106" s="926" t="s">
        <v>1304</v>
      </c>
      <c r="C106" s="525" t="s">
        <v>1362</v>
      </c>
      <c r="D106" s="831"/>
      <c r="E106" s="924" t="s">
        <v>185</v>
      </c>
      <c r="F106" s="819"/>
      <c r="G106" s="900"/>
      <c r="H106" s="819"/>
      <c r="I106" s="900"/>
      <c r="J106" s="901"/>
      <c r="K106" s="938"/>
    </row>
    <row r="107" spans="1:11" ht="24">
      <c r="A107" s="785"/>
      <c r="B107" s="955" t="s">
        <v>1391</v>
      </c>
      <c r="C107" s="525"/>
      <c r="D107" s="831"/>
      <c r="E107" s="924"/>
      <c r="F107" s="819"/>
      <c r="G107" s="900"/>
      <c r="H107" s="819"/>
      <c r="I107" s="900"/>
      <c r="J107" s="901"/>
      <c r="K107" s="938"/>
    </row>
    <row r="108" spans="1:11" ht="24">
      <c r="A108" s="785"/>
      <c r="B108" s="955" t="s">
        <v>1392</v>
      </c>
      <c r="C108" s="525"/>
      <c r="D108" s="818"/>
      <c r="E108" s="924" t="s">
        <v>185</v>
      </c>
      <c r="F108" s="819"/>
      <c r="G108" s="900"/>
      <c r="H108" s="819"/>
      <c r="I108" s="900"/>
      <c r="J108" s="901"/>
      <c r="K108" s="938"/>
    </row>
    <row r="109" spans="1:11" ht="24">
      <c r="A109" s="785" t="s">
        <v>1393</v>
      </c>
      <c r="B109" s="927" t="s">
        <v>1226</v>
      </c>
      <c r="C109" s="904"/>
      <c r="D109" s="831"/>
      <c r="E109" s="789"/>
      <c r="F109" s="819"/>
      <c r="G109" s="900"/>
      <c r="H109" s="819"/>
      <c r="I109" s="900"/>
      <c r="J109" s="901"/>
      <c r="K109" s="938"/>
    </row>
    <row r="110" spans="1:11" ht="24">
      <c r="A110" s="785"/>
      <c r="B110" s="926" t="s">
        <v>1304</v>
      </c>
      <c r="C110" s="525" t="s">
        <v>1394</v>
      </c>
      <c r="D110" s="831"/>
      <c r="E110" s="924" t="s">
        <v>185</v>
      </c>
      <c r="F110" s="819"/>
      <c r="G110" s="900"/>
      <c r="H110" s="819"/>
      <c r="I110" s="900"/>
      <c r="J110" s="901"/>
      <c r="K110" s="938"/>
    </row>
    <row r="111" spans="1:11" ht="24">
      <c r="A111" s="785"/>
      <c r="B111" s="926" t="s">
        <v>1304</v>
      </c>
      <c r="C111" s="525" t="s">
        <v>1367</v>
      </c>
      <c r="D111" s="831"/>
      <c r="E111" s="924" t="s">
        <v>185</v>
      </c>
      <c r="F111" s="819"/>
      <c r="G111" s="900"/>
      <c r="H111" s="819"/>
      <c r="I111" s="900"/>
      <c r="J111" s="901"/>
      <c r="K111" s="938"/>
    </row>
    <row r="112" spans="1:11" ht="24">
      <c r="A112" s="944"/>
      <c r="B112" s="945" t="s">
        <v>1304</v>
      </c>
      <c r="C112" s="529" t="s">
        <v>1368</v>
      </c>
      <c r="D112" s="956"/>
      <c r="E112" s="947" t="s">
        <v>185</v>
      </c>
      <c r="F112" s="957"/>
      <c r="G112" s="948"/>
      <c r="H112" s="957"/>
      <c r="I112" s="948"/>
      <c r="J112" s="949"/>
      <c r="K112" s="958"/>
    </row>
    <row r="113" spans="1:11" ht="24">
      <c r="A113" s="807"/>
      <c r="B113" s="951" t="s">
        <v>1304</v>
      </c>
      <c r="C113" s="538" t="s">
        <v>1369</v>
      </c>
      <c r="D113" s="918"/>
      <c r="E113" s="952" t="s">
        <v>185</v>
      </c>
      <c r="F113" s="919"/>
      <c r="G113" s="920"/>
      <c r="H113" s="919"/>
      <c r="I113" s="920"/>
      <c r="J113" s="921"/>
      <c r="K113" s="959"/>
    </row>
    <row r="114" spans="1:11" ht="24">
      <c r="A114" s="785"/>
      <c r="B114" s="926" t="s">
        <v>1304</v>
      </c>
      <c r="C114" s="525" t="s">
        <v>1370</v>
      </c>
      <c r="D114" s="831"/>
      <c r="E114" s="924" t="s">
        <v>185</v>
      </c>
      <c r="F114" s="819"/>
      <c r="G114" s="900"/>
      <c r="H114" s="819"/>
      <c r="I114" s="900"/>
      <c r="J114" s="901"/>
      <c r="K114" s="938"/>
    </row>
    <row r="115" spans="1:11" ht="24">
      <c r="A115" s="785"/>
      <c r="B115" s="926" t="s">
        <v>1304</v>
      </c>
      <c r="C115" s="525" t="s">
        <v>1395</v>
      </c>
      <c r="D115" s="831"/>
      <c r="E115" s="924" t="s">
        <v>185</v>
      </c>
      <c r="F115" s="819"/>
      <c r="G115" s="900"/>
      <c r="H115" s="819"/>
      <c r="I115" s="900"/>
      <c r="J115" s="901"/>
      <c r="K115" s="938"/>
    </row>
    <row r="116" spans="1:11" ht="24">
      <c r="A116" s="785" t="s">
        <v>1396</v>
      </c>
      <c r="B116" s="943" t="s">
        <v>1373</v>
      </c>
      <c r="C116" s="904"/>
      <c r="D116" s="831"/>
      <c r="E116" s="789" t="s">
        <v>1112</v>
      </c>
      <c r="F116" s="819"/>
      <c r="G116" s="900"/>
      <c r="H116" s="819"/>
      <c r="I116" s="900"/>
      <c r="J116" s="901"/>
      <c r="K116" s="938"/>
    </row>
    <row r="117" spans="1:11" ht="24">
      <c r="A117" s="785" t="s">
        <v>1397</v>
      </c>
      <c r="B117" s="943" t="s">
        <v>1352</v>
      </c>
      <c r="C117" s="904"/>
      <c r="D117" s="831"/>
      <c r="E117" s="789" t="s">
        <v>1112</v>
      </c>
      <c r="F117" s="819"/>
      <c r="G117" s="900"/>
      <c r="H117" s="819"/>
      <c r="I117" s="900"/>
      <c r="J117" s="901"/>
      <c r="K117" s="938"/>
    </row>
    <row r="118" spans="1:11" ht="24">
      <c r="A118" s="785"/>
      <c r="B118" s="943"/>
      <c r="C118" s="904"/>
      <c r="D118" s="831"/>
      <c r="E118" s="789"/>
      <c r="F118" s="819"/>
      <c r="G118" s="900"/>
      <c r="H118" s="819"/>
      <c r="I118" s="900"/>
      <c r="J118" s="901"/>
      <c r="K118" s="938"/>
    </row>
    <row r="119" spans="1:11" ht="24.75" thickBot="1">
      <c r="A119" s="829"/>
      <c r="B119" s="954"/>
      <c r="C119" s="904"/>
      <c r="D119" s="831"/>
      <c r="E119" s="789"/>
      <c r="F119" s="819"/>
      <c r="G119" s="900"/>
      <c r="H119" s="819"/>
      <c r="I119" s="900"/>
      <c r="J119" s="901"/>
      <c r="K119" s="938"/>
    </row>
    <row r="120" spans="1:11" ht="24.75" thickTop="1">
      <c r="A120" s="427"/>
      <c r="B120" s="2159" t="s">
        <v>1398</v>
      </c>
      <c r="C120" s="2160"/>
      <c r="D120" s="822"/>
      <c r="E120" s="760"/>
      <c r="F120" s="823"/>
      <c r="G120" s="928"/>
      <c r="H120" s="823"/>
      <c r="I120" s="928"/>
      <c r="J120" s="928"/>
      <c r="K120" s="953"/>
    </row>
    <row r="121" spans="1:11" ht="24">
      <c r="A121" s="829" t="s">
        <v>1399</v>
      </c>
      <c r="B121" s="954" t="s">
        <v>1400</v>
      </c>
      <c r="C121" s="904"/>
      <c r="D121" s="831"/>
      <c r="E121" s="789"/>
      <c r="F121" s="819"/>
      <c r="G121" s="900"/>
      <c r="H121" s="819"/>
      <c r="I121" s="900"/>
      <c r="J121" s="901"/>
      <c r="K121" s="938"/>
    </row>
    <row r="122" spans="1:11" ht="24">
      <c r="A122" s="785" t="s">
        <v>1401</v>
      </c>
      <c r="B122" s="927" t="s">
        <v>1402</v>
      </c>
      <c r="C122" s="904"/>
      <c r="D122" s="831"/>
      <c r="E122" s="789"/>
      <c r="F122" s="819"/>
      <c r="G122" s="900"/>
      <c r="H122" s="819"/>
      <c r="I122" s="900"/>
      <c r="J122" s="901"/>
      <c r="K122" s="938"/>
    </row>
    <row r="123" spans="1:11" ht="24">
      <c r="A123" s="785" t="s">
        <v>1403</v>
      </c>
      <c r="B123" s="927" t="s">
        <v>1404</v>
      </c>
      <c r="C123" s="904"/>
      <c r="D123" s="831"/>
      <c r="E123" s="789"/>
      <c r="F123" s="819"/>
      <c r="G123" s="900"/>
      <c r="H123" s="819"/>
      <c r="I123" s="900"/>
      <c r="J123" s="901"/>
      <c r="K123" s="938"/>
    </row>
    <row r="124" spans="1:11" ht="24">
      <c r="A124" s="785"/>
      <c r="B124" s="926" t="s">
        <v>1304</v>
      </c>
      <c r="C124" s="525" t="s">
        <v>1405</v>
      </c>
      <c r="D124" s="831"/>
      <c r="E124" s="924" t="s">
        <v>185</v>
      </c>
      <c r="F124" s="819"/>
      <c r="G124" s="900"/>
      <c r="H124" s="819"/>
      <c r="I124" s="900"/>
      <c r="J124" s="901"/>
      <c r="K124" s="938"/>
    </row>
    <row r="125" spans="1:11" ht="24">
      <c r="A125" s="785"/>
      <c r="B125" s="926" t="s">
        <v>1304</v>
      </c>
      <c r="C125" s="525" t="s">
        <v>1388</v>
      </c>
      <c r="D125" s="831"/>
      <c r="E125" s="924" t="s">
        <v>185</v>
      </c>
      <c r="F125" s="819"/>
      <c r="G125" s="900"/>
      <c r="H125" s="819"/>
      <c r="I125" s="900"/>
      <c r="J125" s="901"/>
      <c r="K125" s="938"/>
    </row>
    <row r="126" spans="1:11" ht="24">
      <c r="A126" s="785"/>
      <c r="B126" s="926" t="s">
        <v>1304</v>
      </c>
      <c r="C126" s="525" t="s">
        <v>1389</v>
      </c>
      <c r="D126" s="831"/>
      <c r="E126" s="924" t="s">
        <v>185</v>
      </c>
      <c r="F126" s="819"/>
      <c r="G126" s="900"/>
      <c r="H126" s="819"/>
      <c r="I126" s="900"/>
      <c r="J126" s="901"/>
      <c r="K126" s="938"/>
    </row>
    <row r="127" spans="1:11" ht="24">
      <c r="A127" s="785"/>
      <c r="B127" s="926" t="s">
        <v>1304</v>
      </c>
      <c r="C127" s="525" t="s">
        <v>1406</v>
      </c>
      <c r="D127" s="831"/>
      <c r="E127" s="924" t="s">
        <v>185</v>
      </c>
      <c r="F127" s="819"/>
      <c r="G127" s="900"/>
      <c r="H127" s="819"/>
      <c r="I127" s="900"/>
      <c r="J127" s="901"/>
      <c r="K127" s="938"/>
    </row>
    <row r="128" spans="1:11" ht="24">
      <c r="A128" s="785"/>
      <c r="B128" s="926" t="s">
        <v>1304</v>
      </c>
      <c r="C128" s="525" t="s">
        <v>1407</v>
      </c>
      <c r="D128" s="831"/>
      <c r="E128" s="924" t="s">
        <v>185</v>
      </c>
      <c r="F128" s="819"/>
      <c r="G128" s="900"/>
      <c r="H128" s="819"/>
      <c r="I128" s="900"/>
      <c r="J128" s="901"/>
      <c r="K128" s="938"/>
    </row>
    <row r="129" spans="1:11" ht="24">
      <c r="A129" s="785"/>
      <c r="B129" s="926" t="s">
        <v>1304</v>
      </c>
      <c r="C129" s="525" t="s">
        <v>1360</v>
      </c>
      <c r="D129" s="831"/>
      <c r="E129" s="924" t="s">
        <v>185</v>
      </c>
      <c r="F129" s="819"/>
      <c r="G129" s="900"/>
      <c r="H129" s="819"/>
      <c r="I129" s="900"/>
      <c r="J129" s="901"/>
      <c r="K129" s="938"/>
    </row>
    <row r="130" spans="1:11" ht="24">
      <c r="A130" s="785"/>
      <c r="B130" s="926" t="s">
        <v>1304</v>
      </c>
      <c r="C130" s="525" t="s">
        <v>1362</v>
      </c>
      <c r="D130" s="831"/>
      <c r="E130" s="924" t="s">
        <v>185</v>
      </c>
      <c r="F130" s="819"/>
      <c r="G130" s="900"/>
      <c r="H130" s="819"/>
      <c r="I130" s="900"/>
      <c r="J130" s="901"/>
      <c r="K130" s="938"/>
    </row>
    <row r="131" spans="1:11" ht="24">
      <c r="A131" s="785" t="s">
        <v>1408</v>
      </c>
      <c r="B131" s="927" t="s">
        <v>1226</v>
      </c>
      <c r="C131" s="904"/>
      <c r="D131" s="831"/>
      <c r="E131" s="789"/>
      <c r="F131" s="819"/>
      <c r="G131" s="900"/>
      <c r="H131" s="819"/>
      <c r="I131" s="900"/>
      <c r="J131" s="901"/>
      <c r="K131" s="938"/>
    </row>
    <row r="132" spans="1:11" ht="24">
      <c r="A132" s="785"/>
      <c r="B132" s="926" t="s">
        <v>1304</v>
      </c>
      <c r="C132" s="525" t="s">
        <v>1394</v>
      </c>
      <c r="D132" s="781"/>
      <c r="E132" s="781" t="s">
        <v>185</v>
      </c>
      <c r="F132" s="819"/>
      <c r="G132" s="900"/>
      <c r="H132" s="819"/>
      <c r="I132" s="900"/>
      <c r="J132" s="901"/>
      <c r="K132" s="938"/>
    </row>
    <row r="133" spans="1:11" ht="24">
      <c r="A133" s="944"/>
      <c r="B133" s="945" t="s">
        <v>1304</v>
      </c>
      <c r="C133" s="960" t="s">
        <v>1409</v>
      </c>
      <c r="D133" s="961"/>
      <c r="E133" s="961" t="s">
        <v>185</v>
      </c>
      <c r="F133" s="957"/>
      <c r="G133" s="948"/>
      <c r="H133" s="957"/>
      <c r="I133" s="948"/>
      <c r="J133" s="949"/>
      <c r="K133" s="958"/>
    </row>
    <row r="134" spans="1:11" ht="24">
      <c r="A134" s="807"/>
      <c r="B134" s="951" t="s">
        <v>1304</v>
      </c>
      <c r="C134" s="962" t="s">
        <v>1410</v>
      </c>
      <c r="D134" s="963"/>
      <c r="E134" s="963" t="s">
        <v>185</v>
      </c>
      <c r="F134" s="919"/>
      <c r="G134" s="920"/>
      <c r="H134" s="919"/>
      <c r="I134" s="920"/>
      <c r="J134" s="921"/>
      <c r="K134" s="959"/>
    </row>
    <row r="135" spans="1:11" ht="24">
      <c r="A135" s="785"/>
      <c r="B135" s="926" t="s">
        <v>1304</v>
      </c>
      <c r="C135" s="964" t="s">
        <v>1411</v>
      </c>
      <c r="D135" s="781"/>
      <c r="E135" s="781" t="s">
        <v>185</v>
      </c>
      <c r="F135" s="819"/>
      <c r="G135" s="900"/>
      <c r="H135" s="819"/>
      <c r="I135" s="900"/>
      <c r="J135" s="901"/>
      <c r="K135" s="938"/>
    </row>
    <row r="136" spans="1:11" ht="24">
      <c r="A136" s="785"/>
      <c r="B136" s="926" t="s">
        <v>1304</v>
      </c>
      <c r="C136" s="964" t="s">
        <v>1412</v>
      </c>
      <c r="D136" s="781"/>
      <c r="E136" s="781" t="s">
        <v>185</v>
      </c>
      <c r="F136" s="819"/>
      <c r="G136" s="900"/>
      <c r="H136" s="819"/>
      <c r="I136" s="900"/>
      <c r="J136" s="901"/>
      <c r="K136" s="938"/>
    </row>
    <row r="137" spans="1:11" ht="24">
      <c r="A137" s="785"/>
      <c r="B137" s="926" t="s">
        <v>1304</v>
      </c>
      <c r="C137" s="964" t="s">
        <v>1367</v>
      </c>
      <c r="D137" s="781"/>
      <c r="E137" s="781" t="s">
        <v>185</v>
      </c>
      <c r="F137" s="819"/>
      <c r="G137" s="900"/>
      <c r="H137" s="819"/>
      <c r="I137" s="900"/>
      <c r="J137" s="901"/>
      <c r="K137" s="938"/>
    </row>
    <row r="138" spans="1:11" ht="24">
      <c r="A138" s="785"/>
      <c r="B138" s="926" t="s">
        <v>1304</v>
      </c>
      <c r="C138" s="964" t="s">
        <v>1368</v>
      </c>
      <c r="D138" s="781"/>
      <c r="E138" s="781" t="s">
        <v>185</v>
      </c>
      <c r="F138" s="819"/>
      <c r="G138" s="900"/>
      <c r="H138" s="819"/>
      <c r="I138" s="900"/>
      <c r="J138" s="901"/>
      <c r="K138" s="938"/>
    </row>
    <row r="139" spans="1:11" ht="24">
      <c r="A139" s="785" t="s">
        <v>1413</v>
      </c>
      <c r="B139" s="943" t="s">
        <v>1373</v>
      </c>
      <c r="C139" s="904"/>
      <c r="D139" s="781"/>
      <c r="E139" s="781" t="s">
        <v>1112</v>
      </c>
      <c r="F139" s="791"/>
      <c r="G139" s="900"/>
      <c r="H139" s="819"/>
      <c r="I139" s="900"/>
      <c r="J139" s="901"/>
      <c r="K139" s="938"/>
    </row>
    <row r="140" spans="1:11" ht="24">
      <c r="A140" s="785" t="s">
        <v>1414</v>
      </c>
      <c r="B140" s="927" t="s">
        <v>1415</v>
      </c>
      <c r="C140" s="904"/>
      <c r="D140" s="831"/>
      <c r="E140" s="789"/>
      <c r="F140" s="819"/>
      <c r="G140" s="900"/>
      <c r="H140" s="819"/>
      <c r="I140" s="900"/>
      <c r="J140" s="901"/>
      <c r="K140" s="938"/>
    </row>
    <row r="141" spans="1:11" ht="24">
      <c r="A141" s="807" t="s">
        <v>1416</v>
      </c>
      <c r="B141" s="965" t="s">
        <v>1404</v>
      </c>
      <c r="C141" s="966"/>
      <c r="D141" s="918"/>
      <c r="E141" s="811"/>
      <c r="F141" s="919"/>
      <c r="G141" s="920"/>
      <c r="H141" s="919"/>
      <c r="I141" s="920"/>
      <c r="J141" s="921"/>
      <c r="K141" s="959"/>
    </row>
    <row r="142" spans="1:11" ht="24">
      <c r="A142" s="785"/>
      <c r="B142" s="926" t="s">
        <v>1304</v>
      </c>
      <c r="C142" s="525" t="s">
        <v>1417</v>
      </c>
      <c r="D142" s="831"/>
      <c r="E142" s="924" t="s">
        <v>185</v>
      </c>
      <c r="F142" s="819"/>
      <c r="G142" s="900"/>
      <c r="H142" s="819"/>
      <c r="I142" s="900"/>
      <c r="J142" s="901"/>
      <c r="K142" s="938"/>
    </row>
    <row r="143" spans="1:11" ht="24">
      <c r="A143" s="785"/>
      <c r="B143" s="926" t="s">
        <v>1304</v>
      </c>
      <c r="C143" s="525" t="s">
        <v>1389</v>
      </c>
      <c r="D143" s="831"/>
      <c r="E143" s="924" t="s">
        <v>185</v>
      </c>
      <c r="F143" s="819"/>
      <c r="G143" s="900"/>
      <c r="H143" s="819"/>
      <c r="I143" s="900"/>
      <c r="J143" s="901"/>
      <c r="K143" s="938"/>
    </row>
    <row r="144" spans="1:11" ht="24">
      <c r="A144" s="785"/>
      <c r="B144" s="926" t="s">
        <v>1304</v>
      </c>
      <c r="C144" s="525" t="s">
        <v>1361</v>
      </c>
      <c r="D144" s="831"/>
      <c r="E144" s="924" t="s">
        <v>185</v>
      </c>
      <c r="F144" s="819"/>
      <c r="G144" s="900"/>
      <c r="H144" s="819"/>
      <c r="I144" s="900"/>
      <c r="J144" s="901"/>
      <c r="K144" s="938"/>
    </row>
    <row r="145" spans="1:11" ht="24">
      <c r="A145" s="785" t="s">
        <v>1418</v>
      </c>
      <c r="B145" s="927" t="s">
        <v>1226</v>
      </c>
      <c r="C145" s="904"/>
      <c r="D145" s="831"/>
      <c r="E145" s="789"/>
      <c r="F145" s="819"/>
      <c r="G145" s="900"/>
      <c r="H145" s="819"/>
      <c r="I145" s="900"/>
      <c r="J145" s="901"/>
      <c r="K145" s="938"/>
    </row>
    <row r="146" spans="1:11" ht="24">
      <c r="A146" s="785"/>
      <c r="B146" s="926" t="s">
        <v>1304</v>
      </c>
      <c r="C146" s="525" t="s">
        <v>1419</v>
      </c>
      <c r="D146" s="781"/>
      <c r="E146" s="781" t="s">
        <v>185</v>
      </c>
      <c r="F146" s="819"/>
      <c r="G146" s="900"/>
      <c r="H146" s="819"/>
      <c r="I146" s="900"/>
      <c r="J146" s="901"/>
      <c r="K146" s="938"/>
    </row>
    <row r="147" spans="1:11" ht="24">
      <c r="A147" s="785"/>
      <c r="B147" s="926" t="s">
        <v>1304</v>
      </c>
      <c r="C147" s="964" t="s">
        <v>1409</v>
      </c>
      <c r="D147" s="781"/>
      <c r="E147" s="781" t="s">
        <v>185</v>
      </c>
      <c r="F147" s="819"/>
      <c r="G147" s="900"/>
      <c r="H147" s="819"/>
      <c r="I147" s="900"/>
      <c r="J147" s="901"/>
      <c r="K147" s="938"/>
    </row>
    <row r="148" spans="1:11" ht="24">
      <c r="A148" s="785"/>
      <c r="B148" s="926" t="s">
        <v>1304</v>
      </c>
      <c r="C148" s="964" t="s">
        <v>1410</v>
      </c>
      <c r="D148" s="781"/>
      <c r="E148" s="781" t="s">
        <v>185</v>
      </c>
      <c r="F148" s="819"/>
      <c r="G148" s="900"/>
      <c r="H148" s="819"/>
      <c r="I148" s="900"/>
      <c r="J148" s="901"/>
      <c r="K148" s="938"/>
    </row>
    <row r="149" spans="1:11" ht="24">
      <c r="A149" s="785"/>
      <c r="B149" s="926" t="s">
        <v>1304</v>
      </c>
      <c r="C149" s="964" t="s">
        <v>1411</v>
      </c>
      <c r="D149" s="781"/>
      <c r="E149" s="781" t="s">
        <v>185</v>
      </c>
      <c r="F149" s="819"/>
      <c r="G149" s="900"/>
      <c r="H149" s="819"/>
      <c r="I149" s="900"/>
      <c r="J149" s="901"/>
      <c r="K149" s="938"/>
    </row>
    <row r="150" spans="1:11" ht="24">
      <c r="A150" s="785"/>
      <c r="B150" s="926" t="s">
        <v>1304</v>
      </c>
      <c r="C150" s="964" t="s">
        <v>1412</v>
      </c>
      <c r="D150" s="781"/>
      <c r="E150" s="781" t="s">
        <v>185</v>
      </c>
      <c r="F150" s="819"/>
      <c r="G150" s="900"/>
      <c r="H150" s="819"/>
      <c r="I150" s="900"/>
      <c r="J150" s="901"/>
      <c r="K150" s="938"/>
    </row>
    <row r="151" spans="1:11" ht="24">
      <c r="A151" s="785"/>
      <c r="B151" s="926" t="s">
        <v>1304</v>
      </c>
      <c r="C151" s="964" t="s">
        <v>1367</v>
      </c>
      <c r="D151" s="781"/>
      <c r="E151" s="781" t="s">
        <v>185</v>
      </c>
      <c r="F151" s="819"/>
      <c r="G151" s="900"/>
      <c r="H151" s="819"/>
      <c r="I151" s="900"/>
      <c r="J151" s="901"/>
      <c r="K151" s="938"/>
    </row>
    <row r="152" spans="1:11" ht="24">
      <c r="A152" s="785"/>
      <c r="B152" s="926" t="s">
        <v>1304</v>
      </c>
      <c r="C152" s="964" t="s">
        <v>1368</v>
      </c>
      <c r="D152" s="781"/>
      <c r="E152" s="781" t="s">
        <v>185</v>
      </c>
      <c r="F152" s="819"/>
      <c r="G152" s="900"/>
      <c r="H152" s="819"/>
      <c r="I152" s="900"/>
      <c r="J152" s="901"/>
      <c r="K152" s="938"/>
    </row>
    <row r="153" spans="1:11" ht="24">
      <c r="A153" s="785" t="s">
        <v>1420</v>
      </c>
      <c r="B153" s="943" t="s">
        <v>1373</v>
      </c>
      <c r="C153" s="904"/>
      <c r="D153" s="781"/>
      <c r="E153" s="781" t="s">
        <v>1112</v>
      </c>
      <c r="F153" s="791"/>
      <c r="G153" s="900"/>
      <c r="H153" s="819"/>
      <c r="I153" s="900"/>
      <c r="J153" s="901"/>
      <c r="K153" s="938"/>
    </row>
    <row r="154" spans="1:11" ht="24">
      <c r="A154" s="944" t="s">
        <v>1421</v>
      </c>
      <c r="B154" s="967" t="s">
        <v>1422</v>
      </c>
      <c r="C154" s="968"/>
      <c r="D154" s="956"/>
      <c r="E154" s="801"/>
      <c r="F154" s="957"/>
      <c r="G154" s="948"/>
      <c r="H154" s="957"/>
      <c r="I154" s="948"/>
      <c r="J154" s="949"/>
      <c r="K154" s="958"/>
    </row>
    <row r="155" spans="1:11" ht="24">
      <c r="A155" s="807" t="s">
        <v>1423</v>
      </c>
      <c r="B155" s="965" t="s">
        <v>1404</v>
      </c>
      <c r="C155" s="966"/>
      <c r="D155" s="918"/>
      <c r="E155" s="811"/>
      <c r="F155" s="919"/>
      <c r="G155" s="920"/>
      <c r="H155" s="919"/>
      <c r="I155" s="920"/>
      <c r="J155" s="921"/>
      <c r="K155" s="959"/>
    </row>
    <row r="156" spans="1:11" ht="24">
      <c r="A156" s="785"/>
      <c r="B156" s="926" t="s">
        <v>1304</v>
      </c>
      <c r="C156" s="525" t="s">
        <v>1417</v>
      </c>
      <c r="D156" s="831"/>
      <c r="E156" s="924" t="s">
        <v>185</v>
      </c>
      <c r="F156" s="819"/>
      <c r="G156" s="900"/>
      <c r="H156" s="819"/>
      <c r="I156" s="900"/>
      <c r="J156" s="901"/>
      <c r="K156" s="938"/>
    </row>
    <row r="157" spans="1:11" ht="24">
      <c r="A157" s="785"/>
      <c r="B157" s="926" t="s">
        <v>1304</v>
      </c>
      <c r="C157" s="525" t="s">
        <v>1424</v>
      </c>
      <c r="D157" s="831"/>
      <c r="E157" s="924" t="s">
        <v>185</v>
      </c>
      <c r="F157" s="819"/>
      <c r="G157" s="900"/>
      <c r="H157" s="819"/>
      <c r="I157" s="900"/>
      <c r="J157" s="901"/>
      <c r="K157" s="938"/>
    </row>
    <row r="158" spans="1:11" ht="24">
      <c r="A158" s="785"/>
      <c r="B158" s="926" t="s">
        <v>1304</v>
      </c>
      <c r="C158" s="525" t="s">
        <v>1389</v>
      </c>
      <c r="D158" s="831"/>
      <c r="E158" s="924" t="s">
        <v>185</v>
      </c>
      <c r="F158" s="819"/>
      <c r="G158" s="900"/>
      <c r="H158" s="819"/>
      <c r="I158" s="900"/>
      <c r="J158" s="901"/>
      <c r="K158" s="938"/>
    </row>
    <row r="159" spans="1:11" ht="24">
      <c r="A159" s="785"/>
      <c r="B159" s="926" t="s">
        <v>1304</v>
      </c>
      <c r="C159" s="525" t="s">
        <v>1361</v>
      </c>
      <c r="D159" s="831"/>
      <c r="E159" s="924" t="s">
        <v>185</v>
      </c>
      <c r="F159" s="819"/>
      <c r="G159" s="900"/>
      <c r="H159" s="819"/>
      <c r="I159" s="900"/>
      <c r="J159" s="901"/>
      <c r="K159" s="938"/>
    </row>
    <row r="160" spans="1:11" ht="24">
      <c r="A160" s="807" t="s">
        <v>1425</v>
      </c>
      <c r="B160" s="965" t="s">
        <v>1226</v>
      </c>
      <c r="C160" s="966"/>
      <c r="D160" s="918"/>
      <c r="E160" s="811"/>
      <c r="F160" s="919"/>
      <c r="G160" s="920"/>
      <c r="H160" s="919"/>
      <c r="I160" s="920"/>
      <c r="J160" s="921"/>
      <c r="K160" s="959"/>
    </row>
    <row r="161" spans="1:11" ht="24">
      <c r="A161" s="785"/>
      <c r="B161" s="926" t="s">
        <v>1304</v>
      </c>
      <c r="C161" s="525" t="s">
        <v>1419</v>
      </c>
      <c r="D161" s="781"/>
      <c r="E161" s="781" t="s">
        <v>185</v>
      </c>
      <c r="F161" s="819"/>
      <c r="G161" s="900"/>
      <c r="H161" s="819"/>
      <c r="I161" s="900"/>
      <c r="J161" s="901"/>
      <c r="K161" s="938"/>
    </row>
    <row r="162" spans="1:11" ht="24">
      <c r="A162" s="785"/>
      <c r="B162" s="926" t="s">
        <v>1304</v>
      </c>
      <c r="C162" s="964" t="s">
        <v>1409</v>
      </c>
      <c r="D162" s="781"/>
      <c r="E162" s="781" t="s">
        <v>185</v>
      </c>
      <c r="F162" s="819"/>
      <c r="G162" s="900"/>
      <c r="H162" s="819"/>
      <c r="I162" s="900"/>
      <c r="J162" s="901"/>
      <c r="K162" s="938"/>
    </row>
    <row r="163" spans="1:11" ht="24">
      <c r="A163" s="785"/>
      <c r="B163" s="926" t="s">
        <v>1304</v>
      </c>
      <c r="C163" s="964" t="s">
        <v>1410</v>
      </c>
      <c r="D163" s="781"/>
      <c r="E163" s="781" t="s">
        <v>185</v>
      </c>
      <c r="F163" s="819"/>
      <c r="G163" s="900"/>
      <c r="H163" s="819"/>
      <c r="I163" s="900"/>
      <c r="J163" s="901"/>
      <c r="K163" s="938"/>
    </row>
    <row r="164" spans="1:11" ht="24">
      <c r="A164" s="785"/>
      <c r="B164" s="926" t="s">
        <v>1304</v>
      </c>
      <c r="C164" s="964" t="s">
        <v>1411</v>
      </c>
      <c r="D164" s="781"/>
      <c r="E164" s="781" t="s">
        <v>185</v>
      </c>
      <c r="F164" s="819"/>
      <c r="G164" s="900"/>
      <c r="H164" s="819"/>
      <c r="I164" s="900"/>
      <c r="J164" s="901"/>
      <c r="K164" s="938"/>
    </row>
    <row r="165" spans="1:11" ht="24">
      <c r="A165" s="785"/>
      <c r="B165" s="926" t="s">
        <v>1304</v>
      </c>
      <c r="C165" s="964" t="s">
        <v>1412</v>
      </c>
      <c r="D165" s="781"/>
      <c r="E165" s="781" t="s">
        <v>185</v>
      </c>
      <c r="F165" s="819"/>
      <c r="G165" s="900"/>
      <c r="H165" s="819"/>
      <c r="I165" s="900"/>
      <c r="J165" s="901"/>
      <c r="K165" s="938"/>
    </row>
    <row r="166" spans="1:11" ht="24">
      <c r="A166" s="785"/>
      <c r="B166" s="926" t="s">
        <v>1304</v>
      </c>
      <c r="C166" s="964" t="s">
        <v>1367</v>
      </c>
      <c r="D166" s="781"/>
      <c r="E166" s="781" t="s">
        <v>185</v>
      </c>
      <c r="F166" s="819"/>
      <c r="G166" s="900"/>
      <c r="H166" s="819"/>
      <c r="I166" s="900"/>
      <c r="J166" s="901"/>
      <c r="K166" s="938"/>
    </row>
    <row r="167" spans="1:11" ht="24">
      <c r="A167" s="785"/>
      <c r="B167" s="926" t="s">
        <v>1304</v>
      </c>
      <c r="C167" s="964" t="s">
        <v>1368</v>
      </c>
      <c r="D167" s="781"/>
      <c r="E167" s="781" t="s">
        <v>185</v>
      </c>
      <c r="F167" s="819"/>
      <c r="G167" s="900"/>
      <c r="H167" s="819"/>
      <c r="I167" s="900"/>
      <c r="J167" s="901"/>
      <c r="K167" s="938"/>
    </row>
    <row r="168" spans="1:11" ht="24">
      <c r="A168" s="785" t="s">
        <v>1426</v>
      </c>
      <c r="B168" s="943" t="s">
        <v>1373</v>
      </c>
      <c r="C168" s="904"/>
      <c r="D168" s="781"/>
      <c r="E168" s="781" t="s">
        <v>1112</v>
      </c>
      <c r="F168" s="791"/>
      <c r="G168" s="900"/>
      <c r="H168" s="819"/>
      <c r="I168" s="900"/>
      <c r="J168" s="901"/>
      <c r="K168" s="938"/>
    </row>
    <row r="169" spans="1:11" ht="24">
      <c r="A169" s="785" t="s">
        <v>1427</v>
      </c>
      <c r="B169" s="927" t="s">
        <v>1428</v>
      </c>
      <c r="C169" s="904"/>
      <c r="D169" s="831"/>
      <c r="E169" s="789"/>
      <c r="F169" s="819"/>
      <c r="G169" s="900"/>
      <c r="H169" s="819"/>
      <c r="I169" s="900"/>
      <c r="J169" s="901"/>
      <c r="K169" s="938"/>
    </row>
    <row r="170" spans="1:11" ht="24">
      <c r="A170" s="785" t="s">
        <v>1429</v>
      </c>
      <c r="B170" s="927" t="s">
        <v>1404</v>
      </c>
      <c r="C170" s="904"/>
      <c r="D170" s="831"/>
      <c r="E170" s="789"/>
      <c r="F170" s="819"/>
      <c r="G170" s="900"/>
      <c r="H170" s="819"/>
      <c r="I170" s="900"/>
      <c r="J170" s="901"/>
      <c r="K170" s="938"/>
    </row>
    <row r="171" spans="1:11" ht="24">
      <c r="A171" s="785"/>
      <c r="B171" s="926" t="s">
        <v>1304</v>
      </c>
      <c r="C171" s="525" t="s">
        <v>1405</v>
      </c>
      <c r="D171" s="831"/>
      <c r="E171" s="924" t="s">
        <v>185</v>
      </c>
      <c r="F171" s="819"/>
      <c r="G171" s="900"/>
      <c r="H171" s="819"/>
      <c r="I171" s="900"/>
      <c r="J171" s="901"/>
      <c r="K171" s="938"/>
    </row>
    <row r="172" spans="1:11" ht="24">
      <c r="A172" s="785"/>
      <c r="B172" s="926" t="s">
        <v>1304</v>
      </c>
      <c r="C172" s="525" t="s">
        <v>1388</v>
      </c>
      <c r="D172" s="831"/>
      <c r="E172" s="924" t="s">
        <v>185</v>
      </c>
      <c r="F172" s="819"/>
      <c r="G172" s="900"/>
      <c r="H172" s="819"/>
      <c r="I172" s="900"/>
      <c r="J172" s="901"/>
      <c r="K172" s="938"/>
    </row>
    <row r="173" spans="1:11" ht="24">
      <c r="A173" s="785"/>
      <c r="B173" s="926" t="s">
        <v>1304</v>
      </c>
      <c r="C173" s="525" t="s">
        <v>1424</v>
      </c>
      <c r="D173" s="831"/>
      <c r="E173" s="924" t="s">
        <v>185</v>
      </c>
      <c r="F173" s="819"/>
      <c r="G173" s="900"/>
      <c r="H173" s="819"/>
      <c r="I173" s="900"/>
      <c r="J173" s="901"/>
      <c r="K173" s="938"/>
    </row>
    <row r="174" spans="1:11" ht="24">
      <c r="A174" s="785"/>
      <c r="B174" s="926" t="s">
        <v>1304</v>
      </c>
      <c r="C174" s="525" t="s">
        <v>1360</v>
      </c>
      <c r="D174" s="831"/>
      <c r="E174" s="924" t="s">
        <v>185</v>
      </c>
      <c r="F174" s="819"/>
      <c r="G174" s="900"/>
      <c r="H174" s="819"/>
      <c r="I174" s="900"/>
      <c r="J174" s="901"/>
      <c r="K174" s="938"/>
    </row>
    <row r="175" spans="1:11" ht="24">
      <c r="A175" s="944"/>
      <c r="B175" s="945" t="s">
        <v>1304</v>
      </c>
      <c r="C175" s="529" t="s">
        <v>1362</v>
      </c>
      <c r="D175" s="956"/>
      <c r="E175" s="947" t="s">
        <v>185</v>
      </c>
      <c r="F175" s="957"/>
      <c r="G175" s="948"/>
      <c r="H175" s="957"/>
      <c r="I175" s="948"/>
      <c r="J175" s="949"/>
      <c r="K175" s="958"/>
    </row>
    <row r="176" spans="1:11" ht="24">
      <c r="A176" s="807" t="s">
        <v>1430</v>
      </c>
      <c r="B176" s="965" t="s">
        <v>1226</v>
      </c>
      <c r="C176" s="966"/>
      <c r="D176" s="918"/>
      <c r="E176" s="811"/>
      <c r="F176" s="919"/>
      <c r="G176" s="920"/>
      <c r="H176" s="919"/>
      <c r="I176" s="920"/>
      <c r="J176" s="921"/>
      <c r="K176" s="959"/>
    </row>
    <row r="177" spans="1:11" ht="24">
      <c r="A177" s="785"/>
      <c r="B177" s="926" t="s">
        <v>1304</v>
      </c>
      <c r="C177" s="525" t="s">
        <v>1394</v>
      </c>
      <c r="D177" s="781"/>
      <c r="E177" s="781" t="s">
        <v>185</v>
      </c>
      <c r="F177" s="819"/>
      <c r="G177" s="900"/>
      <c r="H177" s="819"/>
      <c r="I177" s="900"/>
      <c r="J177" s="901"/>
      <c r="K177" s="938"/>
    </row>
    <row r="178" spans="1:11" ht="24">
      <c r="A178" s="785"/>
      <c r="B178" s="926" t="s">
        <v>1304</v>
      </c>
      <c r="C178" s="964" t="s">
        <v>1409</v>
      </c>
      <c r="D178" s="781"/>
      <c r="E178" s="781" t="s">
        <v>185</v>
      </c>
      <c r="F178" s="819"/>
      <c r="G178" s="900"/>
      <c r="H178" s="819"/>
      <c r="I178" s="900"/>
      <c r="J178" s="901"/>
      <c r="K178" s="938"/>
    </row>
    <row r="179" spans="1:11" ht="24">
      <c r="A179" s="785"/>
      <c r="B179" s="926" t="s">
        <v>1304</v>
      </c>
      <c r="C179" s="964" t="s">
        <v>1410</v>
      </c>
      <c r="D179" s="781"/>
      <c r="E179" s="781" t="s">
        <v>185</v>
      </c>
      <c r="F179" s="819"/>
      <c r="G179" s="900"/>
      <c r="H179" s="819"/>
      <c r="I179" s="900"/>
      <c r="J179" s="901"/>
      <c r="K179" s="938"/>
    </row>
    <row r="180" spans="1:11" ht="24">
      <c r="A180" s="785"/>
      <c r="B180" s="926" t="s">
        <v>1304</v>
      </c>
      <c r="C180" s="964" t="s">
        <v>1411</v>
      </c>
      <c r="D180" s="781"/>
      <c r="E180" s="781" t="s">
        <v>185</v>
      </c>
      <c r="F180" s="819"/>
      <c r="G180" s="900"/>
      <c r="H180" s="819"/>
      <c r="I180" s="900"/>
      <c r="J180" s="901"/>
      <c r="K180" s="938"/>
    </row>
    <row r="181" spans="1:11" ht="24">
      <c r="A181" s="807"/>
      <c r="B181" s="951" t="s">
        <v>1304</v>
      </c>
      <c r="C181" s="962" t="s">
        <v>1412</v>
      </c>
      <c r="D181" s="963"/>
      <c r="E181" s="963" t="s">
        <v>185</v>
      </c>
      <c r="F181" s="919"/>
      <c r="G181" s="920"/>
      <c r="H181" s="919"/>
      <c r="I181" s="920"/>
      <c r="J181" s="921"/>
      <c r="K181" s="959"/>
    </row>
    <row r="182" spans="1:11" ht="24">
      <c r="A182" s="785"/>
      <c r="B182" s="926" t="s">
        <v>1304</v>
      </c>
      <c r="C182" s="964" t="s">
        <v>1367</v>
      </c>
      <c r="D182" s="781"/>
      <c r="E182" s="781" t="s">
        <v>185</v>
      </c>
      <c r="F182" s="819"/>
      <c r="G182" s="900"/>
      <c r="H182" s="819"/>
      <c r="I182" s="900"/>
      <c r="J182" s="901"/>
      <c r="K182" s="938"/>
    </row>
    <row r="183" spans="1:11" ht="24">
      <c r="A183" s="785"/>
      <c r="B183" s="926" t="s">
        <v>1304</v>
      </c>
      <c r="C183" s="964" t="s">
        <v>1368</v>
      </c>
      <c r="D183" s="781"/>
      <c r="E183" s="781" t="s">
        <v>185</v>
      </c>
      <c r="F183" s="819"/>
      <c r="G183" s="900"/>
      <c r="H183" s="819"/>
      <c r="I183" s="900"/>
      <c r="J183" s="901"/>
      <c r="K183" s="938"/>
    </row>
    <row r="184" spans="1:11" ht="24">
      <c r="A184" s="785" t="s">
        <v>1431</v>
      </c>
      <c r="B184" s="943" t="s">
        <v>1373</v>
      </c>
      <c r="C184" s="904"/>
      <c r="D184" s="781"/>
      <c r="E184" s="781" t="s">
        <v>1112</v>
      </c>
      <c r="F184" s="791"/>
      <c r="G184" s="900"/>
      <c r="H184" s="819"/>
      <c r="I184" s="900"/>
      <c r="J184" s="901"/>
      <c r="K184" s="938"/>
    </row>
    <row r="185" spans="1:11" ht="24">
      <c r="A185" s="785"/>
      <c r="B185" s="927" t="s">
        <v>1144</v>
      </c>
      <c r="C185" s="904"/>
      <c r="D185" s="831"/>
      <c r="E185" s="789"/>
      <c r="F185" s="819"/>
      <c r="G185" s="900"/>
      <c r="H185" s="819"/>
      <c r="I185" s="900"/>
      <c r="J185" s="901"/>
      <c r="K185" s="938"/>
    </row>
    <row r="186" spans="1:11" ht="24.75" thickBot="1">
      <c r="A186" s="785"/>
      <c r="B186" s="927"/>
      <c r="C186" s="904"/>
      <c r="D186" s="831"/>
      <c r="E186" s="789"/>
      <c r="F186" s="819"/>
      <c r="G186" s="900"/>
      <c r="H186" s="819"/>
      <c r="I186" s="900"/>
      <c r="J186" s="901"/>
      <c r="K186" s="938"/>
    </row>
    <row r="187" spans="1:11" ht="24.75" thickTop="1">
      <c r="A187" s="427"/>
      <c r="B187" s="2159" t="s">
        <v>1432</v>
      </c>
      <c r="C187" s="2160"/>
      <c r="D187" s="822"/>
      <c r="E187" s="760"/>
      <c r="F187" s="823"/>
      <c r="G187" s="928"/>
      <c r="H187" s="823"/>
      <c r="I187" s="928"/>
      <c r="J187" s="928"/>
      <c r="K187" s="953"/>
    </row>
    <row r="188" spans="1:11" ht="24">
      <c r="A188" s="829" t="s">
        <v>1433</v>
      </c>
      <c r="B188" s="954" t="s">
        <v>1434</v>
      </c>
      <c r="C188" s="904"/>
      <c r="D188" s="831"/>
      <c r="E188" s="789"/>
      <c r="F188" s="819"/>
      <c r="G188" s="900"/>
      <c r="H188" s="819"/>
      <c r="I188" s="900"/>
      <c r="J188" s="901"/>
      <c r="K188" s="938"/>
    </row>
    <row r="189" spans="1:11" ht="24">
      <c r="A189" s="785" t="s">
        <v>1435</v>
      </c>
      <c r="B189" s="927" t="s">
        <v>1436</v>
      </c>
      <c r="C189" s="904"/>
      <c r="D189" s="831"/>
      <c r="E189" s="789"/>
      <c r="F189" s="819"/>
      <c r="G189" s="900"/>
      <c r="H189" s="819"/>
      <c r="I189" s="900"/>
      <c r="J189" s="901"/>
      <c r="K189" s="938"/>
    </row>
    <row r="190" spans="1:11" ht="24">
      <c r="A190" s="785" t="s">
        <v>1437</v>
      </c>
      <c r="B190" s="927" t="s">
        <v>1404</v>
      </c>
      <c r="C190" s="904"/>
      <c r="D190" s="831"/>
      <c r="E190" s="789"/>
      <c r="F190" s="819"/>
      <c r="G190" s="900"/>
      <c r="H190" s="819"/>
      <c r="I190" s="900"/>
      <c r="J190" s="901"/>
      <c r="K190" s="938"/>
    </row>
    <row r="191" spans="1:11" ht="24">
      <c r="A191" s="785"/>
      <c r="B191" s="926" t="s">
        <v>1304</v>
      </c>
      <c r="C191" s="525" t="s">
        <v>1405</v>
      </c>
      <c r="D191" s="831"/>
      <c r="E191" s="924" t="s">
        <v>185</v>
      </c>
      <c r="F191" s="819"/>
      <c r="G191" s="900"/>
      <c r="H191" s="819"/>
      <c r="I191" s="900"/>
      <c r="J191" s="901"/>
      <c r="K191" s="938"/>
    </row>
    <row r="192" spans="1:11" ht="24">
      <c r="A192" s="785"/>
      <c r="B192" s="926" t="s">
        <v>1304</v>
      </c>
      <c r="C192" s="525" t="s">
        <v>1438</v>
      </c>
      <c r="D192" s="831"/>
      <c r="E192" s="924" t="s">
        <v>185</v>
      </c>
      <c r="F192" s="819"/>
      <c r="G192" s="900"/>
      <c r="H192" s="819"/>
      <c r="I192" s="900"/>
      <c r="J192" s="901"/>
      <c r="K192" s="938"/>
    </row>
    <row r="193" spans="1:11" ht="24">
      <c r="A193" s="785"/>
      <c r="B193" s="926" t="s">
        <v>1304</v>
      </c>
      <c r="C193" s="525" t="s">
        <v>1389</v>
      </c>
      <c r="D193" s="831"/>
      <c r="E193" s="924" t="s">
        <v>185</v>
      </c>
      <c r="F193" s="819"/>
      <c r="G193" s="900"/>
      <c r="H193" s="819"/>
      <c r="I193" s="900"/>
      <c r="J193" s="901"/>
      <c r="K193" s="938"/>
    </row>
    <row r="194" spans="1:11" ht="24">
      <c r="A194" s="785"/>
      <c r="B194" s="926" t="s">
        <v>1304</v>
      </c>
      <c r="C194" s="525" t="s">
        <v>1439</v>
      </c>
      <c r="D194" s="831"/>
      <c r="E194" s="924" t="s">
        <v>185</v>
      </c>
      <c r="F194" s="819"/>
      <c r="G194" s="900"/>
      <c r="H194" s="819"/>
      <c r="I194" s="900"/>
      <c r="J194" s="901"/>
      <c r="K194" s="938"/>
    </row>
    <row r="195" spans="1:11" ht="24">
      <c r="A195" s="785"/>
      <c r="B195" s="926" t="s">
        <v>1304</v>
      </c>
      <c r="C195" s="525" t="s">
        <v>1440</v>
      </c>
      <c r="D195" s="831"/>
      <c r="E195" s="924" t="s">
        <v>185</v>
      </c>
      <c r="F195" s="819"/>
      <c r="G195" s="900"/>
      <c r="H195" s="819"/>
      <c r="I195" s="900"/>
      <c r="J195" s="901"/>
      <c r="K195" s="938"/>
    </row>
    <row r="196" spans="1:11" ht="24">
      <c r="A196" s="944"/>
      <c r="B196" s="945"/>
      <c r="C196" s="529"/>
      <c r="D196" s="956"/>
      <c r="E196" s="947"/>
      <c r="F196" s="957"/>
      <c r="G196" s="948"/>
      <c r="H196" s="957"/>
      <c r="I196" s="948"/>
      <c r="J196" s="949"/>
      <c r="K196" s="958"/>
    </row>
    <row r="197" spans="1:11" ht="24">
      <c r="A197" s="807" t="s">
        <v>1441</v>
      </c>
      <c r="B197" s="965" t="s">
        <v>1226</v>
      </c>
      <c r="C197" s="966"/>
      <c r="D197" s="918"/>
      <c r="E197" s="811"/>
      <c r="F197" s="919"/>
      <c r="G197" s="920"/>
      <c r="H197" s="919"/>
      <c r="I197" s="920"/>
      <c r="J197" s="921"/>
      <c r="K197" s="959"/>
    </row>
    <row r="198" spans="1:11" ht="24">
      <c r="A198" s="785"/>
      <c r="B198" s="926" t="s">
        <v>1304</v>
      </c>
      <c r="C198" s="525" t="s">
        <v>1394</v>
      </c>
      <c r="D198" s="781"/>
      <c r="E198" s="781" t="s">
        <v>185</v>
      </c>
      <c r="F198" s="819"/>
      <c r="G198" s="900"/>
      <c r="H198" s="819"/>
      <c r="I198" s="900"/>
      <c r="J198" s="901"/>
      <c r="K198" s="938"/>
    </row>
    <row r="199" spans="1:11" ht="24">
      <c r="A199" s="785"/>
      <c r="B199" s="926" t="s">
        <v>1304</v>
      </c>
      <c r="C199" s="964" t="s">
        <v>1409</v>
      </c>
      <c r="D199" s="781"/>
      <c r="E199" s="781" t="s">
        <v>185</v>
      </c>
      <c r="F199" s="819"/>
      <c r="G199" s="900"/>
      <c r="H199" s="819"/>
      <c r="I199" s="900"/>
      <c r="J199" s="901"/>
      <c r="K199" s="938"/>
    </row>
    <row r="200" spans="1:11" ht="24">
      <c r="A200" s="785"/>
      <c r="B200" s="926" t="s">
        <v>1304</v>
      </c>
      <c r="C200" s="964" t="s">
        <v>1410</v>
      </c>
      <c r="D200" s="781"/>
      <c r="E200" s="781" t="s">
        <v>185</v>
      </c>
      <c r="F200" s="819"/>
      <c r="G200" s="900"/>
      <c r="H200" s="819"/>
      <c r="I200" s="900"/>
      <c r="J200" s="901"/>
      <c r="K200" s="938"/>
    </row>
    <row r="201" spans="1:11" ht="24">
      <c r="A201" s="785"/>
      <c r="B201" s="926" t="s">
        <v>1304</v>
      </c>
      <c r="C201" s="964" t="s">
        <v>1411</v>
      </c>
      <c r="D201" s="781"/>
      <c r="E201" s="781" t="s">
        <v>185</v>
      </c>
      <c r="F201" s="819"/>
      <c r="G201" s="900"/>
      <c r="H201" s="819"/>
      <c r="I201" s="900"/>
      <c r="J201" s="901"/>
      <c r="K201" s="938"/>
    </row>
    <row r="202" spans="1:11" ht="24">
      <c r="A202" s="785"/>
      <c r="B202" s="926" t="s">
        <v>1304</v>
      </c>
      <c r="C202" s="964" t="s">
        <v>1412</v>
      </c>
      <c r="D202" s="781"/>
      <c r="E202" s="781" t="s">
        <v>185</v>
      </c>
      <c r="F202" s="819"/>
      <c r="G202" s="900"/>
      <c r="H202" s="819"/>
      <c r="I202" s="900"/>
      <c r="J202" s="901"/>
      <c r="K202" s="938"/>
    </row>
    <row r="203" spans="1:11" ht="24">
      <c r="A203" s="807"/>
      <c r="B203" s="951" t="s">
        <v>1304</v>
      </c>
      <c r="C203" s="962" t="s">
        <v>1367</v>
      </c>
      <c r="D203" s="963"/>
      <c r="E203" s="963" t="s">
        <v>185</v>
      </c>
      <c r="F203" s="919"/>
      <c r="G203" s="920"/>
      <c r="H203" s="919"/>
      <c r="I203" s="920"/>
      <c r="J203" s="921"/>
      <c r="K203" s="959"/>
    </row>
    <row r="204" spans="1:11" ht="24">
      <c r="A204" s="785"/>
      <c r="B204" s="926" t="s">
        <v>1304</v>
      </c>
      <c r="C204" s="964" t="s">
        <v>1368</v>
      </c>
      <c r="D204" s="781"/>
      <c r="E204" s="781" t="s">
        <v>185</v>
      </c>
      <c r="F204" s="819"/>
      <c r="G204" s="900"/>
      <c r="H204" s="819"/>
      <c r="I204" s="900"/>
      <c r="J204" s="901"/>
      <c r="K204" s="938"/>
    </row>
    <row r="205" spans="1:11" ht="24">
      <c r="A205" s="785" t="s">
        <v>1442</v>
      </c>
      <c r="B205" s="943" t="s">
        <v>1373</v>
      </c>
      <c r="C205" s="904"/>
      <c r="D205" s="831"/>
      <c r="E205" s="789" t="s">
        <v>1112</v>
      </c>
      <c r="F205" s="791"/>
      <c r="G205" s="900"/>
      <c r="H205" s="819"/>
      <c r="I205" s="900"/>
      <c r="J205" s="901"/>
      <c r="K205" s="938"/>
    </row>
    <row r="206" spans="1:11" ht="24">
      <c r="A206" s="785" t="s">
        <v>1443</v>
      </c>
      <c r="B206" s="927" t="s">
        <v>1444</v>
      </c>
      <c r="C206" s="904"/>
      <c r="D206" s="831"/>
      <c r="E206" s="789"/>
      <c r="F206" s="819"/>
      <c r="G206" s="900"/>
      <c r="H206" s="819"/>
      <c r="I206" s="900"/>
      <c r="J206" s="901"/>
      <c r="K206" s="938"/>
    </row>
    <row r="207" spans="1:11" ht="24">
      <c r="A207" s="785" t="s">
        <v>1445</v>
      </c>
      <c r="B207" s="927" t="s">
        <v>1404</v>
      </c>
      <c r="C207" s="904"/>
      <c r="D207" s="831"/>
      <c r="E207" s="789"/>
      <c r="F207" s="819"/>
      <c r="G207" s="900"/>
      <c r="H207" s="819"/>
      <c r="I207" s="900"/>
      <c r="J207" s="901"/>
      <c r="K207" s="938"/>
    </row>
    <row r="208" spans="1:11" ht="24">
      <c r="A208" s="785"/>
      <c r="B208" s="926" t="s">
        <v>1304</v>
      </c>
      <c r="C208" s="525" t="s">
        <v>1446</v>
      </c>
      <c r="D208" s="831"/>
      <c r="E208" s="924" t="s">
        <v>185</v>
      </c>
      <c r="F208" s="819"/>
      <c r="G208" s="900"/>
      <c r="H208" s="819"/>
      <c r="I208" s="900"/>
      <c r="J208" s="901"/>
      <c r="K208" s="938"/>
    </row>
    <row r="209" spans="1:11" ht="24">
      <c r="A209" s="785"/>
      <c r="B209" s="926" t="s">
        <v>1304</v>
      </c>
      <c r="C209" s="525" t="s">
        <v>1447</v>
      </c>
      <c r="D209" s="831"/>
      <c r="E209" s="924" t="s">
        <v>185</v>
      </c>
      <c r="F209" s="819"/>
      <c r="G209" s="900"/>
      <c r="H209" s="819"/>
      <c r="I209" s="900"/>
      <c r="J209" s="901"/>
      <c r="K209" s="938"/>
    </row>
    <row r="210" spans="1:11" ht="24">
      <c r="A210" s="785" t="s">
        <v>1448</v>
      </c>
      <c r="B210" s="927" t="s">
        <v>1226</v>
      </c>
      <c r="C210" s="904"/>
      <c r="D210" s="831"/>
      <c r="E210" s="789"/>
      <c r="F210" s="819"/>
      <c r="G210" s="900"/>
      <c r="H210" s="819"/>
      <c r="I210" s="900"/>
      <c r="J210" s="901"/>
      <c r="K210" s="938"/>
    </row>
    <row r="211" spans="1:11" ht="24">
      <c r="A211" s="785"/>
      <c r="B211" s="926" t="s">
        <v>1304</v>
      </c>
      <c r="C211" s="525" t="s">
        <v>1449</v>
      </c>
      <c r="D211" s="781"/>
      <c r="E211" s="781" t="s">
        <v>185</v>
      </c>
      <c r="F211" s="819"/>
      <c r="G211" s="900"/>
      <c r="H211" s="819"/>
      <c r="I211" s="900"/>
      <c r="J211" s="901"/>
      <c r="K211" s="938"/>
    </row>
    <row r="212" spans="1:11" ht="24">
      <c r="A212" s="785"/>
      <c r="B212" s="926" t="s">
        <v>1304</v>
      </c>
      <c r="C212" s="964" t="s">
        <v>1409</v>
      </c>
      <c r="D212" s="781"/>
      <c r="E212" s="781" t="s">
        <v>185</v>
      </c>
      <c r="F212" s="819"/>
      <c r="G212" s="900"/>
      <c r="H212" s="819"/>
      <c r="I212" s="900"/>
      <c r="J212" s="901"/>
      <c r="K212" s="938"/>
    </row>
    <row r="213" spans="1:11" ht="24">
      <c r="A213" s="785"/>
      <c r="B213" s="926" t="s">
        <v>1304</v>
      </c>
      <c r="C213" s="964" t="s">
        <v>1410</v>
      </c>
      <c r="D213" s="781"/>
      <c r="E213" s="781" t="s">
        <v>185</v>
      </c>
      <c r="F213" s="819"/>
      <c r="G213" s="900"/>
      <c r="H213" s="819"/>
      <c r="I213" s="900"/>
      <c r="J213" s="901"/>
      <c r="K213" s="938"/>
    </row>
    <row r="214" spans="1:11" ht="24">
      <c r="A214" s="785"/>
      <c r="B214" s="926" t="s">
        <v>1304</v>
      </c>
      <c r="C214" s="964" t="s">
        <v>1411</v>
      </c>
      <c r="D214" s="781"/>
      <c r="E214" s="781" t="s">
        <v>185</v>
      </c>
      <c r="F214" s="819"/>
      <c r="G214" s="900"/>
      <c r="H214" s="819"/>
      <c r="I214" s="900"/>
      <c r="J214" s="901"/>
      <c r="K214" s="938"/>
    </row>
    <row r="215" spans="1:11" ht="24">
      <c r="A215" s="785"/>
      <c r="B215" s="926" t="s">
        <v>1304</v>
      </c>
      <c r="C215" s="964" t="s">
        <v>1412</v>
      </c>
      <c r="D215" s="781"/>
      <c r="E215" s="781" t="s">
        <v>185</v>
      </c>
      <c r="F215" s="819"/>
      <c r="G215" s="900"/>
      <c r="H215" s="819"/>
      <c r="I215" s="900"/>
      <c r="J215" s="901"/>
      <c r="K215" s="938"/>
    </row>
    <row r="216" spans="1:11" ht="24">
      <c r="A216" s="785"/>
      <c r="B216" s="926" t="s">
        <v>1304</v>
      </c>
      <c r="C216" s="964" t="s">
        <v>1367</v>
      </c>
      <c r="D216" s="781"/>
      <c r="E216" s="781" t="s">
        <v>185</v>
      </c>
      <c r="F216" s="819"/>
      <c r="G216" s="900"/>
      <c r="H216" s="819"/>
      <c r="I216" s="900"/>
      <c r="J216" s="901"/>
      <c r="K216" s="938"/>
    </row>
    <row r="217" spans="1:11" ht="24">
      <c r="A217" s="944"/>
      <c r="B217" s="945" t="s">
        <v>1304</v>
      </c>
      <c r="C217" s="960" t="s">
        <v>1368</v>
      </c>
      <c r="D217" s="961"/>
      <c r="E217" s="961" t="s">
        <v>185</v>
      </c>
      <c r="F217" s="957"/>
      <c r="G217" s="948"/>
      <c r="H217" s="957"/>
      <c r="I217" s="948"/>
      <c r="J217" s="949"/>
      <c r="K217" s="958"/>
    </row>
    <row r="218" spans="1:11" ht="24">
      <c r="A218" s="807" t="s">
        <v>1450</v>
      </c>
      <c r="B218" s="969" t="s">
        <v>1373</v>
      </c>
      <c r="C218" s="966"/>
      <c r="D218" s="918"/>
      <c r="E218" s="811" t="s">
        <v>1112</v>
      </c>
      <c r="F218" s="827"/>
      <c r="G218" s="920"/>
      <c r="H218" s="919"/>
      <c r="I218" s="920"/>
      <c r="J218" s="921"/>
      <c r="K218" s="959"/>
    </row>
    <row r="219" spans="1:11" ht="24">
      <c r="A219" s="785"/>
      <c r="B219" s="927" t="s">
        <v>1144</v>
      </c>
      <c r="C219" s="904"/>
      <c r="D219" s="831"/>
      <c r="E219" s="789"/>
      <c r="F219" s="819"/>
      <c r="G219" s="900"/>
      <c r="H219" s="819"/>
      <c r="I219" s="900"/>
      <c r="J219" s="901"/>
      <c r="K219" s="938"/>
    </row>
    <row r="220" spans="1:11" ht="24.75" thickBot="1">
      <c r="A220" s="785"/>
      <c r="B220" s="927"/>
      <c r="C220" s="904"/>
      <c r="D220" s="831"/>
      <c r="E220" s="789"/>
      <c r="F220" s="819"/>
      <c r="G220" s="900"/>
      <c r="H220" s="819"/>
      <c r="I220" s="900"/>
      <c r="J220" s="901"/>
      <c r="K220" s="938"/>
    </row>
    <row r="221" spans="1:11" ht="24.75" thickTop="1">
      <c r="A221" s="427"/>
      <c r="B221" s="2159" t="s">
        <v>1451</v>
      </c>
      <c r="C221" s="2160"/>
      <c r="D221" s="822"/>
      <c r="E221" s="760"/>
      <c r="F221" s="823"/>
      <c r="G221" s="928"/>
      <c r="H221" s="823"/>
      <c r="I221" s="928"/>
      <c r="J221" s="928"/>
      <c r="K221" s="953"/>
    </row>
    <row r="222" spans="1:11" ht="24">
      <c r="A222" s="829" t="s">
        <v>1452</v>
      </c>
      <c r="B222" s="930" t="s">
        <v>1453</v>
      </c>
      <c r="C222" s="899"/>
      <c r="D222" s="794"/>
      <c r="E222" s="789"/>
      <c r="F222" s="754"/>
      <c r="G222" s="900"/>
      <c r="H222" s="754"/>
      <c r="I222" s="900"/>
      <c r="J222" s="901"/>
      <c r="K222" s="942"/>
    </row>
    <row r="223" spans="1:11" ht="24">
      <c r="A223" s="785" t="s">
        <v>1454</v>
      </c>
      <c r="B223" s="898" t="s">
        <v>1404</v>
      </c>
      <c r="C223" s="899"/>
      <c r="D223" s="794"/>
      <c r="E223" s="789"/>
      <c r="F223" s="754"/>
      <c r="G223" s="900"/>
      <c r="H223" s="754"/>
      <c r="I223" s="900"/>
      <c r="J223" s="901"/>
      <c r="K223" s="942"/>
    </row>
    <row r="224" spans="1:11" ht="24">
      <c r="A224" s="883"/>
      <c r="B224" s="926" t="s">
        <v>1304</v>
      </c>
      <c r="C224" s="904" t="s">
        <v>1455</v>
      </c>
      <c r="D224" s="831"/>
      <c r="E224" s="924" t="s">
        <v>185</v>
      </c>
      <c r="F224" s="819"/>
      <c r="G224" s="900"/>
      <c r="H224" s="819"/>
      <c r="I224" s="900"/>
      <c r="J224" s="901"/>
      <c r="K224" s="938"/>
    </row>
    <row r="225" spans="1:11" ht="24">
      <c r="A225" s="883"/>
      <c r="B225" s="926" t="s">
        <v>1304</v>
      </c>
      <c r="C225" s="904" t="s">
        <v>1456</v>
      </c>
      <c r="D225" s="831"/>
      <c r="E225" s="924" t="s">
        <v>185</v>
      </c>
      <c r="F225" s="819"/>
      <c r="G225" s="900"/>
      <c r="H225" s="819"/>
      <c r="I225" s="900"/>
      <c r="J225" s="901"/>
      <c r="K225" s="938"/>
    </row>
    <row r="226" spans="1:11" ht="24">
      <c r="A226" s="883"/>
      <c r="B226" s="926" t="s">
        <v>1304</v>
      </c>
      <c r="C226" s="904" t="s">
        <v>1457</v>
      </c>
      <c r="D226" s="831"/>
      <c r="E226" s="924" t="s">
        <v>185</v>
      </c>
      <c r="F226" s="819"/>
      <c r="G226" s="900"/>
      <c r="H226" s="819"/>
      <c r="I226" s="900"/>
      <c r="J226" s="901"/>
      <c r="K226" s="938"/>
    </row>
    <row r="227" spans="1:11" ht="24">
      <c r="A227" s="883"/>
      <c r="B227" s="898" t="s">
        <v>1458</v>
      </c>
      <c r="C227" s="899"/>
      <c r="D227" s="794"/>
      <c r="E227" s="789"/>
      <c r="F227" s="754"/>
      <c r="G227" s="900"/>
      <c r="H227" s="754"/>
      <c r="I227" s="900"/>
      <c r="J227" s="901"/>
      <c r="K227" s="942"/>
    </row>
    <row r="228" spans="1:11" ht="24.75" thickBot="1">
      <c r="A228" s="883"/>
      <c r="B228" s="898"/>
      <c r="C228" s="899"/>
      <c r="D228" s="794"/>
      <c r="E228" s="789"/>
      <c r="F228" s="754"/>
      <c r="G228" s="900"/>
      <c r="H228" s="754"/>
      <c r="I228" s="900"/>
      <c r="J228" s="901"/>
      <c r="K228" s="942"/>
    </row>
    <row r="229" spans="1:11" ht="24.75" thickTop="1">
      <c r="A229" s="427"/>
      <c r="B229" s="2159" t="s">
        <v>1459</v>
      </c>
      <c r="C229" s="2160"/>
      <c r="D229" s="822"/>
      <c r="E229" s="760"/>
      <c r="F229" s="823"/>
      <c r="G229" s="928"/>
      <c r="H229" s="823"/>
      <c r="I229" s="928"/>
      <c r="J229" s="928"/>
      <c r="K229" s="953"/>
    </row>
    <row r="230" spans="1:11" ht="24">
      <c r="A230" s="829" t="s">
        <v>1460</v>
      </c>
      <c r="B230" s="930" t="s">
        <v>1461</v>
      </c>
      <c r="C230" s="899"/>
      <c r="D230" s="794"/>
      <c r="E230" s="789"/>
      <c r="F230" s="754"/>
      <c r="G230" s="900"/>
      <c r="H230" s="754"/>
      <c r="I230" s="900"/>
      <c r="J230" s="901"/>
      <c r="K230" s="942"/>
    </row>
    <row r="231" spans="1:11" ht="24">
      <c r="A231" s="785" t="s">
        <v>1462</v>
      </c>
      <c r="B231" s="898" t="s">
        <v>1463</v>
      </c>
      <c r="C231" s="899"/>
      <c r="D231" s="794"/>
      <c r="E231" s="789"/>
      <c r="F231" s="754"/>
      <c r="G231" s="900"/>
      <c r="H231" s="754"/>
      <c r="I231" s="900"/>
      <c r="J231" s="901"/>
      <c r="K231" s="942"/>
    </row>
    <row r="232" spans="1:11" ht="24">
      <c r="A232" s="785"/>
      <c r="B232" s="926" t="s">
        <v>1304</v>
      </c>
      <c r="C232" s="904" t="s">
        <v>1464</v>
      </c>
      <c r="D232" s="831"/>
      <c r="E232" s="924" t="s">
        <v>185</v>
      </c>
      <c r="F232" s="819"/>
      <c r="G232" s="900"/>
      <c r="H232" s="819"/>
      <c r="I232" s="900"/>
      <c r="J232" s="901"/>
      <c r="K232" s="938"/>
    </row>
    <row r="233" spans="1:11" ht="24">
      <c r="A233" s="785" t="s">
        <v>1465</v>
      </c>
      <c r="B233" s="927" t="s">
        <v>1466</v>
      </c>
      <c r="C233" s="904"/>
      <c r="D233" s="831"/>
      <c r="E233" s="789"/>
      <c r="F233" s="819"/>
      <c r="G233" s="900"/>
      <c r="H233" s="819"/>
      <c r="I233" s="900"/>
      <c r="J233" s="901"/>
      <c r="K233" s="938"/>
    </row>
    <row r="234" spans="1:11" ht="24">
      <c r="A234" s="785"/>
      <c r="B234" s="926" t="s">
        <v>1304</v>
      </c>
      <c r="C234" s="904" t="s">
        <v>1467</v>
      </c>
      <c r="D234" s="831"/>
      <c r="E234" s="924" t="s">
        <v>185</v>
      </c>
      <c r="F234" s="819"/>
      <c r="G234" s="900"/>
      <c r="H234" s="819"/>
      <c r="I234" s="900"/>
      <c r="J234" s="901"/>
      <c r="K234" s="938"/>
    </row>
    <row r="235" spans="1:11" ht="24">
      <c r="A235" s="785"/>
      <c r="B235" s="926" t="s">
        <v>1304</v>
      </c>
      <c r="C235" s="904" t="s">
        <v>1468</v>
      </c>
      <c r="D235" s="831"/>
      <c r="E235" s="924" t="s">
        <v>185</v>
      </c>
      <c r="F235" s="819"/>
      <c r="G235" s="900"/>
      <c r="H235" s="819"/>
      <c r="I235" s="900"/>
      <c r="J235" s="901"/>
      <c r="K235" s="938"/>
    </row>
    <row r="236" spans="1:11" ht="24">
      <c r="A236" s="785"/>
      <c r="B236" s="926" t="s">
        <v>1304</v>
      </c>
      <c r="C236" s="904" t="s">
        <v>1469</v>
      </c>
      <c r="D236" s="831"/>
      <c r="E236" s="924" t="s">
        <v>185</v>
      </c>
      <c r="F236" s="819"/>
      <c r="G236" s="900"/>
      <c r="H236" s="819"/>
      <c r="I236" s="900"/>
      <c r="J236" s="901"/>
      <c r="K236" s="938"/>
    </row>
    <row r="237" spans="1:11" ht="24">
      <c r="A237" s="785"/>
      <c r="B237" s="926" t="s">
        <v>1304</v>
      </c>
      <c r="C237" s="904" t="s">
        <v>1470</v>
      </c>
      <c r="D237" s="831"/>
      <c r="E237" s="924" t="s">
        <v>185</v>
      </c>
      <c r="F237" s="819"/>
      <c r="G237" s="900"/>
      <c r="H237" s="819"/>
      <c r="I237" s="900"/>
      <c r="J237" s="901"/>
      <c r="K237" s="938"/>
    </row>
    <row r="238" spans="1:11" ht="24">
      <c r="A238" s="944"/>
      <c r="B238" s="945" t="s">
        <v>1304</v>
      </c>
      <c r="C238" s="968" t="s">
        <v>1471</v>
      </c>
      <c r="D238" s="956"/>
      <c r="E238" s="947" t="s">
        <v>185</v>
      </c>
      <c r="F238" s="957"/>
      <c r="G238" s="948"/>
      <c r="H238" s="957"/>
      <c r="I238" s="948"/>
      <c r="J238" s="949"/>
      <c r="K238" s="958"/>
    </row>
    <row r="239" spans="1:11" ht="24">
      <c r="A239" s="807"/>
      <c r="B239" s="951" t="s">
        <v>1304</v>
      </c>
      <c r="C239" s="966" t="s">
        <v>1472</v>
      </c>
      <c r="D239" s="918"/>
      <c r="E239" s="952" t="s">
        <v>185</v>
      </c>
      <c r="F239" s="919"/>
      <c r="G239" s="920"/>
      <c r="H239" s="919"/>
      <c r="I239" s="920"/>
      <c r="J239" s="921"/>
      <c r="K239" s="959"/>
    </row>
    <row r="240" spans="1:11" ht="24">
      <c r="A240" s="785" t="s">
        <v>1473</v>
      </c>
      <c r="B240" s="927" t="s">
        <v>1474</v>
      </c>
      <c r="C240" s="904"/>
      <c r="D240" s="831"/>
      <c r="E240" s="789"/>
      <c r="F240" s="819"/>
      <c r="G240" s="900"/>
      <c r="H240" s="819"/>
      <c r="I240" s="900"/>
      <c r="J240" s="901"/>
      <c r="K240" s="938"/>
    </row>
    <row r="241" spans="1:11" ht="24">
      <c r="A241" s="785" t="s">
        <v>1475</v>
      </c>
      <c r="B241" s="927" t="s">
        <v>1476</v>
      </c>
      <c r="C241" s="904"/>
      <c r="D241" s="831"/>
      <c r="E241" s="789"/>
      <c r="F241" s="819"/>
      <c r="G241" s="900"/>
      <c r="H241" s="819"/>
      <c r="I241" s="900"/>
      <c r="J241" s="901"/>
      <c r="K241" s="938"/>
    </row>
    <row r="242" spans="1:11" ht="24">
      <c r="A242" s="785"/>
      <c r="B242" s="926" t="s">
        <v>1304</v>
      </c>
      <c r="C242" s="525" t="s">
        <v>1446</v>
      </c>
      <c r="D242" s="831"/>
      <c r="E242" s="924" t="s">
        <v>185</v>
      </c>
      <c r="F242" s="819"/>
      <c r="G242" s="900"/>
      <c r="H242" s="819"/>
      <c r="I242" s="900"/>
      <c r="J242" s="901"/>
      <c r="K242" s="938"/>
    </row>
    <row r="243" spans="1:11" ht="24">
      <c r="A243" s="807"/>
      <c r="B243" s="951" t="s">
        <v>1304</v>
      </c>
      <c r="C243" s="538" t="s">
        <v>1405</v>
      </c>
      <c r="D243" s="918"/>
      <c r="E243" s="952" t="s">
        <v>185</v>
      </c>
      <c r="F243" s="919"/>
      <c r="G243" s="920"/>
      <c r="H243" s="919"/>
      <c r="I243" s="920"/>
      <c r="J243" s="921"/>
      <c r="K243" s="959"/>
    </row>
    <row r="244" spans="1:11" ht="24">
      <c r="A244" s="785"/>
      <c r="B244" s="926" t="s">
        <v>1304</v>
      </c>
      <c r="C244" s="525" t="s">
        <v>1388</v>
      </c>
      <c r="D244" s="831"/>
      <c r="E244" s="924" t="s">
        <v>185</v>
      </c>
      <c r="F244" s="819"/>
      <c r="G244" s="900"/>
      <c r="H244" s="819"/>
      <c r="I244" s="900"/>
      <c r="J244" s="901"/>
      <c r="K244" s="938"/>
    </row>
    <row r="245" spans="1:11" ht="24">
      <c r="A245" s="807"/>
      <c r="B245" s="951" t="s">
        <v>1304</v>
      </c>
      <c r="C245" s="538" t="s">
        <v>1424</v>
      </c>
      <c r="D245" s="918"/>
      <c r="E245" s="952" t="s">
        <v>185</v>
      </c>
      <c r="F245" s="919"/>
      <c r="G245" s="920"/>
      <c r="H245" s="919"/>
      <c r="I245" s="920"/>
      <c r="J245" s="921"/>
      <c r="K245" s="959"/>
    </row>
    <row r="246" spans="1:11" ht="24">
      <c r="A246" s="785"/>
      <c r="B246" s="926" t="s">
        <v>1304</v>
      </c>
      <c r="C246" s="525" t="s">
        <v>1389</v>
      </c>
      <c r="D246" s="831"/>
      <c r="E246" s="924" t="s">
        <v>185</v>
      </c>
      <c r="F246" s="819"/>
      <c r="G246" s="900"/>
      <c r="H246" s="819"/>
      <c r="I246" s="900"/>
      <c r="J246" s="901"/>
      <c r="K246" s="938"/>
    </row>
    <row r="247" spans="1:11" ht="24">
      <c r="A247" s="785"/>
      <c r="B247" s="926" t="s">
        <v>1304</v>
      </c>
      <c r="C247" s="525" t="s">
        <v>1406</v>
      </c>
      <c r="D247" s="831"/>
      <c r="E247" s="924" t="s">
        <v>185</v>
      </c>
      <c r="F247" s="819"/>
      <c r="G247" s="900"/>
      <c r="H247" s="819"/>
      <c r="I247" s="900"/>
      <c r="J247" s="901"/>
      <c r="K247" s="938"/>
    </row>
    <row r="248" spans="1:11" ht="24">
      <c r="A248" s="785"/>
      <c r="B248" s="926" t="s">
        <v>1304</v>
      </c>
      <c r="C248" s="525" t="s">
        <v>1360</v>
      </c>
      <c r="D248" s="831"/>
      <c r="E248" s="924" t="s">
        <v>185</v>
      </c>
      <c r="F248" s="819"/>
      <c r="G248" s="900"/>
      <c r="H248" s="819"/>
      <c r="I248" s="900"/>
      <c r="J248" s="901"/>
      <c r="K248" s="938"/>
    </row>
    <row r="249" spans="1:11" ht="24">
      <c r="A249" s="785" t="s">
        <v>1477</v>
      </c>
      <c r="B249" s="927" t="s">
        <v>1478</v>
      </c>
      <c r="C249" s="904"/>
      <c r="D249" s="831"/>
      <c r="E249" s="789"/>
      <c r="F249" s="819"/>
      <c r="G249" s="900"/>
      <c r="H249" s="819"/>
      <c r="I249" s="900"/>
      <c r="J249" s="901"/>
      <c r="K249" s="938"/>
    </row>
    <row r="250" spans="1:11" ht="24">
      <c r="A250" s="785"/>
      <c r="B250" s="926" t="s">
        <v>1304</v>
      </c>
      <c r="C250" s="525" t="s">
        <v>1479</v>
      </c>
      <c r="D250" s="831"/>
      <c r="E250" s="924" t="s">
        <v>185</v>
      </c>
      <c r="F250" s="819"/>
      <c r="G250" s="900"/>
      <c r="H250" s="819"/>
      <c r="I250" s="900"/>
      <c r="J250" s="901"/>
      <c r="K250" s="938"/>
    </row>
    <row r="251" spans="1:11" ht="24">
      <c r="A251" s="785"/>
      <c r="B251" s="926" t="s">
        <v>1304</v>
      </c>
      <c r="C251" s="525" t="s">
        <v>1446</v>
      </c>
      <c r="D251" s="831"/>
      <c r="E251" s="924" t="s">
        <v>185</v>
      </c>
      <c r="F251" s="819"/>
      <c r="G251" s="900"/>
      <c r="H251" s="819"/>
      <c r="I251" s="900"/>
      <c r="J251" s="901"/>
      <c r="K251" s="938"/>
    </row>
    <row r="252" spans="1:11" ht="24">
      <c r="A252" s="785"/>
      <c r="B252" s="926" t="s">
        <v>1304</v>
      </c>
      <c r="C252" s="525" t="s">
        <v>1405</v>
      </c>
      <c r="D252" s="831"/>
      <c r="E252" s="924" t="s">
        <v>185</v>
      </c>
      <c r="F252" s="819"/>
      <c r="G252" s="900"/>
      <c r="H252" s="819"/>
      <c r="I252" s="900"/>
      <c r="J252" s="901"/>
      <c r="K252" s="938"/>
    </row>
    <row r="253" spans="1:11" ht="24">
      <c r="A253" s="785"/>
      <c r="B253" s="926" t="s">
        <v>1304</v>
      </c>
      <c r="C253" s="525" t="s">
        <v>1480</v>
      </c>
      <c r="D253" s="831"/>
      <c r="E253" s="924" t="s">
        <v>185</v>
      </c>
      <c r="F253" s="819"/>
      <c r="G253" s="900"/>
      <c r="H253" s="819"/>
      <c r="I253" s="900"/>
      <c r="J253" s="901"/>
      <c r="K253" s="938"/>
    </row>
    <row r="254" spans="1:11" ht="24">
      <c r="A254" s="785"/>
      <c r="B254" s="926" t="s">
        <v>1304</v>
      </c>
      <c r="C254" s="525" t="s">
        <v>1417</v>
      </c>
      <c r="D254" s="831"/>
      <c r="E254" s="924" t="s">
        <v>185</v>
      </c>
      <c r="F254" s="819"/>
      <c r="G254" s="900"/>
      <c r="H254" s="819"/>
      <c r="I254" s="900"/>
      <c r="J254" s="901"/>
      <c r="K254" s="938"/>
    </row>
    <row r="255" spans="1:11" ht="24">
      <c r="A255" s="785"/>
      <c r="B255" s="926" t="s">
        <v>1304</v>
      </c>
      <c r="C255" s="525" t="s">
        <v>1481</v>
      </c>
      <c r="D255" s="831"/>
      <c r="E255" s="924" t="s">
        <v>185</v>
      </c>
      <c r="F255" s="819"/>
      <c r="G255" s="900"/>
      <c r="H255" s="819"/>
      <c r="I255" s="900"/>
      <c r="J255" s="901"/>
      <c r="K255" s="938"/>
    </row>
    <row r="256" spans="1:11" ht="24">
      <c r="A256" s="785"/>
      <c r="B256" s="926" t="s">
        <v>1304</v>
      </c>
      <c r="C256" s="525" t="s">
        <v>1482</v>
      </c>
      <c r="D256" s="831"/>
      <c r="E256" s="924" t="s">
        <v>185</v>
      </c>
      <c r="F256" s="819"/>
      <c r="G256" s="900"/>
      <c r="H256" s="819"/>
      <c r="I256" s="900"/>
      <c r="J256" s="901"/>
      <c r="K256" s="938"/>
    </row>
    <row r="257" spans="1:11" ht="24">
      <c r="A257" s="785"/>
      <c r="B257" s="926"/>
      <c r="C257" s="525"/>
      <c r="D257" s="970"/>
      <c r="E257" s="971"/>
      <c r="F257" s="819"/>
      <c r="G257" s="900"/>
      <c r="H257" s="819"/>
      <c r="I257" s="900"/>
      <c r="J257" s="972"/>
      <c r="K257" s="938"/>
    </row>
    <row r="258" spans="1:11" ht="24.75" thickBot="1">
      <c r="A258" s="973"/>
      <c r="B258" s="974"/>
      <c r="C258" s="975"/>
      <c r="D258" s="976"/>
      <c r="E258" s="839"/>
      <c r="F258" s="977"/>
      <c r="G258" s="978"/>
      <c r="H258" s="977"/>
      <c r="I258" s="978"/>
      <c r="J258" s="979"/>
      <c r="K258" s="980"/>
    </row>
    <row r="259" spans="1:11" ht="24.75" thickTop="1">
      <c r="A259" s="427"/>
      <c r="B259" s="2159" t="s">
        <v>1483</v>
      </c>
      <c r="C259" s="2160"/>
      <c r="D259" s="822"/>
      <c r="E259" s="760"/>
      <c r="F259" s="823"/>
      <c r="G259" s="928"/>
      <c r="H259" s="823"/>
      <c r="I259" s="928"/>
      <c r="J259" s="928"/>
      <c r="K259" s="953"/>
    </row>
    <row r="260" spans="1:11" ht="24">
      <c r="A260" s="829" t="s">
        <v>1484</v>
      </c>
      <c r="B260" s="930" t="s">
        <v>1485</v>
      </c>
      <c r="C260" s="899"/>
      <c r="D260" s="794"/>
      <c r="E260" s="789"/>
      <c r="F260" s="754"/>
      <c r="G260" s="900"/>
      <c r="H260" s="754"/>
      <c r="I260" s="900"/>
      <c r="J260" s="901"/>
      <c r="K260" s="942"/>
    </row>
    <row r="261" spans="1:11" ht="24">
      <c r="A261" s="785" t="s">
        <v>1486</v>
      </c>
      <c r="B261" s="898" t="s">
        <v>1487</v>
      </c>
      <c r="C261" s="899"/>
      <c r="D261" s="794"/>
      <c r="E261" s="789"/>
      <c r="F261" s="754"/>
      <c r="G261" s="900"/>
      <c r="H261" s="754"/>
      <c r="I261" s="900"/>
      <c r="J261" s="901"/>
      <c r="K261" s="942"/>
    </row>
    <row r="262" spans="1:11" ht="24">
      <c r="A262" s="785" t="s">
        <v>1488</v>
      </c>
      <c r="B262" s="898" t="s">
        <v>1256</v>
      </c>
      <c r="C262" s="899"/>
      <c r="D262" s="794"/>
      <c r="E262" s="789"/>
      <c r="F262" s="754"/>
      <c r="G262" s="900"/>
      <c r="H262" s="754"/>
      <c r="I262" s="900"/>
      <c r="J262" s="901"/>
      <c r="K262" s="942"/>
    </row>
    <row r="263" spans="1:11" ht="24">
      <c r="A263" s="785"/>
      <c r="B263" s="926" t="s">
        <v>1304</v>
      </c>
      <c r="C263" s="899" t="s">
        <v>1489</v>
      </c>
      <c r="D263" s="794"/>
      <c r="E263" s="789" t="s">
        <v>1109</v>
      </c>
      <c r="F263" s="812"/>
      <c r="G263" s="900"/>
      <c r="H263" s="812"/>
      <c r="I263" s="900"/>
      <c r="J263" s="901"/>
      <c r="K263" s="942"/>
    </row>
    <row r="264" spans="1:11" ht="24">
      <c r="A264" s="785"/>
      <c r="B264" s="926" t="s">
        <v>1304</v>
      </c>
      <c r="C264" s="899" t="s">
        <v>1490</v>
      </c>
      <c r="D264" s="794"/>
      <c r="E264" s="789" t="s">
        <v>1109</v>
      </c>
      <c r="F264" s="812"/>
      <c r="G264" s="900"/>
      <c r="H264" s="812"/>
      <c r="I264" s="900"/>
      <c r="J264" s="901"/>
      <c r="K264" s="942"/>
    </row>
    <row r="265" spans="1:11" ht="24">
      <c r="A265" s="785"/>
      <c r="B265" s="926" t="s">
        <v>1304</v>
      </c>
      <c r="C265" s="899" t="s">
        <v>1491</v>
      </c>
      <c r="D265" s="794"/>
      <c r="E265" s="789" t="s">
        <v>1109</v>
      </c>
      <c r="F265" s="754"/>
      <c r="G265" s="900"/>
      <c r="H265" s="754"/>
      <c r="I265" s="900"/>
      <c r="J265" s="901"/>
      <c r="K265" s="942"/>
    </row>
    <row r="266" spans="1:11" ht="24">
      <c r="A266" s="807"/>
      <c r="B266" s="951" t="s">
        <v>1304</v>
      </c>
      <c r="C266" s="940" t="s">
        <v>1492</v>
      </c>
      <c r="D266" s="810"/>
      <c r="E266" s="811" t="s">
        <v>1109</v>
      </c>
      <c r="F266" s="812"/>
      <c r="G266" s="920"/>
      <c r="H266" s="812"/>
      <c r="I266" s="920"/>
      <c r="J266" s="921"/>
      <c r="K266" s="941"/>
    </row>
    <row r="267" spans="1:11" ht="24">
      <c r="A267" s="785"/>
      <c r="B267" s="926" t="s">
        <v>1304</v>
      </c>
      <c r="C267" s="899" t="s">
        <v>1493</v>
      </c>
      <c r="D267" s="794"/>
      <c r="E267" s="789" t="s">
        <v>1109</v>
      </c>
      <c r="F267" s="754"/>
      <c r="G267" s="900"/>
      <c r="H267" s="754"/>
      <c r="I267" s="900"/>
      <c r="J267" s="901"/>
      <c r="K267" s="942"/>
    </row>
    <row r="268" spans="1:11" ht="24">
      <c r="A268" s="807"/>
      <c r="B268" s="951" t="s">
        <v>1304</v>
      </c>
      <c r="C268" s="940" t="s">
        <v>1494</v>
      </c>
      <c r="D268" s="810"/>
      <c r="E268" s="811" t="s">
        <v>1109</v>
      </c>
      <c r="F268" s="812"/>
      <c r="G268" s="920"/>
      <c r="H268" s="812"/>
      <c r="I268" s="920"/>
      <c r="J268" s="921"/>
      <c r="K268" s="941"/>
    </row>
    <row r="269" spans="1:11" ht="24">
      <c r="A269" s="785"/>
      <c r="B269" s="926" t="s">
        <v>1304</v>
      </c>
      <c r="C269" s="899" t="s">
        <v>1495</v>
      </c>
      <c r="D269" s="794"/>
      <c r="E269" s="789" t="s">
        <v>1109</v>
      </c>
      <c r="F269" s="754"/>
      <c r="G269" s="900"/>
      <c r="H269" s="754"/>
      <c r="I269" s="900"/>
      <c r="J269" s="901"/>
      <c r="K269" s="942"/>
    </row>
    <row r="270" spans="1:11" ht="24">
      <c r="A270" s="785"/>
      <c r="B270" s="926" t="s">
        <v>1304</v>
      </c>
      <c r="C270" s="899" t="s">
        <v>1496</v>
      </c>
      <c r="D270" s="794"/>
      <c r="E270" s="789" t="s">
        <v>1109</v>
      </c>
      <c r="F270" s="754"/>
      <c r="G270" s="900"/>
      <c r="H270" s="754"/>
      <c r="I270" s="900"/>
      <c r="J270" s="901"/>
      <c r="K270" s="942"/>
    </row>
    <row r="271" spans="1:11" ht="24">
      <c r="A271" s="785"/>
      <c r="B271" s="926" t="s">
        <v>1304</v>
      </c>
      <c r="C271" s="899" t="s">
        <v>1497</v>
      </c>
      <c r="D271" s="794"/>
      <c r="E271" s="789" t="s">
        <v>1109</v>
      </c>
      <c r="F271" s="754"/>
      <c r="G271" s="900"/>
      <c r="H271" s="754"/>
      <c r="I271" s="900"/>
      <c r="J271" s="901"/>
      <c r="K271" s="942"/>
    </row>
    <row r="272" spans="1:11" ht="24">
      <c r="A272" s="785" t="s">
        <v>1498</v>
      </c>
      <c r="B272" s="898" t="s">
        <v>1499</v>
      </c>
      <c r="C272" s="899"/>
      <c r="D272" s="794"/>
      <c r="E272" s="789"/>
      <c r="F272" s="754"/>
      <c r="G272" s="900"/>
      <c r="H272" s="754"/>
      <c r="I272" s="900"/>
      <c r="J272" s="901"/>
      <c r="K272" s="942"/>
    </row>
    <row r="273" spans="1:11" ht="24">
      <c r="A273" s="785" t="s">
        <v>1500</v>
      </c>
      <c r="B273" s="898" t="s">
        <v>1256</v>
      </c>
      <c r="C273" s="899"/>
      <c r="D273" s="794"/>
      <c r="E273" s="789"/>
      <c r="F273" s="812"/>
      <c r="G273" s="900"/>
      <c r="H273" s="754"/>
      <c r="I273" s="900"/>
      <c r="J273" s="901"/>
      <c r="K273" s="942"/>
    </row>
    <row r="274" spans="1:11" ht="24">
      <c r="A274" s="785"/>
      <c r="B274" s="926" t="s">
        <v>1304</v>
      </c>
      <c r="C274" s="899" t="s">
        <v>1501</v>
      </c>
      <c r="D274" s="794"/>
      <c r="E274" s="789" t="s">
        <v>1109</v>
      </c>
      <c r="F274" s="812"/>
      <c r="G274" s="900"/>
      <c r="H274" s="812"/>
      <c r="I274" s="900"/>
      <c r="J274" s="901"/>
      <c r="K274" s="942"/>
    </row>
    <row r="275" spans="1:11" ht="24">
      <c r="A275" s="785"/>
      <c r="B275" s="926" t="s">
        <v>1304</v>
      </c>
      <c r="C275" s="899" t="s">
        <v>1489</v>
      </c>
      <c r="D275" s="794"/>
      <c r="E275" s="789" t="s">
        <v>1109</v>
      </c>
      <c r="F275" s="812"/>
      <c r="G275" s="900"/>
      <c r="H275" s="812"/>
      <c r="I275" s="900"/>
      <c r="J275" s="901"/>
      <c r="K275" s="942"/>
    </row>
    <row r="276" spans="1:11" ht="24">
      <c r="A276" s="785"/>
      <c r="B276" s="926" t="s">
        <v>1304</v>
      </c>
      <c r="C276" s="899" t="s">
        <v>1490</v>
      </c>
      <c r="D276" s="794"/>
      <c r="E276" s="789" t="s">
        <v>1109</v>
      </c>
      <c r="F276" s="812"/>
      <c r="G276" s="900"/>
      <c r="H276" s="812"/>
      <c r="I276" s="900"/>
      <c r="J276" s="901"/>
      <c r="K276" s="942"/>
    </row>
    <row r="277" spans="1:11" ht="24">
      <c r="A277" s="785"/>
      <c r="B277" s="926" t="s">
        <v>1304</v>
      </c>
      <c r="C277" s="899" t="s">
        <v>1491</v>
      </c>
      <c r="D277" s="794"/>
      <c r="E277" s="789" t="s">
        <v>1109</v>
      </c>
      <c r="F277" s="812"/>
      <c r="G277" s="900"/>
      <c r="H277" s="812"/>
      <c r="I277" s="900"/>
      <c r="J277" s="901"/>
      <c r="K277" s="942"/>
    </row>
    <row r="278" spans="1:11" ht="24">
      <c r="A278" s="785" t="s">
        <v>1500</v>
      </c>
      <c r="B278" s="898" t="s">
        <v>1502</v>
      </c>
      <c r="C278" s="899"/>
      <c r="D278" s="794"/>
      <c r="E278" s="789"/>
      <c r="F278" s="812"/>
      <c r="G278" s="900"/>
      <c r="H278" s="754"/>
      <c r="I278" s="900"/>
      <c r="J278" s="901"/>
      <c r="K278" s="942"/>
    </row>
    <row r="279" spans="1:11" ht="24">
      <c r="A279" s="785"/>
      <c r="B279" s="926" t="s">
        <v>1304</v>
      </c>
      <c r="C279" s="899" t="s">
        <v>1501</v>
      </c>
      <c r="D279" s="794"/>
      <c r="E279" s="789" t="s">
        <v>1109</v>
      </c>
      <c r="F279" s="754"/>
      <c r="G279" s="900"/>
      <c r="H279" s="754"/>
      <c r="I279" s="900"/>
      <c r="J279" s="901"/>
      <c r="K279" s="942"/>
    </row>
    <row r="280" spans="1:11" ht="24">
      <c r="A280" s="944"/>
      <c r="B280" s="945" t="s">
        <v>1304</v>
      </c>
      <c r="C280" s="946" t="s">
        <v>1489</v>
      </c>
      <c r="D280" s="821"/>
      <c r="E280" s="801" t="s">
        <v>1109</v>
      </c>
      <c r="F280" s="802"/>
      <c r="G280" s="948"/>
      <c r="H280" s="802"/>
      <c r="I280" s="948"/>
      <c r="J280" s="949"/>
      <c r="K280" s="950"/>
    </row>
    <row r="281" spans="1:11" ht="24">
      <c r="A281" s="981"/>
      <c r="B281" s="939" t="s">
        <v>1458</v>
      </c>
      <c r="C281" s="940"/>
      <c r="D281" s="810"/>
      <c r="E281" s="811"/>
      <c r="F281" s="812"/>
      <c r="G281" s="920"/>
      <c r="H281" s="812"/>
      <c r="I281" s="920"/>
      <c r="J281" s="921"/>
      <c r="K281" s="941"/>
    </row>
    <row r="282" spans="1:11" ht="24.75" thickBot="1">
      <c r="A282" s="883"/>
      <c r="B282" s="898"/>
      <c r="C282" s="899"/>
      <c r="D282" s="794"/>
      <c r="E282" s="789"/>
      <c r="F282" s="754"/>
      <c r="G282" s="900"/>
      <c r="H282" s="754"/>
      <c r="I282" s="900"/>
      <c r="J282" s="901"/>
      <c r="K282" s="942"/>
    </row>
    <row r="283" spans="1:11" ht="24.75" thickTop="1">
      <c r="A283" s="427"/>
      <c r="B283" s="2159" t="s">
        <v>1503</v>
      </c>
      <c r="C283" s="2160"/>
      <c r="D283" s="822"/>
      <c r="E283" s="760"/>
      <c r="F283" s="823"/>
      <c r="G283" s="928"/>
      <c r="H283" s="823"/>
      <c r="I283" s="928"/>
      <c r="J283" s="928"/>
      <c r="K283" s="953"/>
    </row>
    <row r="284" spans="1:11" ht="24">
      <c r="A284" s="829" t="s">
        <v>1504</v>
      </c>
      <c r="B284" s="930" t="s">
        <v>1505</v>
      </c>
      <c r="C284" s="899"/>
      <c r="D284" s="794"/>
      <c r="E284" s="789"/>
      <c r="F284" s="754"/>
      <c r="G284" s="900"/>
      <c r="H284" s="754"/>
      <c r="I284" s="900"/>
      <c r="J284" s="901"/>
      <c r="K284" s="942"/>
    </row>
    <row r="285" spans="1:11" ht="24">
      <c r="A285" s="785" t="s">
        <v>1506</v>
      </c>
      <c r="B285" s="898" t="s">
        <v>1507</v>
      </c>
      <c r="C285" s="899"/>
      <c r="D285" s="794"/>
      <c r="E285" s="789"/>
      <c r="F285" s="754"/>
      <c r="G285" s="900"/>
      <c r="H285" s="754"/>
      <c r="I285" s="900"/>
      <c r="J285" s="901"/>
      <c r="K285" s="942"/>
    </row>
    <row r="286" spans="1:11" ht="24">
      <c r="A286" s="807" t="s">
        <v>1508</v>
      </c>
      <c r="B286" s="939" t="s">
        <v>1263</v>
      </c>
      <c r="C286" s="940"/>
      <c r="D286" s="810"/>
      <c r="E286" s="811"/>
      <c r="F286" s="812"/>
      <c r="G286" s="920"/>
      <c r="H286" s="812"/>
      <c r="I286" s="920"/>
      <c r="J286" s="921"/>
      <c r="K286" s="941"/>
    </row>
    <row r="287" spans="1:11" ht="24">
      <c r="A287" s="785"/>
      <c r="B287" s="926" t="s">
        <v>1304</v>
      </c>
      <c r="C287" s="899" t="s">
        <v>1509</v>
      </c>
      <c r="D287" s="794"/>
      <c r="E287" s="789" t="s">
        <v>1109</v>
      </c>
      <c r="F287" s="812"/>
      <c r="G287" s="900"/>
      <c r="H287" s="812"/>
      <c r="I287" s="900"/>
      <c r="J287" s="901"/>
      <c r="K287" s="942"/>
    </row>
    <row r="288" spans="1:11" ht="24">
      <c r="A288" s="785"/>
      <c r="B288" s="926" t="s">
        <v>1304</v>
      </c>
      <c r="C288" s="899" t="s">
        <v>1510</v>
      </c>
      <c r="D288" s="794"/>
      <c r="E288" s="789" t="s">
        <v>1109</v>
      </c>
      <c r="F288" s="754"/>
      <c r="G288" s="900"/>
      <c r="H288" s="754"/>
      <c r="I288" s="900"/>
      <c r="J288" s="901"/>
      <c r="K288" s="942"/>
    </row>
    <row r="289" spans="1:11" ht="24">
      <c r="A289" s="807"/>
      <c r="B289" s="951" t="s">
        <v>1304</v>
      </c>
      <c r="C289" s="940" t="s">
        <v>1511</v>
      </c>
      <c r="D289" s="810"/>
      <c r="E289" s="811" t="s">
        <v>1109</v>
      </c>
      <c r="F289" s="812"/>
      <c r="G289" s="920"/>
      <c r="H289" s="812"/>
      <c r="I289" s="920"/>
      <c r="J289" s="921"/>
      <c r="K289" s="941"/>
    </row>
    <row r="290" spans="1:11" ht="24">
      <c r="A290" s="785"/>
      <c r="B290" s="926" t="s">
        <v>1304</v>
      </c>
      <c r="C290" s="899" t="s">
        <v>1512</v>
      </c>
      <c r="D290" s="794"/>
      <c r="E290" s="789" t="s">
        <v>1109</v>
      </c>
      <c r="F290" s="812"/>
      <c r="G290" s="900"/>
      <c r="H290" s="812"/>
      <c r="I290" s="900"/>
      <c r="J290" s="901"/>
      <c r="K290" s="942"/>
    </row>
    <row r="291" spans="1:11" ht="24">
      <c r="A291" s="785"/>
      <c r="B291" s="926" t="s">
        <v>1304</v>
      </c>
      <c r="C291" s="899" t="s">
        <v>1513</v>
      </c>
      <c r="D291" s="794"/>
      <c r="E291" s="789" t="s">
        <v>1109</v>
      </c>
      <c r="F291" s="812"/>
      <c r="G291" s="900"/>
      <c r="H291" s="812"/>
      <c r="I291" s="900"/>
      <c r="J291" s="901"/>
      <c r="K291" s="942"/>
    </row>
    <row r="292" spans="1:11" ht="24">
      <c r="A292" s="785"/>
      <c r="B292" s="926" t="s">
        <v>1304</v>
      </c>
      <c r="C292" s="899" t="s">
        <v>1514</v>
      </c>
      <c r="D292" s="794"/>
      <c r="E292" s="789" t="s">
        <v>1109</v>
      </c>
      <c r="F292" s="754"/>
      <c r="G292" s="900"/>
      <c r="H292" s="754"/>
      <c r="I292" s="900"/>
      <c r="J292" s="901"/>
      <c r="K292" s="942"/>
    </row>
    <row r="293" spans="1:11" ht="24">
      <c r="A293" s="785"/>
      <c r="B293" s="926" t="s">
        <v>1304</v>
      </c>
      <c r="C293" s="899" t="s">
        <v>1515</v>
      </c>
      <c r="D293" s="794"/>
      <c r="E293" s="789" t="s">
        <v>1112</v>
      </c>
      <c r="F293" s="754"/>
      <c r="G293" s="900"/>
      <c r="H293" s="754"/>
      <c r="I293" s="900"/>
      <c r="J293" s="901"/>
      <c r="K293" s="942"/>
    </row>
    <row r="294" spans="1:11" ht="24">
      <c r="A294" s="785" t="s">
        <v>1516</v>
      </c>
      <c r="B294" s="898" t="s">
        <v>1517</v>
      </c>
      <c r="C294" s="899"/>
      <c r="D294" s="794"/>
      <c r="E294" s="789"/>
      <c r="F294" s="754"/>
      <c r="G294" s="900"/>
      <c r="H294" s="754"/>
      <c r="I294" s="900"/>
      <c r="J294" s="901"/>
      <c r="K294" s="942"/>
    </row>
    <row r="295" spans="1:11" ht="24">
      <c r="A295" s="785"/>
      <c r="B295" s="926" t="s">
        <v>1304</v>
      </c>
      <c r="C295" s="899" t="s">
        <v>1518</v>
      </c>
      <c r="D295" s="794"/>
      <c r="E295" s="789" t="s">
        <v>1109</v>
      </c>
      <c r="F295" s="754"/>
      <c r="G295" s="900"/>
      <c r="H295" s="754"/>
      <c r="I295" s="900"/>
      <c r="J295" s="901"/>
      <c r="K295" s="942"/>
    </row>
    <row r="296" spans="1:11" ht="24">
      <c r="A296" s="785"/>
      <c r="B296" s="926" t="s">
        <v>1304</v>
      </c>
      <c r="C296" s="899" t="s">
        <v>1519</v>
      </c>
      <c r="D296" s="794"/>
      <c r="E296" s="789" t="s">
        <v>1109</v>
      </c>
      <c r="F296" s="754"/>
      <c r="G296" s="900"/>
      <c r="H296" s="754"/>
      <c r="I296" s="900"/>
      <c r="J296" s="901"/>
      <c r="K296" s="942"/>
    </row>
    <row r="297" spans="1:11" ht="24">
      <c r="A297" s="785"/>
      <c r="B297" s="926" t="s">
        <v>1304</v>
      </c>
      <c r="C297" s="899" t="s">
        <v>1520</v>
      </c>
      <c r="D297" s="794"/>
      <c r="E297" s="789" t="s">
        <v>1109</v>
      </c>
      <c r="F297" s="754"/>
      <c r="G297" s="900"/>
      <c r="H297" s="754"/>
      <c r="I297" s="900"/>
      <c r="J297" s="901"/>
      <c r="K297" s="942"/>
    </row>
    <row r="298" spans="1:11" ht="24">
      <c r="A298" s="785"/>
      <c r="B298" s="926" t="s">
        <v>1304</v>
      </c>
      <c r="C298" s="899" t="s">
        <v>1515</v>
      </c>
      <c r="D298" s="794"/>
      <c r="E298" s="789" t="s">
        <v>1112</v>
      </c>
      <c r="F298" s="754"/>
      <c r="G298" s="900"/>
      <c r="H298" s="754"/>
      <c r="I298" s="900"/>
      <c r="J298" s="901"/>
      <c r="K298" s="942"/>
    </row>
    <row r="299" spans="1:11" ht="24">
      <c r="A299" s="785" t="s">
        <v>1521</v>
      </c>
      <c r="B299" s="898" t="s">
        <v>1522</v>
      </c>
      <c r="C299" s="899"/>
      <c r="D299" s="794"/>
      <c r="E299" s="789"/>
      <c r="F299" s="754"/>
      <c r="G299" s="900"/>
      <c r="H299" s="754"/>
      <c r="I299" s="900"/>
      <c r="J299" s="901"/>
      <c r="K299" s="942"/>
    </row>
    <row r="300" spans="1:11" ht="24">
      <c r="A300" s="785" t="s">
        <v>1523</v>
      </c>
      <c r="B300" s="898" t="s">
        <v>1524</v>
      </c>
      <c r="C300" s="899"/>
      <c r="D300" s="794"/>
      <c r="E300" s="789"/>
      <c r="F300" s="754"/>
      <c r="G300" s="900"/>
      <c r="H300" s="754"/>
      <c r="I300" s="900"/>
      <c r="J300" s="901"/>
      <c r="K300" s="942"/>
    </row>
    <row r="301" spans="1:11" ht="24">
      <c r="A301" s="785"/>
      <c r="B301" s="926" t="s">
        <v>1304</v>
      </c>
      <c r="C301" s="899" t="s">
        <v>1509</v>
      </c>
      <c r="D301" s="794"/>
      <c r="E301" s="789" t="s">
        <v>1109</v>
      </c>
      <c r="F301" s="754"/>
      <c r="G301" s="900"/>
      <c r="H301" s="754"/>
      <c r="I301" s="900"/>
      <c r="J301" s="901"/>
      <c r="K301" s="942"/>
    </row>
    <row r="302" spans="1:11" ht="24">
      <c r="A302" s="785"/>
      <c r="B302" s="926" t="s">
        <v>1304</v>
      </c>
      <c r="C302" s="899" t="s">
        <v>1515</v>
      </c>
      <c r="D302" s="794"/>
      <c r="E302" s="789" t="s">
        <v>1112</v>
      </c>
      <c r="F302" s="754"/>
      <c r="G302" s="900"/>
      <c r="H302" s="754"/>
      <c r="I302" s="900"/>
      <c r="J302" s="901"/>
      <c r="K302" s="942"/>
    </row>
    <row r="303" spans="1:11" ht="24">
      <c r="A303" s="785" t="s">
        <v>1525</v>
      </c>
      <c r="B303" s="898" t="s">
        <v>1263</v>
      </c>
      <c r="C303" s="899"/>
      <c r="D303" s="794"/>
      <c r="E303" s="789"/>
      <c r="F303" s="754"/>
      <c r="G303" s="900"/>
      <c r="H303" s="754"/>
      <c r="I303" s="900"/>
      <c r="J303" s="901"/>
      <c r="K303" s="942"/>
    </row>
    <row r="304" spans="1:11" ht="24">
      <c r="A304" s="785"/>
      <c r="B304" s="926" t="s">
        <v>1304</v>
      </c>
      <c r="C304" s="899" t="s">
        <v>1509</v>
      </c>
      <c r="D304" s="794"/>
      <c r="E304" s="789" t="s">
        <v>1109</v>
      </c>
      <c r="F304" s="812"/>
      <c r="G304" s="900"/>
      <c r="H304" s="812"/>
      <c r="I304" s="900"/>
      <c r="J304" s="901"/>
      <c r="K304" s="942"/>
    </row>
    <row r="305" spans="1:11" ht="24">
      <c r="A305" s="785"/>
      <c r="B305" s="926" t="s">
        <v>1304</v>
      </c>
      <c r="C305" s="899" t="s">
        <v>1510</v>
      </c>
      <c r="D305" s="794"/>
      <c r="E305" s="789" t="s">
        <v>1109</v>
      </c>
      <c r="F305" s="754"/>
      <c r="G305" s="900"/>
      <c r="H305" s="812"/>
      <c r="I305" s="900"/>
      <c r="J305" s="901"/>
      <c r="K305" s="942"/>
    </row>
    <row r="306" spans="1:11" ht="24">
      <c r="A306" s="785"/>
      <c r="B306" s="926" t="s">
        <v>1304</v>
      </c>
      <c r="C306" s="899" t="s">
        <v>1511</v>
      </c>
      <c r="D306" s="794"/>
      <c r="E306" s="789" t="s">
        <v>1109</v>
      </c>
      <c r="F306" s="754"/>
      <c r="G306" s="900"/>
      <c r="H306" s="754"/>
      <c r="I306" s="900"/>
      <c r="J306" s="901"/>
      <c r="K306" s="942"/>
    </row>
    <row r="307" spans="1:11" ht="24">
      <c r="A307" s="807"/>
      <c r="B307" s="951" t="s">
        <v>1304</v>
      </c>
      <c r="C307" s="940" t="s">
        <v>1512</v>
      </c>
      <c r="D307" s="810"/>
      <c r="E307" s="811" t="s">
        <v>1109</v>
      </c>
      <c r="F307" s="812"/>
      <c r="G307" s="920"/>
      <c r="H307" s="812"/>
      <c r="I307" s="920"/>
      <c r="J307" s="921"/>
      <c r="K307" s="941"/>
    </row>
    <row r="308" spans="1:11" ht="24">
      <c r="A308" s="785"/>
      <c r="B308" s="926" t="s">
        <v>1304</v>
      </c>
      <c r="C308" s="899" t="s">
        <v>1515</v>
      </c>
      <c r="D308" s="794"/>
      <c r="E308" s="789" t="s">
        <v>1112</v>
      </c>
      <c r="F308" s="754"/>
      <c r="G308" s="900"/>
      <c r="H308" s="754"/>
      <c r="I308" s="900"/>
      <c r="J308" s="901"/>
      <c r="K308" s="942"/>
    </row>
    <row r="309" spans="1:11" ht="24">
      <c r="A309" s="807" t="s">
        <v>1526</v>
      </c>
      <c r="B309" s="939" t="s">
        <v>1527</v>
      </c>
      <c r="C309" s="940"/>
      <c r="D309" s="810"/>
      <c r="E309" s="811"/>
      <c r="F309" s="812"/>
      <c r="G309" s="920"/>
      <c r="H309" s="812"/>
      <c r="I309" s="920"/>
      <c r="J309" s="921"/>
      <c r="K309" s="941"/>
    </row>
    <row r="310" spans="1:11" ht="24">
      <c r="A310" s="785"/>
      <c r="B310" s="926" t="s">
        <v>1304</v>
      </c>
      <c r="C310" s="899" t="s">
        <v>1509</v>
      </c>
      <c r="D310" s="794"/>
      <c r="E310" s="789" t="s">
        <v>1109</v>
      </c>
      <c r="F310" s="754"/>
      <c r="G310" s="900"/>
      <c r="H310" s="754"/>
      <c r="I310" s="900"/>
      <c r="J310" s="901"/>
      <c r="K310" s="942"/>
    </row>
    <row r="311" spans="1:11" ht="24">
      <c r="A311" s="785"/>
      <c r="B311" s="898" t="s">
        <v>1458</v>
      </c>
      <c r="C311" s="899"/>
      <c r="D311" s="794"/>
      <c r="E311" s="789"/>
      <c r="F311" s="754"/>
      <c r="G311" s="900"/>
      <c r="H311" s="754"/>
      <c r="I311" s="900"/>
      <c r="J311" s="901"/>
      <c r="K311" s="942"/>
    </row>
    <row r="312" spans="1:11" ht="24.75" thickBot="1">
      <c r="A312" s="785"/>
      <c r="B312" s="898"/>
      <c r="C312" s="899"/>
      <c r="D312" s="794"/>
      <c r="E312" s="789"/>
      <c r="F312" s="754"/>
      <c r="G312" s="900"/>
      <c r="H312" s="754"/>
      <c r="I312" s="900"/>
      <c r="J312" s="901"/>
      <c r="K312" s="942"/>
    </row>
    <row r="313" spans="1:11" ht="24.75" thickTop="1">
      <c r="A313" s="427"/>
      <c r="B313" s="2159" t="s">
        <v>1528</v>
      </c>
      <c r="C313" s="2160"/>
      <c r="D313" s="822"/>
      <c r="E313" s="760"/>
      <c r="F313" s="823"/>
      <c r="G313" s="928"/>
      <c r="H313" s="823"/>
      <c r="I313" s="928"/>
      <c r="J313" s="928"/>
      <c r="K313" s="953"/>
    </row>
    <row r="314" spans="1:11" ht="24">
      <c r="A314" s="829" t="s">
        <v>1529</v>
      </c>
      <c r="B314" s="930" t="s">
        <v>1530</v>
      </c>
      <c r="C314" s="899"/>
      <c r="D314" s="794"/>
      <c r="E314" s="789"/>
      <c r="F314" s="754"/>
      <c r="G314" s="900"/>
      <c r="H314" s="754"/>
      <c r="I314" s="900"/>
      <c r="J314" s="901"/>
      <c r="K314" s="942"/>
    </row>
    <row r="315" spans="1:11" ht="24">
      <c r="A315" s="785" t="s">
        <v>1531</v>
      </c>
      <c r="B315" s="898" t="s">
        <v>1530</v>
      </c>
      <c r="C315" s="899"/>
      <c r="D315" s="794"/>
      <c r="E315" s="789"/>
      <c r="F315" s="754"/>
      <c r="G315" s="900"/>
      <c r="H315" s="754"/>
      <c r="I315" s="900"/>
      <c r="J315" s="901"/>
      <c r="K315" s="942"/>
    </row>
    <row r="316" spans="1:11" ht="24">
      <c r="A316" s="883"/>
      <c r="B316" s="926" t="s">
        <v>1304</v>
      </c>
      <c r="C316" s="899" t="s">
        <v>1532</v>
      </c>
      <c r="D316" s="794"/>
      <c r="E316" s="924" t="s">
        <v>185</v>
      </c>
      <c r="F316" s="754"/>
      <c r="G316" s="900"/>
      <c r="H316" s="754"/>
      <c r="I316" s="900"/>
      <c r="J316" s="901"/>
      <c r="K316" s="942"/>
    </row>
    <row r="317" spans="1:11" ht="24">
      <c r="A317" s="883"/>
      <c r="B317" s="926" t="s">
        <v>1304</v>
      </c>
      <c r="C317" s="899" t="s">
        <v>1533</v>
      </c>
      <c r="D317" s="794"/>
      <c r="E317" s="924" t="s">
        <v>185</v>
      </c>
      <c r="F317" s="754"/>
      <c r="G317" s="900"/>
      <c r="H317" s="754"/>
      <c r="I317" s="900"/>
      <c r="J317" s="901"/>
      <c r="K317" s="942"/>
    </row>
    <row r="318" spans="1:11" ht="24">
      <c r="A318" s="883"/>
      <c r="B318" s="926" t="s">
        <v>1304</v>
      </c>
      <c r="C318" s="899" t="s">
        <v>1534</v>
      </c>
      <c r="D318" s="794"/>
      <c r="E318" s="924" t="s">
        <v>185</v>
      </c>
      <c r="F318" s="754"/>
      <c r="G318" s="900"/>
      <c r="H318" s="754"/>
      <c r="I318" s="900"/>
      <c r="J318" s="901"/>
      <c r="K318" s="942"/>
    </row>
    <row r="319" spans="1:11" ht="24">
      <c r="A319" s="883"/>
      <c r="B319" s="926" t="s">
        <v>1304</v>
      </c>
      <c r="C319" s="899" t="s">
        <v>1535</v>
      </c>
      <c r="D319" s="794"/>
      <c r="E319" s="924" t="s">
        <v>185</v>
      </c>
      <c r="F319" s="754"/>
      <c r="G319" s="900"/>
      <c r="H319" s="754"/>
      <c r="I319" s="900"/>
      <c r="J319" s="901"/>
      <c r="K319" s="942"/>
    </row>
    <row r="320" spans="1:11" ht="24">
      <c r="A320" s="883"/>
      <c r="B320" s="898" t="s">
        <v>1458</v>
      </c>
      <c r="C320" s="899"/>
      <c r="D320" s="794"/>
      <c r="E320" s="789"/>
      <c r="F320" s="754"/>
      <c r="G320" s="900"/>
      <c r="H320" s="754"/>
      <c r="I320" s="900"/>
      <c r="J320" s="901"/>
      <c r="K320" s="942"/>
    </row>
    <row r="321" spans="1:11" ht="24.75" thickBot="1">
      <c r="A321" s="883"/>
      <c r="B321" s="898"/>
      <c r="C321" s="899"/>
      <c r="D321" s="794"/>
      <c r="E321" s="789"/>
      <c r="F321" s="754"/>
      <c r="G321" s="900"/>
      <c r="H321" s="754"/>
      <c r="I321" s="900"/>
      <c r="J321" s="901"/>
      <c r="K321" s="942"/>
    </row>
    <row r="322" spans="1:11" ht="24.75" thickTop="1">
      <c r="A322" s="427"/>
      <c r="B322" s="2159" t="s">
        <v>1536</v>
      </c>
      <c r="C322" s="2160"/>
      <c r="D322" s="822"/>
      <c r="E322" s="760"/>
      <c r="F322" s="823"/>
      <c r="G322" s="928"/>
      <c r="H322" s="823"/>
      <c r="I322" s="928"/>
      <c r="J322" s="928"/>
      <c r="K322" s="953"/>
    </row>
    <row r="323" spans="1:11" ht="24">
      <c r="A323" s="829" t="s">
        <v>1537</v>
      </c>
      <c r="B323" s="930" t="s">
        <v>1538</v>
      </c>
      <c r="C323" s="899"/>
      <c r="D323" s="794"/>
      <c r="E323" s="789"/>
      <c r="F323" s="754"/>
      <c r="G323" s="900"/>
      <c r="H323" s="754"/>
      <c r="I323" s="900"/>
      <c r="J323" s="901"/>
      <c r="K323" s="942"/>
    </row>
    <row r="324" spans="1:11" ht="24">
      <c r="A324" s="788" t="s">
        <v>1539</v>
      </c>
      <c r="B324" s="982" t="s">
        <v>1540</v>
      </c>
      <c r="C324" s="899"/>
      <c r="D324" s="794"/>
      <c r="E324" s="924" t="s">
        <v>185</v>
      </c>
      <c r="F324" s="754"/>
      <c r="G324" s="900"/>
      <c r="H324" s="754"/>
      <c r="I324" s="900"/>
      <c r="J324" s="901"/>
      <c r="K324" s="942"/>
    </row>
    <row r="325" spans="1:11" ht="24">
      <c r="A325" s="788" t="s">
        <v>1541</v>
      </c>
      <c r="B325" s="982" t="s">
        <v>1542</v>
      </c>
      <c r="C325" s="899"/>
      <c r="D325" s="794"/>
      <c r="E325" s="924" t="s">
        <v>185</v>
      </c>
      <c r="F325" s="754"/>
      <c r="G325" s="900"/>
      <c r="H325" s="754"/>
      <c r="I325" s="900"/>
      <c r="J325" s="901"/>
      <c r="K325" s="942"/>
    </row>
    <row r="326" spans="1:11" ht="24">
      <c r="A326" s="788" t="s">
        <v>1543</v>
      </c>
      <c r="B326" s="982" t="s">
        <v>1544</v>
      </c>
      <c r="C326" s="899"/>
      <c r="D326" s="794"/>
      <c r="E326" s="924" t="s">
        <v>185</v>
      </c>
      <c r="F326" s="754"/>
      <c r="G326" s="900"/>
      <c r="H326" s="754"/>
      <c r="I326" s="900"/>
      <c r="J326" s="901"/>
      <c r="K326" s="942"/>
    </row>
    <row r="327" spans="1:11" ht="24">
      <c r="A327" s="788" t="s">
        <v>1545</v>
      </c>
      <c r="B327" s="982" t="s">
        <v>1546</v>
      </c>
      <c r="C327" s="899"/>
      <c r="D327" s="794"/>
      <c r="E327" s="924" t="s">
        <v>185</v>
      </c>
      <c r="F327" s="754"/>
      <c r="G327" s="900"/>
      <c r="H327" s="754"/>
      <c r="I327" s="900"/>
      <c r="J327" s="901"/>
      <c r="K327" s="942"/>
    </row>
    <row r="328" spans="1:11" ht="24">
      <c r="A328" s="825" t="s">
        <v>1547</v>
      </c>
      <c r="B328" s="983" t="s">
        <v>1548</v>
      </c>
      <c r="C328" s="940"/>
      <c r="D328" s="810"/>
      <c r="E328" s="952" t="s">
        <v>185</v>
      </c>
      <c r="F328" s="812"/>
      <c r="G328" s="900"/>
      <c r="H328" s="812"/>
      <c r="I328" s="900"/>
      <c r="J328" s="921"/>
      <c r="K328" s="941"/>
    </row>
    <row r="329" spans="1:11" ht="24">
      <c r="A329" s="788" t="s">
        <v>1549</v>
      </c>
      <c r="B329" s="982" t="s">
        <v>1550</v>
      </c>
      <c r="C329" s="899"/>
      <c r="D329" s="794"/>
      <c r="E329" s="924" t="s">
        <v>185</v>
      </c>
      <c r="F329" s="754"/>
      <c r="G329" s="900"/>
      <c r="H329" s="754"/>
      <c r="I329" s="900"/>
      <c r="J329" s="901"/>
      <c r="K329" s="942"/>
    </row>
    <row r="330" spans="1:11" ht="24">
      <c r="A330" s="825" t="s">
        <v>1551</v>
      </c>
      <c r="B330" s="983" t="s">
        <v>1552</v>
      </c>
      <c r="C330" s="940"/>
      <c r="D330" s="810"/>
      <c r="E330" s="952" t="s">
        <v>185</v>
      </c>
      <c r="F330" s="812"/>
      <c r="G330" s="900"/>
      <c r="H330" s="812"/>
      <c r="I330" s="900"/>
      <c r="J330" s="921"/>
      <c r="K330" s="941"/>
    </row>
    <row r="331" spans="1:11" ht="24">
      <c r="A331" s="788" t="s">
        <v>1553</v>
      </c>
      <c r="B331" s="982" t="s">
        <v>1554</v>
      </c>
      <c r="C331" s="899"/>
      <c r="D331" s="794"/>
      <c r="E331" s="924" t="s">
        <v>185</v>
      </c>
      <c r="F331" s="754"/>
      <c r="G331" s="900"/>
      <c r="H331" s="754"/>
      <c r="I331" s="900"/>
      <c r="J331" s="901"/>
      <c r="K331" s="942"/>
    </row>
    <row r="332" spans="1:11" ht="24">
      <c r="A332" s="788" t="s">
        <v>1555</v>
      </c>
      <c r="B332" s="984" t="s">
        <v>1556</v>
      </c>
      <c r="C332" s="904"/>
      <c r="D332" s="831"/>
      <c r="E332" s="924" t="s">
        <v>185</v>
      </c>
      <c r="F332" s="819"/>
      <c r="G332" s="900"/>
      <c r="H332" s="819"/>
      <c r="I332" s="900"/>
      <c r="J332" s="901"/>
      <c r="K332" s="938"/>
    </row>
    <row r="333" spans="1:11" ht="24">
      <c r="A333" s="788" t="s">
        <v>1557</v>
      </c>
      <c r="B333" s="984" t="s">
        <v>1558</v>
      </c>
      <c r="C333" s="904"/>
      <c r="D333" s="831"/>
      <c r="E333" s="924" t="s">
        <v>185</v>
      </c>
      <c r="F333" s="819"/>
      <c r="G333" s="900"/>
      <c r="H333" s="819"/>
      <c r="I333" s="900"/>
      <c r="J333" s="901"/>
      <c r="K333" s="938"/>
    </row>
    <row r="334" spans="1:11" ht="24">
      <c r="A334" s="788" t="s">
        <v>1559</v>
      </c>
      <c r="B334" s="982" t="s">
        <v>1560</v>
      </c>
      <c r="C334" s="899"/>
      <c r="D334" s="794"/>
      <c r="E334" s="924" t="s">
        <v>185</v>
      </c>
      <c r="F334" s="754"/>
      <c r="G334" s="900"/>
      <c r="H334" s="754"/>
      <c r="I334" s="900"/>
      <c r="J334" s="901"/>
      <c r="K334" s="942"/>
    </row>
    <row r="335" spans="1:11" ht="24">
      <c r="A335" s="788" t="s">
        <v>1561</v>
      </c>
      <c r="B335" s="985" t="s">
        <v>1562</v>
      </c>
      <c r="C335" s="986"/>
      <c r="D335" s="987"/>
      <c r="E335" s="988" t="s">
        <v>185</v>
      </c>
      <c r="F335" s="754"/>
      <c r="G335" s="900"/>
      <c r="H335" s="754"/>
      <c r="I335" s="900"/>
      <c r="J335" s="901"/>
      <c r="K335" s="934"/>
    </row>
    <row r="336" spans="1:11" ht="24">
      <c r="A336" s="788" t="s">
        <v>1563</v>
      </c>
      <c r="B336" s="932" t="s">
        <v>1564</v>
      </c>
      <c r="C336" s="899"/>
      <c r="D336" s="794"/>
      <c r="E336" s="789" t="s">
        <v>1112</v>
      </c>
      <c r="F336" s="754"/>
      <c r="G336" s="900"/>
      <c r="H336" s="754"/>
      <c r="I336" s="900"/>
      <c r="J336" s="901"/>
      <c r="K336" s="942"/>
    </row>
    <row r="337" spans="1:11" ht="24">
      <c r="A337" s="785"/>
      <c r="B337" s="898" t="s">
        <v>1458</v>
      </c>
      <c r="C337" s="899"/>
      <c r="D337" s="794"/>
      <c r="E337" s="789"/>
      <c r="F337" s="754"/>
      <c r="G337" s="900"/>
      <c r="H337" s="754"/>
      <c r="I337" s="900"/>
      <c r="J337" s="901"/>
      <c r="K337" s="942"/>
    </row>
    <row r="338" spans="1:11" ht="24.75" thickBot="1">
      <c r="A338" s="883"/>
      <c r="B338" s="898" t="s">
        <v>1565</v>
      </c>
      <c r="C338" s="899"/>
      <c r="D338" s="794"/>
      <c r="E338" s="789" t="s">
        <v>1112</v>
      </c>
      <c r="F338" s="754"/>
      <c r="G338" s="900"/>
      <c r="H338" s="754"/>
      <c r="I338" s="900"/>
      <c r="J338" s="901"/>
      <c r="K338" s="942"/>
    </row>
    <row r="339" spans="1:11" ht="24.75" thickTop="1">
      <c r="A339" s="427"/>
      <c r="B339" s="2159" t="s">
        <v>1566</v>
      </c>
      <c r="C339" s="2160"/>
      <c r="D339" s="822"/>
      <c r="E339" s="760"/>
      <c r="F339" s="823"/>
      <c r="G339" s="928"/>
      <c r="H339" s="823"/>
      <c r="I339" s="928"/>
      <c r="J339" s="928"/>
      <c r="K339" s="953"/>
    </row>
    <row r="340" spans="1:11" ht="24">
      <c r="A340" s="829" t="s">
        <v>1567</v>
      </c>
      <c r="B340" s="930" t="s">
        <v>1568</v>
      </c>
      <c r="C340" s="899"/>
      <c r="D340" s="794"/>
      <c r="E340" s="789"/>
      <c r="F340" s="754"/>
      <c r="G340" s="900"/>
      <c r="H340" s="754"/>
      <c r="I340" s="900"/>
      <c r="J340" s="901"/>
      <c r="K340" s="942"/>
    </row>
    <row r="341" spans="1:11" ht="24">
      <c r="A341" s="785" t="s">
        <v>1569</v>
      </c>
      <c r="B341" s="898" t="s">
        <v>1570</v>
      </c>
      <c r="C341" s="899"/>
      <c r="D341" s="794"/>
      <c r="E341" s="924" t="s">
        <v>185</v>
      </c>
      <c r="F341" s="754"/>
      <c r="G341" s="900"/>
      <c r="H341" s="754"/>
      <c r="I341" s="900"/>
      <c r="J341" s="901"/>
      <c r="K341" s="942"/>
    </row>
    <row r="342" spans="1:11" ht="24">
      <c r="A342" s="785" t="s">
        <v>1571</v>
      </c>
      <c r="B342" s="898" t="s">
        <v>1256</v>
      </c>
      <c r="C342" s="899"/>
      <c r="D342" s="794"/>
      <c r="E342" s="789"/>
      <c r="F342" s="754"/>
      <c r="G342" s="900"/>
      <c r="H342" s="754"/>
      <c r="I342" s="900"/>
      <c r="J342" s="901"/>
      <c r="K342" s="942"/>
    </row>
    <row r="343" spans="1:11" ht="24">
      <c r="A343" s="944"/>
      <c r="B343" s="945" t="s">
        <v>1304</v>
      </c>
      <c r="C343" s="946" t="s">
        <v>1495</v>
      </c>
      <c r="D343" s="821"/>
      <c r="E343" s="801" t="s">
        <v>1109</v>
      </c>
      <c r="F343" s="802"/>
      <c r="G343" s="948"/>
      <c r="H343" s="802"/>
      <c r="I343" s="948"/>
      <c r="J343" s="949"/>
      <c r="K343" s="950"/>
    </row>
    <row r="344" spans="1:11" ht="24">
      <c r="A344" s="807" t="s">
        <v>1572</v>
      </c>
      <c r="B344" s="939" t="s">
        <v>1573</v>
      </c>
      <c r="C344" s="940"/>
      <c r="D344" s="810"/>
      <c r="E344" s="811"/>
      <c r="F344" s="812"/>
      <c r="G344" s="920"/>
      <c r="H344" s="812"/>
      <c r="I344" s="920"/>
      <c r="J344" s="921"/>
      <c r="K344" s="941"/>
    </row>
    <row r="345" spans="1:11" ht="24">
      <c r="A345" s="785"/>
      <c r="B345" s="926" t="s">
        <v>1304</v>
      </c>
      <c r="C345" s="899" t="s">
        <v>1495</v>
      </c>
      <c r="D345" s="794"/>
      <c r="E345" s="789" t="s">
        <v>1109</v>
      </c>
      <c r="F345" s="754"/>
      <c r="G345" s="900"/>
      <c r="H345" s="754"/>
      <c r="I345" s="900"/>
      <c r="J345" s="901"/>
      <c r="K345" s="942"/>
    </row>
    <row r="346" spans="1:11" ht="24">
      <c r="A346" s="788" t="s">
        <v>1574</v>
      </c>
      <c r="B346" s="898" t="s">
        <v>1575</v>
      </c>
      <c r="C346" s="899"/>
      <c r="D346" s="794"/>
      <c r="E346" s="789" t="s">
        <v>1109</v>
      </c>
      <c r="F346" s="754"/>
      <c r="G346" s="900"/>
      <c r="H346" s="754"/>
      <c r="I346" s="900"/>
      <c r="J346" s="901"/>
      <c r="K346" s="942"/>
    </row>
    <row r="347" spans="1:11" ht="24">
      <c r="A347" s="788" t="s">
        <v>1576</v>
      </c>
      <c r="B347" s="898" t="s">
        <v>1577</v>
      </c>
      <c r="C347" s="899"/>
      <c r="D347" s="794"/>
      <c r="E347" s="924" t="s">
        <v>185</v>
      </c>
      <c r="F347" s="754"/>
      <c r="G347" s="900"/>
      <c r="H347" s="754"/>
      <c r="I347" s="900"/>
      <c r="J347" s="901"/>
      <c r="K347" s="942"/>
    </row>
    <row r="348" spans="1:11" ht="24">
      <c r="A348" s="788" t="s">
        <v>1578</v>
      </c>
      <c r="B348" s="898" t="s">
        <v>1579</v>
      </c>
      <c r="C348" s="899"/>
      <c r="D348" s="794"/>
      <c r="E348" s="924" t="s">
        <v>185</v>
      </c>
      <c r="F348" s="754"/>
      <c r="G348" s="900"/>
      <c r="H348" s="754"/>
      <c r="I348" s="900"/>
      <c r="J348" s="901"/>
      <c r="K348" s="942"/>
    </row>
    <row r="349" spans="1:11" ht="24">
      <c r="A349" s="825" t="s">
        <v>1580</v>
      </c>
      <c r="B349" s="939" t="s">
        <v>1581</v>
      </c>
      <c r="C349" s="940"/>
      <c r="D349" s="810"/>
      <c r="E349" s="811"/>
      <c r="F349" s="812"/>
      <c r="G349" s="920"/>
      <c r="H349" s="812"/>
      <c r="I349" s="920"/>
      <c r="J349" s="921"/>
      <c r="K349" s="941"/>
    </row>
    <row r="350" spans="1:11" ht="24">
      <c r="A350" s="785"/>
      <c r="B350" s="926" t="s">
        <v>1304</v>
      </c>
      <c r="C350" s="899" t="s">
        <v>1511</v>
      </c>
      <c r="D350" s="794"/>
      <c r="E350" s="789" t="s">
        <v>1109</v>
      </c>
      <c r="F350" s="754"/>
      <c r="G350" s="900"/>
      <c r="H350" s="754"/>
      <c r="I350" s="900"/>
      <c r="J350" s="901"/>
      <c r="K350" s="942"/>
    </row>
    <row r="351" spans="1:11" ht="24">
      <c r="A351" s="785"/>
      <c r="B351" s="926" t="s">
        <v>1304</v>
      </c>
      <c r="C351" s="899" t="s">
        <v>1515</v>
      </c>
      <c r="D351" s="794"/>
      <c r="E351" s="789" t="s">
        <v>1112</v>
      </c>
      <c r="F351" s="754"/>
      <c r="G351" s="900"/>
      <c r="H351" s="754"/>
      <c r="I351" s="900"/>
      <c r="J351" s="901"/>
      <c r="K351" s="942"/>
    </row>
    <row r="352" spans="1:11" ht="24">
      <c r="A352" s="807" t="s">
        <v>1582</v>
      </c>
      <c r="B352" s="939" t="s">
        <v>1583</v>
      </c>
      <c r="C352" s="940"/>
      <c r="D352" s="810"/>
      <c r="E352" s="811" t="s">
        <v>1112</v>
      </c>
      <c r="F352" s="812"/>
      <c r="G352" s="920"/>
      <c r="H352" s="812"/>
      <c r="I352" s="920"/>
      <c r="J352" s="921"/>
      <c r="K352" s="941"/>
    </row>
    <row r="353" spans="1:11" ht="24.75" thickBot="1">
      <c r="A353" s="883"/>
      <c r="B353" s="898" t="s">
        <v>1565</v>
      </c>
      <c r="C353" s="899"/>
      <c r="D353" s="794"/>
      <c r="E353" s="789" t="s">
        <v>1112</v>
      </c>
      <c r="F353" s="754"/>
      <c r="G353" s="900"/>
      <c r="H353" s="754"/>
      <c r="I353" s="900"/>
      <c r="J353" s="901"/>
      <c r="K353" s="942"/>
    </row>
    <row r="354" spans="1:11" ht="24.75" thickTop="1">
      <c r="A354" s="427"/>
      <c r="B354" s="2159" t="s">
        <v>1584</v>
      </c>
      <c r="C354" s="2160"/>
      <c r="D354" s="822"/>
      <c r="E354" s="760"/>
      <c r="F354" s="823"/>
      <c r="G354" s="928"/>
      <c r="H354" s="823"/>
      <c r="I354" s="928"/>
      <c r="J354" s="928"/>
      <c r="K354" s="953"/>
    </row>
    <row r="355" spans="1:11" ht="24">
      <c r="A355" s="829" t="s">
        <v>1585</v>
      </c>
      <c r="B355" s="930" t="s">
        <v>1586</v>
      </c>
      <c r="C355" s="899"/>
      <c r="D355" s="794"/>
      <c r="E355" s="789"/>
      <c r="F355" s="754"/>
      <c r="G355" s="900"/>
      <c r="H355" s="754"/>
      <c r="I355" s="900"/>
      <c r="J355" s="901"/>
      <c r="K355" s="942"/>
    </row>
    <row r="356" spans="1:11" ht="24">
      <c r="A356" s="788" t="s">
        <v>1587</v>
      </c>
      <c r="B356" s="982" t="s">
        <v>1588</v>
      </c>
      <c r="C356" s="899"/>
      <c r="D356" s="794"/>
      <c r="E356" s="924" t="s">
        <v>185</v>
      </c>
      <c r="F356" s="875"/>
      <c r="G356" s="900"/>
      <c r="H356" s="989"/>
      <c r="I356" s="900"/>
      <c r="J356" s="901"/>
      <c r="K356" s="942"/>
    </row>
    <row r="357" spans="1:11" ht="24">
      <c r="A357" s="788" t="s">
        <v>1589</v>
      </c>
      <c r="B357" s="932" t="s">
        <v>1590</v>
      </c>
      <c r="C357" s="899"/>
      <c r="D357" s="794"/>
      <c r="E357" s="924" t="s">
        <v>185</v>
      </c>
      <c r="F357" s="875"/>
      <c r="G357" s="900"/>
      <c r="H357" s="989"/>
      <c r="I357" s="900"/>
      <c r="J357" s="901"/>
      <c r="K357" s="942"/>
    </row>
    <row r="358" spans="1:11" ht="24">
      <c r="A358" s="788" t="s">
        <v>1591</v>
      </c>
      <c r="B358" s="932" t="s">
        <v>1592</v>
      </c>
      <c r="C358" s="899"/>
      <c r="D358" s="794"/>
      <c r="E358" s="924" t="s">
        <v>185</v>
      </c>
      <c r="F358" s="875"/>
      <c r="G358" s="900"/>
      <c r="H358" s="989"/>
      <c r="I358" s="900"/>
      <c r="J358" s="901"/>
      <c r="K358" s="942"/>
    </row>
    <row r="359" spans="1:11" ht="24">
      <c r="A359" s="788" t="s">
        <v>1593</v>
      </c>
      <c r="B359" s="932" t="s">
        <v>1594</v>
      </c>
      <c r="C359" s="899"/>
      <c r="D359" s="794"/>
      <c r="E359" s="924" t="s">
        <v>185</v>
      </c>
      <c r="F359" s="875"/>
      <c r="G359" s="900"/>
      <c r="H359" s="989"/>
      <c r="I359" s="900"/>
      <c r="J359" s="901"/>
      <c r="K359" s="942"/>
    </row>
    <row r="360" spans="1:11" ht="24">
      <c r="A360" s="788" t="s">
        <v>1595</v>
      </c>
      <c r="B360" s="982" t="s">
        <v>1596</v>
      </c>
      <c r="C360" s="899"/>
      <c r="D360" s="794"/>
      <c r="E360" s="924" t="s">
        <v>185</v>
      </c>
      <c r="F360" s="990"/>
      <c r="G360" s="900"/>
      <c r="H360" s="990"/>
      <c r="I360" s="900"/>
      <c r="J360" s="901"/>
      <c r="K360" s="942"/>
    </row>
    <row r="361" spans="1:11" ht="24">
      <c r="A361" s="788" t="s">
        <v>1597</v>
      </c>
      <c r="B361" s="982" t="s">
        <v>1598</v>
      </c>
      <c r="C361" s="899"/>
      <c r="D361" s="794"/>
      <c r="E361" s="924" t="s">
        <v>185</v>
      </c>
      <c r="F361" s="990"/>
      <c r="G361" s="900"/>
      <c r="H361" s="990"/>
      <c r="I361" s="900"/>
      <c r="J361" s="901"/>
      <c r="K361" s="942"/>
    </row>
    <row r="362" spans="1:11" ht="24">
      <c r="A362" s="788" t="s">
        <v>1599</v>
      </c>
      <c r="B362" s="982" t="s">
        <v>1600</v>
      </c>
      <c r="C362" s="899"/>
      <c r="D362" s="794"/>
      <c r="E362" s="924" t="s">
        <v>185</v>
      </c>
      <c r="F362" s="990"/>
      <c r="G362" s="900"/>
      <c r="H362" s="990"/>
      <c r="I362" s="900"/>
      <c r="J362" s="901"/>
      <c r="K362" s="942"/>
    </row>
    <row r="363" spans="1:11" ht="24">
      <c r="A363" s="788" t="s">
        <v>1601</v>
      </c>
      <c r="B363" s="982" t="s">
        <v>1602</v>
      </c>
      <c r="C363" s="899"/>
      <c r="D363" s="794"/>
      <c r="E363" s="924" t="s">
        <v>185</v>
      </c>
      <c r="F363" s="990"/>
      <c r="G363" s="900"/>
      <c r="H363" s="990"/>
      <c r="I363" s="900"/>
      <c r="J363" s="901"/>
      <c r="K363" s="942"/>
    </row>
    <row r="364" spans="1:11" ht="24">
      <c r="A364" s="796" t="s">
        <v>1603</v>
      </c>
      <c r="B364" s="991" t="s">
        <v>1604</v>
      </c>
      <c r="C364" s="946"/>
      <c r="D364" s="821"/>
      <c r="E364" s="947" t="s">
        <v>185</v>
      </c>
      <c r="F364" s="992"/>
      <c r="G364" s="948"/>
      <c r="H364" s="992"/>
      <c r="I364" s="948"/>
      <c r="J364" s="949"/>
      <c r="K364" s="950"/>
    </row>
    <row r="365" spans="1:11" ht="24">
      <c r="A365" s="825" t="s">
        <v>1605</v>
      </c>
      <c r="B365" s="993" t="s">
        <v>1606</v>
      </c>
      <c r="C365" s="966"/>
      <c r="D365" s="918"/>
      <c r="E365" s="952" t="s">
        <v>185</v>
      </c>
      <c r="F365" s="92"/>
      <c r="G365" s="920"/>
      <c r="H365" s="994"/>
      <c r="I365" s="920"/>
      <c r="J365" s="921"/>
      <c r="K365" s="959"/>
    </row>
    <row r="366" spans="1:11" ht="24">
      <c r="A366" s="788" t="s">
        <v>1607</v>
      </c>
      <c r="B366" s="898" t="s">
        <v>1485</v>
      </c>
      <c r="C366" s="899"/>
      <c r="D366" s="794"/>
      <c r="E366" s="789"/>
      <c r="F366" s="754"/>
      <c r="G366" s="900"/>
      <c r="H366" s="754"/>
      <c r="I366" s="900"/>
      <c r="J366" s="901"/>
      <c r="K366" s="942"/>
    </row>
    <row r="367" spans="1:11" ht="24">
      <c r="A367" s="883"/>
      <c r="B367" s="926" t="s">
        <v>1304</v>
      </c>
      <c r="C367" s="995" t="s">
        <v>1608</v>
      </c>
      <c r="D367" s="794"/>
      <c r="E367" s="789" t="s">
        <v>1109</v>
      </c>
      <c r="F367" s="990"/>
      <c r="G367" s="900"/>
      <c r="H367" s="990"/>
      <c r="I367" s="900"/>
      <c r="J367" s="901"/>
      <c r="K367" s="942"/>
    </row>
    <row r="368" spans="1:11" ht="24">
      <c r="A368" s="883"/>
      <c r="B368" s="926" t="s">
        <v>1304</v>
      </c>
      <c r="C368" s="995" t="s">
        <v>1609</v>
      </c>
      <c r="D368" s="794"/>
      <c r="E368" s="789" t="s">
        <v>1109</v>
      </c>
      <c r="F368" s="990"/>
      <c r="G368" s="900"/>
      <c r="H368" s="990"/>
      <c r="I368" s="900"/>
      <c r="J368" s="901"/>
      <c r="K368" s="942"/>
    </row>
    <row r="369" spans="1:11" ht="24">
      <c r="A369" s="883"/>
      <c r="B369" s="926" t="s">
        <v>1304</v>
      </c>
      <c r="C369" s="995" t="s">
        <v>1610</v>
      </c>
      <c r="D369" s="794"/>
      <c r="E369" s="789" t="s">
        <v>1109</v>
      </c>
      <c r="F369" s="875"/>
      <c r="G369" s="900"/>
      <c r="H369" s="875"/>
      <c r="I369" s="900"/>
      <c r="J369" s="901"/>
      <c r="K369" s="942"/>
    </row>
    <row r="370" spans="1:11" ht="24">
      <c r="A370" s="981"/>
      <c r="B370" s="951" t="s">
        <v>1304</v>
      </c>
      <c r="C370" s="996" t="s">
        <v>1611</v>
      </c>
      <c r="D370" s="794"/>
      <c r="E370" s="811" t="s">
        <v>1109</v>
      </c>
      <c r="F370" s="994"/>
      <c r="G370" s="920"/>
      <c r="H370" s="994"/>
      <c r="I370" s="920"/>
      <c r="J370" s="921"/>
      <c r="K370" s="941"/>
    </row>
    <row r="371" spans="1:11" ht="24">
      <c r="A371" s="883"/>
      <c r="B371" s="926" t="s">
        <v>1304</v>
      </c>
      <c r="C371" s="995" t="s">
        <v>1612</v>
      </c>
      <c r="D371" s="794"/>
      <c r="E371" s="789" t="s">
        <v>1109</v>
      </c>
      <c r="F371" s="997"/>
      <c r="G371" s="900"/>
      <c r="H371" s="875"/>
      <c r="I371" s="900"/>
      <c r="J371" s="901"/>
      <c r="K371" s="942"/>
    </row>
    <row r="372" spans="1:11" ht="24">
      <c r="A372" s="825" t="s">
        <v>1613</v>
      </c>
      <c r="B372" s="939" t="s">
        <v>1524</v>
      </c>
      <c r="C372" s="940"/>
      <c r="D372" s="794"/>
      <c r="E372" s="811"/>
      <c r="F372" s="812"/>
      <c r="G372" s="920"/>
      <c r="H372" s="812"/>
      <c r="I372" s="920"/>
      <c r="J372" s="921"/>
      <c r="K372" s="941"/>
    </row>
    <row r="373" spans="1:11" ht="24">
      <c r="A373" s="785"/>
      <c r="B373" s="926" t="s">
        <v>1304</v>
      </c>
      <c r="C373" s="899" t="s">
        <v>1509</v>
      </c>
      <c r="D373" s="794"/>
      <c r="E373" s="789" t="s">
        <v>1109</v>
      </c>
      <c r="F373" s="754"/>
      <c r="G373" s="900"/>
      <c r="H373" s="754"/>
      <c r="I373" s="900"/>
      <c r="J373" s="901"/>
      <c r="K373" s="942"/>
    </row>
    <row r="374" spans="1:11" ht="24">
      <c r="A374" s="785"/>
      <c r="B374" s="926" t="s">
        <v>1304</v>
      </c>
      <c r="C374" s="899" t="s">
        <v>1515</v>
      </c>
      <c r="D374" s="794"/>
      <c r="E374" s="789" t="s">
        <v>1112</v>
      </c>
      <c r="F374" s="754"/>
      <c r="G374" s="900"/>
      <c r="H374" s="754"/>
      <c r="I374" s="900"/>
      <c r="J374" s="901"/>
      <c r="K374" s="942"/>
    </row>
    <row r="375" spans="1:11" ht="24">
      <c r="A375" s="788" t="s">
        <v>1614</v>
      </c>
      <c r="B375" s="898" t="s">
        <v>1263</v>
      </c>
      <c r="C375" s="899"/>
      <c r="D375" s="794"/>
      <c r="E375" s="789"/>
      <c r="F375" s="754"/>
      <c r="G375" s="900"/>
      <c r="H375" s="754"/>
      <c r="I375" s="900"/>
      <c r="J375" s="901"/>
      <c r="K375" s="942"/>
    </row>
    <row r="376" spans="1:11" ht="24">
      <c r="A376" s="785"/>
      <c r="B376" s="926" t="s">
        <v>1304</v>
      </c>
      <c r="C376" s="899" t="s">
        <v>1509</v>
      </c>
      <c r="D376" s="794"/>
      <c r="E376" s="789" t="s">
        <v>1109</v>
      </c>
      <c r="F376" s="812"/>
      <c r="G376" s="900"/>
      <c r="H376" s="812"/>
      <c r="I376" s="900"/>
      <c r="J376" s="901"/>
      <c r="K376" s="942"/>
    </row>
    <row r="377" spans="1:11" ht="24">
      <c r="A377" s="785"/>
      <c r="B377" s="926" t="s">
        <v>1304</v>
      </c>
      <c r="C377" s="899" t="s">
        <v>1515</v>
      </c>
      <c r="D377" s="794"/>
      <c r="E377" s="789" t="s">
        <v>1112</v>
      </c>
      <c r="F377" s="754"/>
      <c r="G377" s="900"/>
      <c r="H377" s="754"/>
      <c r="I377" s="900"/>
      <c r="J377" s="901"/>
      <c r="K377" s="942"/>
    </row>
    <row r="378" spans="1:11" ht="24">
      <c r="A378" s="788" t="s">
        <v>1615</v>
      </c>
      <c r="B378" s="898" t="s">
        <v>1527</v>
      </c>
      <c r="C378" s="899"/>
      <c r="D378" s="794"/>
      <c r="E378" s="789"/>
      <c r="F378" s="754"/>
      <c r="G378" s="900"/>
      <c r="H378" s="754"/>
      <c r="I378" s="900"/>
      <c r="J378" s="901"/>
      <c r="K378" s="942"/>
    </row>
    <row r="379" spans="1:11" ht="24">
      <c r="A379" s="883"/>
      <c r="B379" s="926" t="s">
        <v>1304</v>
      </c>
      <c r="C379" s="899" t="s">
        <v>1509</v>
      </c>
      <c r="D379" s="794"/>
      <c r="E379" s="789" t="s">
        <v>1109</v>
      </c>
      <c r="F379" s="754"/>
      <c r="G379" s="900"/>
      <c r="H379" s="754"/>
      <c r="I379" s="900"/>
      <c r="J379" s="901"/>
      <c r="K379" s="942"/>
    </row>
    <row r="380" spans="1:11" ht="24">
      <c r="A380" s="883"/>
      <c r="B380" s="898" t="s">
        <v>1458</v>
      </c>
      <c r="C380" s="899"/>
      <c r="D380" s="794"/>
      <c r="E380" s="789"/>
      <c r="F380" s="754"/>
      <c r="G380" s="900"/>
      <c r="H380" s="754"/>
      <c r="I380" s="900"/>
      <c r="J380" s="901"/>
      <c r="K380" s="942"/>
    </row>
    <row r="381" spans="1:11" ht="24">
      <c r="A381" s="883"/>
      <c r="B381" s="898"/>
      <c r="C381" s="899"/>
      <c r="D381" s="794"/>
      <c r="E381" s="789"/>
      <c r="F381" s="754"/>
      <c r="G381" s="900"/>
      <c r="H381" s="754"/>
      <c r="I381" s="900"/>
      <c r="J381" s="901"/>
      <c r="K381" s="942"/>
    </row>
    <row r="382" spans="1:11" ht="24">
      <c r="A382" s="883"/>
      <c r="B382" s="898"/>
      <c r="C382" s="899"/>
      <c r="D382" s="794"/>
      <c r="E382" s="789"/>
      <c r="F382" s="754"/>
      <c r="G382" s="900"/>
      <c r="H382" s="754"/>
      <c r="I382" s="900"/>
      <c r="J382" s="901"/>
      <c r="K382" s="942"/>
    </row>
    <row r="383" spans="1:11" ht="24">
      <c r="A383" s="883"/>
      <c r="B383" s="898"/>
      <c r="C383" s="899"/>
      <c r="D383" s="794"/>
      <c r="E383" s="789"/>
      <c r="F383" s="754"/>
      <c r="G383" s="900"/>
      <c r="H383" s="754"/>
      <c r="I383" s="900"/>
      <c r="J383" s="901"/>
      <c r="K383" s="942"/>
    </row>
    <row r="384" spans="1:11" ht="24.75" thickBot="1">
      <c r="A384" s="883"/>
      <c r="B384" s="898"/>
      <c r="C384" s="899"/>
      <c r="D384" s="794"/>
      <c r="E384" s="789"/>
      <c r="F384" s="754"/>
      <c r="G384" s="900"/>
      <c r="H384" s="754"/>
      <c r="I384" s="900"/>
      <c r="J384" s="901"/>
      <c r="K384" s="942"/>
    </row>
    <row r="385" spans="1:11" ht="24.75" thickTop="1">
      <c r="A385" s="427"/>
      <c r="B385" s="2159" t="s">
        <v>1616</v>
      </c>
      <c r="C385" s="2160"/>
      <c r="D385" s="822"/>
      <c r="E385" s="760"/>
      <c r="F385" s="823"/>
      <c r="G385" s="928"/>
      <c r="H385" s="823"/>
      <c r="I385" s="928"/>
      <c r="J385" s="928"/>
      <c r="K385" s="953"/>
    </row>
    <row r="386" spans="1:11" ht="24">
      <c r="A386" s="829" t="s">
        <v>1617</v>
      </c>
      <c r="B386" s="930" t="s">
        <v>1618</v>
      </c>
      <c r="C386" s="899"/>
      <c r="D386" s="794"/>
      <c r="E386" s="789"/>
      <c r="F386" s="754"/>
      <c r="G386" s="900"/>
      <c r="H386" s="754"/>
      <c r="I386" s="900"/>
      <c r="J386" s="901"/>
      <c r="K386" s="942"/>
    </row>
    <row r="387" spans="1:11" ht="24">
      <c r="A387" s="788" t="s">
        <v>1619</v>
      </c>
      <c r="B387" s="898" t="s">
        <v>1620</v>
      </c>
      <c r="C387" s="899"/>
      <c r="D387" s="794"/>
      <c r="E387" s="924" t="s">
        <v>185</v>
      </c>
      <c r="F387" s="754"/>
      <c r="G387" s="900"/>
      <c r="H387" s="754"/>
      <c r="I387" s="900"/>
      <c r="J387" s="901"/>
      <c r="K387" s="942"/>
    </row>
    <row r="388" spans="1:11" ht="24">
      <c r="A388" s="788" t="s">
        <v>1621</v>
      </c>
      <c r="B388" s="898" t="s">
        <v>1622</v>
      </c>
      <c r="C388" s="899"/>
      <c r="D388" s="794"/>
      <c r="E388" s="789"/>
      <c r="F388" s="754"/>
      <c r="G388" s="900"/>
      <c r="H388" s="754"/>
      <c r="I388" s="900"/>
      <c r="J388" s="901"/>
      <c r="K388" s="942"/>
    </row>
    <row r="389" spans="1:11" ht="24">
      <c r="A389" s="785"/>
      <c r="B389" s="926" t="s">
        <v>1304</v>
      </c>
      <c r="C389" s="899" t="s">
        <v>1623</v>
      </c>
      <c r="D389" s="794"/>
      <c r="E389" s="924" t="s">
        <v>185</v>
      </c>
      <c r="F389" s="754"/>
      <c r="G389" s="900"/>
      <c r="H389" s="754"/>
      <c r="I389" s="900"/>
      <c r="J389" s="901"/>
      <c r="K389" s="942"/>
    </row>
    <row r="390" spans="1:11" ht="24">
      <c r="A390" s="788" t="s">
        <v>1624</v>
      </c>
      <c r="B390" s="898" t="s">
        <v>1625</v>
      </c>
      <c r="C390" s="899"/>
      <c r="D390" s="794"/>
      <c r="E390" s="789"/>
      <c r="F390" s="754"/>
      <c r="G390" s="900"/>
      <c r="H390" s="754"/>
      <c r="I390" s="900"/>
      <c r="J390" s="901"/>
      <c r="K390" s="942"/>
    </row>
    <row r="391" spans="1:11" ht="24">
      <c r="A391" s="785"/>
      <c r="B391" s="926" t="s">
        <v>1304</v>
      </c>
      <c r="C391" s="899" t="s">
        <v>1626</v>
      </c>
      <c r="D391" s="794"/>
      <c r="E391" s="789" t="s">
        <v>1109</v>
      </c>
      <c r="F391" s="754"/>
      <c r="G391" s="900"/>
      <c r="H391" s="754"/>
      <c r="I391" s="900"/>
      <c r="J391" s="901"/>
      <c r="K391" s="942"/>
    </row>
    <row r="392" spans="1:11" ht="24">
      <c r="A392" s="807" t="s">
        <v>1627</v>
      </c>
      <c r="B392" s="939" t="s">
        <v>1524</v>
      </c>
      <c r="C392" s="940"/>
      <c r="D392" s="810"/>
      <c r="E392" s="811"/>
      <c r="F392" s="812"/>
      <c r="G392" s="920"/>
      <c r="H392" s="812"/>
      <c r="I392" s="920"/>
      <c r="J392" s="921"/>
      <c r="K392" s="941"/>
    </row>
    <row r="393" spans="1:11" ht="24">
      <c r="A393" s="785"/>
      <c r="B393" s="926" t="s">
        <v>1304</v>
      </c>
      <c r="C393" s="899" t="s">
        <v>1509</v>
      </c>
      <c r="D393" s="794"/>
      <c r="E393" s="789" t="s">
        <v>1109</v>
      </c>
      <c r="F393" s="754"/>
      <c r="G393" s="900"/>
      <c r="H393" s="754"/>
      <c r="I393" s="900"/>
      <c r="J393" s="901"/>
      <c r="K393" s="942"/>
    </row>
    <row r="394" spans="1:11" ht="24">
      <c r="A394" s="785"/>
      <c r="B394" s="926" t="s">
        <v>1304</v>
      </c>
      <c r="C394" s="899" t="s">
        <v>1515</v>
      </c>
      <c r="D394" s="794"/>
      <c r="E394" s="789" t="s">
        <v>1112</v>
      </c>
      <c r="F394" s="754"/>
      <c r="G394" s="900"/>
      <c r="H394" s="754"/>
      <c r="I394" s="900"/>
      <c r="J394" s="901"/>
      <c r="K394" s="942"/>
    </row>
    <row r="395" spans="1:11" ht="24">
      <c r="A395" s="807" t="s">
        <v>1628</v>
      </c>
      <c r="B395" s="939" t="s">
        <v>1263</v>
      </c>
      <c r="C395" s="940"/>
      <c r="D395" s="810"/>
      <c r="E395" s="811"/>
      <c r="F395" s="812"/>
      <c r="G395" s="920"/>
      <c r="H395" s="812"/>
      <c r="I395" s="920"/>
      <c r="J395" s="921"/>
      <c r="K395" s="941"/>
    </row>
    <row r="396" spans="1:11" ht="24">
      <c r="A396" s="785"/>
      <c r="B396" s="926" t="s">
        <v>1304</v>
      </c>
      <c r="C396" s="899" t="s">
        <v>1509</v>
      </c>
      <c r="D396" s="794"/>
      <c r="E396" s="789" t="s">
        <v>1109</v>
      </c>
      <c r="F396" s="812"/>
      <c r="G396" s="900"/>
      <c r="H396" s="812"/>
      <c r="I396" s="900"/>
      <c r="J396" s="901"/>
      <c r="K396" s="942"/>
    </row>
    <row r="397" spans="1:11" ht="24">
      <c r="A397" s="785"/>
      <c r="B397" s="926" t="s">
        <v>1304</v>
      </c>
      <c r="C397" s="899" t="s">
        <v>1515</v>
      </c>
      <c r="D397" s="794"/>
      <c r="E397" s="789" t="s">
        <v>1112</v>
      </c>
      <c r="F397" s="754"/>
      <c r="G397" s="900"/>
      <c r="H397" s="754"/>
      <c r="I397" s="900"/>
      <c r="J397" s="901"/>
      <c r="K397" s="942"/>
    </row>
    <row r="398" spans="1:11" ht="24">
      <c r="A398" s="785"/>
      <c r="B398" s="898" t="s">
        <v>1565</v>
      </c>
      <c r="C398" s="899"/>
      <c r="D398" s="794"/>
      <c r="E398" s="789" t="s">
        <v>1112</v>
      </c>
      <c r="F398" s="754"/>
      <c r="G398" s="900"/>
      <c r="H398" s="754"/>
      <c r="I398" s="900"/>
      <c r="J398" s="901"/>
      <c r="K398" s="942"/>
    </row>
    <row r="399" spans="1:11" ht="24">
      <c r="A399" s="785"/>
      <c r="B399" s="898" t="s">
        <v>1458</v>
      </c>
      <c r="C399" s="899"/>
      <c r="D399" s="794"/>
      <c r="E399" s="789"/>
      <c r="F399" s="754"/>
      <c r="G399" s="900"/>
      <c r="H399" s="754"/>
      <c r="I399" s="900"/>
      <c r="J399" s="901"/>
      <c r="K399" s="942"/>
    </row>
    <row r="400" spans="1:11" ht="24.75" thickBot="1">
      <c r="A400" s="883"/>
      <c r="B400" s="898"/>
      <c r="C400" s="899"/>
      <c r="D400" s="794"/>
      <c r="E400" s="789"/>
      <c r="F400" s="754"/>
      <c r="G400" s="900"/>
      <c r="H400" s="754"/>
      <c r="I400" s="900"/>
      <c r="J400" s="901"/>
      <c r="K400" s="942"/>
    </row>
    <row r="401" spans="1:11" ht="24.75" thickTop="1">
      <c r="A401" s="427"/>
      <c r="B401" s="2159" t="s">
        <v>1629</v>
      </c>
      <c r="C401" s="2160"/>
      <c r="D401" s="822"/>
      <c r="E401" s="760"/>
      <c r="F401" s="823"/>
      <c r="G401" s="928"/>
      <c r="H401" s="823"/>
      <c r="I401" s="928"/>
      <c r="J401" s="928"/>
      <c r="K401" s="953"/>
    </row>
    <row r="402" spans="1:11" ht="24">
      <c r="A402" s="829" t="s">
        <v>1630</v>
      </c>
      <c r="B402" s="998" t="s">
        <v>1631</v>
      </c>
      <c r="C402" s="999"/>
      <c r="D402" s="794"/>
      <c r="E402" s="789"/>
      <c r="F402" s="754"/>
      <c r="G402" s="900"/>
      <c r="H402" s="754"/>
      <c r="I402" s="900"/>
      <c r="J402" s="901"/>
      <c r="K402" s="942"/>
    </row>
    <row r="403" spans="1:11" ht="24">
      <c r="A403" s="788" t="s">
        <v>1632</v>
      </c>
      <c r="B403" s="898" t="s">
        <v>1633</v>
      </c>
      <c r="C403" s="899"/>
      <c r="D403" s="794"/>
      <c r="E403" s="924" t="s">
        <v>185</v>
      </c>
      <c r="F403" s="754"/>
      <c r="G403" s="900"/>
      <c r="H403" s="754"/>
      <c r="I403" s="900"/>
      <c r="J403" s="901"/>
      <c r="K403" s="942"/>
    </row>
    <row r="404" spans="1:11" ht="24">
      <c r="A404" s="788" t="s">
        <v>1634</v>
      </c>
      <c r="B404" s="898" t="s">
        <v>1635</v>
      </c>
      <c r="C404" s="899"/>
      <c r="D404" s="794"/>
      <c r="E404" s="924" t="s">
        <v>185</v>
      </c>
      <c r="F404" s="754"/>
      <c r="G404" s="900"/>
      <c r="H404" s="754"/>
      <c r="I404" s="900"/>
      <c r="J404" s="901"/>
      <c r="K404" s="942"/>
    </row>
    <row r="405" spans="1:11" ht="24">
      <c r="A405" s="1000" t="s">
        <v>1636</v>
      </c>
      <c r="B405" s="986" t="s">
        <v>1637</v>
      </c>
      <c r="C405" s="986"/>
      <c r="D405" s="987"/>
      <c r="E405" s="988"/>
      <c r="F405" s="1001"/>
      <c r="G405" s="853"/>
      <c r="H405" s="1001"/>
      <c r="I405" s="853"/>
      <c r="J405" s="1002"/>
      <c r="K405" s="942"/>
    </row>
    <row r="406" spans="1:11" ht="24">
      <c r="A406" s="1003"/>
      <c r="B406" s="1004" t="s">
        <v>1304</v>
      </c>
      <c r="C406" s="1005" t="s">
        <v>1638</v>
      </c>
      <c r="D406" s="1006"/>
      <c r="E406" s="1007" t="s">
        <v>185</v>
      </c>
      <c r="F406" s="802"/>
      <c r="G406" s="948"/>
      <c r="H406" s="802"/>
      <c r="I406" s="948"/>
      <c r="J406" s="949"/>
      <c r="K406" s="950"/>
    </row>
    <row r="407" spans="1:11" ht="24">
      <c r="A407" s="825" t="s">
        <v>1639</v>
      </c>
      <c r="B407" s="939" t="s">
        <v>1640</v>
      </c>
      <c r="C407" s="940"/>
      <c r="D407" s="810"/>
      <c r="E407" s="811"/>
      <c r="F407" s="812"/>
      <c r="G407" s="920"/>
      <c r="H407" s="812"/>
      <c r="I407" s="920"/>
      <c r="J407" s="921"/>
      <c r="K407" s="941"/>
    </row>
    <row r="408" spans="1:11" ht="24">
      <c r="A408" s="785"/>
      <c r="B408" s="926" t="s">
        <v>1304</v>
      </c>
      <c r="C408" s="899" t="s">
        <v>1641</v>
      </c>
      <c r="D408" s="794"/>
      <c r="E408" s="924" t="s">
        <v>185</v>
      </c>
      <c r="F408" s="754"/>
      <c r="G408" s="900"/>
      <c r="H408" s="754"/>
      <c r="I408" s="900"/>
      <c r="J408" s="901"/>
      <c r="K408" s="942"/>
    </row>
    <row r="409" spans="1:11" ht="24">
      <c r="A409" s="788" t="s">
        <v>1642</v>
      </c>
      <c r="B409" s="1008" t="s">
        <v>1643</v>
      </c>
      <c r="C409" s="899"/>
      <c r="D409" s="987"/>
      <c r="E409" s="988" t="s">
        <v>185</v>
      </c>
      <c r="F409" s="754"/>
      <c r="G409" s="900"/>
      <c r="H409" s="754"/>
      <c r="I409" s="900"/>
      <c r="J409" s="901"/>
      <c r="K409" s="942"/>
    </row>
    <row r="410" spans="1:11" ht="24">
      <c r="A410" s="788" t="s">
        <v>1644</v>
      </c>
      <c r="B410" s="898" t="s">
        <v>1645</v>
      </c>
      <c r="C410" s="899"/>
      <c r="D410" s="794"/>
      <c r="E410" s="924" t="s">
        <v>185</v>
      </c>
      <c r="F410" s="754"/>
      <c r="G410" s="900"/>
      <c r="H410" s="754"/>
      <c r="I410" s="900"/>
      <c r="J410" s="901"/>
      <c r="K410" s="942"/>
    </row>
    <row r="411" spans="1:11" ht="24">
      <c r="A411" s="788" t="s">
        <v>1646</v>
      </c>
      <c r="B411" s="898" t="s">
        <v>1647</v>
      </c>
      <c r="C411" s="899"/>
      <c r="D411" s="794"/>
      <c r="E411" s="789"/>
      <c r="F411" s="754"/>
      <c r="G411" s="900"/>
      <c r="H411" s="754"/>
      <c r="I411" s="900"/>
      <c r="J411" s="901"/>
      <c r="K411" s="942"/>
    </row>
    <row r="412" spans="1:11" ht="24">
      <c r="A412" s="788"/>
      <c r="B412" s="926" t="s">
        <v>1304</v>
      </c>
      <c r="C412" s="899" t="s">
        <v>1648</v>
      </c>
      <c r="D412" s="357"/>
      <c r="E412" s="924" t="s">
        <v>185</v>
      </c>
      <c r="F412" s="754"/>
      <c r="G412" s="900"/>
      <c r="H412" s="754"/>
      <c r="I412" s="900"/>
      <c r="J412" s="901"/>
      <c r="K412" s="942"/>
    </row>
    <row r="413" spans="1:11" ht="24">
      <c r="A413" s="807"/>
      <c r="B413" s="951" t="s">
        <v>1304</v>
      </c>
      <c r="C413" s="940" t="s">
        <v>1649</v>
      </c>
      <c r="D413" s="810"/>
      <c r="E413" s="952" t="s">
        <v>185</v>
      </c>
      <c r="F413" s="812"/>
      <c r="G413" s="920"/>
      <c r="H413" s="812"/>
      <c r="I413" s="920"/>
      <c r="J413" s="921"/>
      <c r="K413" s="941"/>
    </row>
    <row r="414" spans="1:11" ht="24">
      <c r="A414" s="785" t="s">
        <v>1650</v>
      </c>
      <c r="B414" s="1008" t="s">
        <v>1651</v>
      </c>
      <c r="C414" s="986"/>
      <c r="D414" s="794"/>
      <c r="E414" s="924"/>
      <c r="F414" s="754"/>
      <c r="G414" s="900"/>
      <c r="H414" s="754"/>
      <c r="I414" s="900"/>
      <c r="J414" s="901"/>
      <c r="K414" s="942"/>
    </row>
    <row r="415" spans="1:11" ht="24">
      <c r="A415" s="883"/>
      <c r="B415" s="1009" t="s">
        <v>134</v>
      </c>
      <c r="C415" s="986" t="s">
        <v>1652</v>
      </c>
      <c r="D415" s="987"/>
      <c r="E415" s="988" t="s">
        <v>1109</v>
      </c>
      <c r="F415" s="754"/>
      <c r="G415" s="900"/>
      <c r="H415" s="754"/>
      <c r="I415" s="900"/>
      <c r="J415" s="901"/>
      <c r="K415" s="942"/>
    </row>
    <row r="416" spans="1:11" ht="24">
      <c r="A416" s="788" t="s">
        <v>1653</v>
      </c>
      <c r="B416" s="898" t="s">
        <v>1654</v>
      </c>
      <c r="C416" s="899"/>
      <c r="D416" s="794"/>
      <c r="E416" s="789"/>
      <c r="F416" s="754"/>
      <c r="G416" s="900"/>
      <c r="H416" s="754"/>
      <c r="I416" s="900"/>
      <c r="J416" s="901"/>
      <c r="K416" s="942"/>
    </row>
    <row r="417" spans="1:11" ht="24">
      <c r="A417" s="785"/>
      <c r="B417" s="926" t="s">
        <v>1304</v>
      </c>
      <c r="C417" s="899" t="s">
        <v>1655</v>
      </c>
      <c r="D417" s="987"/>
      <c r="E417" s="789" t="s">
        <v>1109</v>
      </c>
      <c r="F417" s="754"/>
      <c r="G417" s="900"/>
      <c r="H417" s="754"/>
      <c r="I417" s="900"/>
      <c r="J417" s="901"/>
      <c r="K417" s="942"/>
    </row>
    <row r="418" spans="1:11" ht="24">
      <c r="A418" s="825" t="s">
        <v>1656</v>
      </c>
      <c r="B418" s="939" t="s">
        <v>1524</v>
      </c>
      <c r="C418" s="940"/>
      <c r="D418" s="810"/>
      <c r="E418" s="811"/>
      <c r="F418" s="812"/>
      <c r="G418" s="920"/>
      <c r="H418" s="812"/>
      <c r="I418" s="920"/>
      <c r="J418" s="921"/>
      <c r="K418" s="941"/>
    </row>
    <row r="419" spans="1:11" ht="24">
      <c r="A419" s="785"/>
      <c r="B419" s="926" t="s">
        <v>1304</v>
      </c>
      <c r="C419" s="899" t="s">
        <v>1509</v>
      </c>
      <c r="D419" s="987"/>
      <c r="E419" s="789" t="s">
        <v>1109</v>
      </c>
      <c r="F419" s="754"/>
      <c r="G419" s="900"/>
      <c r="H419" s="754"/>
      <c r="I419" s="900"/>
      <c r="J419" s="901"/>
      <c r="K419" s="942"/>
    </row>
    <row r="420" spans="1:11" ht="24">
      <c r="A420" s="785"/>
      <c r="B420" s="926" t="s">
        <v>1304</v>
      </c>
      <c r="C420" s="899" t="s">
        <v>1515</v>
      </c>
      <c r="D420" s="794"/>
      <c r="E420" s="789" t="s">
        <v>1112</v>
      </c>
      <c r="F420" s="754"/>
      <c r="G420" s="900"/>
      <c r="H420" s="754"/>
      <c r="I420" s="900"/>
      <c r="J420" s="901"/>
      <c r="K420" s="942"/>
    </row>
    <row r="421" spans="1:11" ht="24">
      <c r="A421" s="825" t="s">
        <v>1657</v>
      </c>
      <c r="B421" s="939" t="s">
        <v>1263</v>
      </c>
      <c r="C421" s="940"/>
      <c r="D421" s="810"/>
      <c r="E421" s="811"/>
      <c r="F421" s="812"/>
      <c r="G421" s="920"/>
      <c r="H421" s="812"/>
      <c r="I421" s="920"/>
      <c r="J421" s="921"/>
      <c r="K421" s="941"/>
    </row>
    <row r="422" spans="1:11" ht="24">
      <c r="A422" s="785"/>
      <c r="B422" s="926" t="s">
        <v>1304</v>
      </c>
      <c r="C422" s="899" t="s">
        <v>1509</v>
      </c>
      <c r="D422" s="987"/>
      <c r="E422" s="789" t="s">
        <v>1109</v>
      </c>
      <c r="F422" s="812"/>
      <c r="G422" s="900"/>
      <c r="H422" s="812"/>
      <c r="I422" s="900"/>
      <c r="J422" s="901"/>
      <c r="K422" s="942"/>
    </row>
    <row r="423" spans="1:11" ht="24">
      <c r="A423" s="883"/>
      <c r="B423" s="926" t="s">
        <v>1304</v>
      </c>
      <c r="C423" s="899" t="s">
        <v>1515</v>
      </c>
      <c r="D423" s="794"/>
      <c r="E423" s="789" t="s">
        <v>1112</v>
      </c>
      <c r="F423" s="754"/>
      <c r="G423" s="900"/>
      <c r="H423" s="754"/>
      <c r="I423" s="900"/>
      <c r="J423" s="901"/>
      <c r="K423" s="942"/>
    </row>
    <row r="424" spans="1:11" ht="24">
      <c r="A424" s="883" t="s">
        <v>1658</v>
      </c>
      <c r="B424" s="1008" t="s">
        <v>1659</v>
      </c>
      <c r="C424" s="899"/>
      <c r="D424" s="987"/>
      <c r="E424" s="789" t="s">
        <v>185</v>
      </c>
      <c r="F424" s="754"/>
      <c r="G424" s="900"/>
      <c r="H424" s="754"/>
      <c r="I424" s="900"/>
      <c r="J424" s="901"/>
      <c r="K424" s="942"/>
    </row>
    <row r="425" spans="1:11" ht="24">
      <c r="A425" s="883" t="s">
        <v>1660</v>
      </c>
      <c r="B425" s="1008" t="s">
        <v>1661</v>
      </c>
      <c r="C425" s="899"/>
      <c r="D425" s="987"/>
      <c r="E425" s="789" t="s">
        <v>1112</v>
      </c>
      <c r="F425" s="754"/>
      <c r="G425" s="900"/>
      <c r="H425" s="754"/>
      <c r="I425" s="900"/>
      <c r="J425" s="901"/>
      <c r="K425" s="942"/>
    </row>
    <row r="426" spans="1:11" ht="24.75" thickBot="1">
      <c r="A426" s="883"/>
      <c r="B426" s="898"/>
      <c r="C426" s="899"/>
      <c r="D426" s="794"/>
      <c r="E426" s="789"/>
      <c r="F426" s="754"/>
      <c r="G426" s="900"/>
      <c r="H426" s="754"/>
      <c r="I426" s="900"/>
      <c r="J426" s="901"/>
      <c r="K426" s="942"/>
    </row>
    <row r="427" spans="1:11" ht="24.75" thickTop="1">
      <c r="A427" s="427"/>
      <c r="B427" s="2159" t="s">
        <v>1662</v>
      </c>
      <c r="C427" s="2160"/>
      <c r="D427" s="822"/>
      <c r="E427" s="760"/>
      <c r="F427" s="823"/>
      <c r="G427" s="928"/>
      <c r="H427" s="823"/>
      <c r="I427" s="928"/>
      <c r="J427" s="928"/>
      <c r="K427" s="953"/>
    </row>
    <row r="428" spans="1:11" ht="24">
      <c r="A428" s="829" t="s">
        <v>1663</v>
      </c>
      <c r="B428" s="930" t="s">
        <v>1664</v>
      </c>
      <c r="C428" s="899"/>
      <c r="D428" s="794"/>
      <c r="E428" s="789"/>
      <c r="F428" s="754"/>
      <c r="G428" s="900"/>
      <c r="H428" s="754"/>
      <c r="I428" s="900"/>
      <c r="J428" s="901"/>
      <c r="K428" s="942"/>
    </row>
    <row r="429" spans="1:11" ht="24">
      <c r="A429" s="788" t="s">
        <v>1665</v>
      </c>
      <c r="B429" s="898" t="s">
        <v>1666</v>
      </c>
      <c r="C429" s="899"/>
      <c r="D429" s="794"/>
      <c r="E429" s="924" t="s">
        <v>185</v>
      </c>
      <c r="F429" s="754"/>
      <c r="G429" s="900"/>
      <c r="H429" s="754"/>
      <c r="I429" s="900"/>
      <c r="J429" s="901"/>
      <c r="K429" s="942"/>
    </row>
    <row r="430" spans="1:11" ht="24">
      <c r="A430" s="788" t="s">
        <v>1667</v>
      </c>
      <c r="B430" s="898" t="s">
        <v>1668</v>
      </c>
      <c r="C430" s="899"/>
      <c r="D430" s="794"/>
      <c r="E430" s="924" t="s">
        <v>185</v>
      </c>
      <c r="F430" s="1010"/>
      <c r="G430" s="900"/>
      <c r="H430" s="1011"/>
      <c r="I430" s="900"/>
      <c r="J430" s="901"/>
      <c r="K430" s="942"/>
    </row>
    <row r="431" spans="1:11" ht="24">
      <c r="A431" s="788" t="s">
        <v>1669</v>
      </c>
      <c r="B431" s="898" t="s">
        <v>1670</v>
      </c>
      <c r="C431" s="899"/>
      <c r="D431" s="794"/>
      <c r="E431" s="924" t="s">
        <v>185</v>
      </c>
      <c r="F431" s="754"/>
      <c r="G431" s="900"/>
      <c r="H431" s="754"/>
      <c r="I431" s="900"/>
      <c r="J431" s="901"/>
      <c r="K431" s="942"/>
    </row>
    <row r="432" spans="1:11" ht="24">
      <c r="A432" s="788" t="s">
        <v>1671</v>
      </c>
      <c r="B432" s="898" t="s">
        <v>1672</v>
      </c>
      <c r="C432" s="899"/>
      <c r="D432" s="794"/>
      <c r="E432" s="924" t="s">
        <v>185</v>
      </c>
      <c r="F432" s="754"/>
      <c r="G432" s="900"/>
      <c r="H432" s="754"/>
      <c r="I432" s="900"/>
      <c r="J432" s="901"/>
      <c r="K432" s="942"/>
    </row>
    <row r="433" spans="1:11" ht="24">
      <c r="A433" s="825" t="s">
        <v>1673</v>
      </c>
      <c r="B433" s="939" t="s">
        <v>1674</v>
      </c>
      <c r="C433" s="940"/>
      <c r="D433" s="810"/>
      <c r="E433" s="952" t="s">
        <v>185</v>
      </c>
      <c r="F433" s="812"/>
      <c r="G433" s="920"/>
      <c r="H433" s="812"/>
      <c r="I433" s="920"/>
      <c r="J433" s="921"/>
      <c r="K433" s="941"/>
    </row>
    <row r="434" spans="1:11" ht="24">
      <c r="A434" s="788" t="s">
        <v>1675</v>
      </c>
      <c r="B434" s="927" t="s">
        <v>1676</v>
      </c>
      <c r="C434" s="904"/>
      <c r="D434" s="831"/>
      <c r="E434" s="924" t="s">
        <v>185</v>
      </c>
      <c r="F434" s="819"/>
      <c r="G434" s="900"/>
      <c r="H434" s="819"/>
      <c r="I434" s="900"/>
      <c r="J434" s="901"/>
      <c r="K434" s="938"/>
    </row>
    <row r="435" spans="1:11" ht="24">
      <c r="A435" s="788" t="s">
        <v>1677</v>
      </c>
      <c r="B435" s="898" t="s">
        <v>1678</v>
      </c>
      <c r="C435" s="899"/>
      <c r="D435" s="794"/>
      <c r="E435" s="924"/>
      <c r="F435" s="754"/>
      <c r="G435" s="900"/>
      <c r="H435" s="754"/>
      <c r="I435" s="900"/>
      <c r="J435" s="901"/>
      <c r="K435" s="942"/>
    </row>
    <row r="436" spans="1:11" ht="24">
      <c r="A436" s="785"/>
      <c r="B436" s="926" t="s">
        <v>1304</v>
      </c>
      <c r="C436" s="1012" t="s">
        <v>1679</v>
      </c>
      <c r="D436" s="794"/>
      <c r="E436" s="924" t="s">
        <v>185</v>
      </c>
      <c r="F436" s="754"/>
      <c r="G436" s="900"/>
      <c r="H436" s="754"/>
      <c r="I436" s="900"/>
      <c r="J436" s="901"/>
      <c r="K436" s="942"/>
    </row>
    <row r="437" spans="1:11" ht="24">
      <c r="A437" s="785"/>
      <c r="B437" s="926" t="s">
        <v>1304</v>
      </c>
      <c r="C437" s="1012" t="s">
        <v>1680</v>
      </c>
      <c r="D437" s="794"/>
      <c r="E437" s="924" t="s">
        <v>185</v>
      </c>
      <c r="F437" s="754"/>
      <c r="G437" s="900"/>
      <c r="H437" s="754"/>
      <c r="I437" s="900"/>
      <c r="J437" s="901"/>
      <c r="K437" s="942"/>
    </row>
    <row r="438" spans="1:11" ht="24">
      <c r="A438" s="825" t="s">
        <v>1681</v>
      </c>
      <c r="B438" s="939" t="s">
        <v>1524</v>
      </c>
      <c r="C438" s="940"/>
      <c r="D438" s="810"/>
      <c r="E438" s="811"/>
      <c r="F438" s="812"/>
      <c r="G438" s="920"/>
      <c r="H438" s="812"/>
      <c r="I438" s="920"/>
      <c r="J438" s="921"/>
      <c r="K438" s="941"/>
    </row>
    <row r="439" spans="1:11" ht="24">
      <c r="A439" s="785"/>
      <c r="B439" s="926" t="s">
        <v>1304</v>
      </c>
      <c r="C439" s="899" t="s">
        <v>1509</v>
      </c>
      <c r="D439" s="794"/>
      <c r="E439" s="789" t="s">
        <v>1109</v>
      </c>
      <c r="F439" s="754"/>
      <c r="G439" s="900"/>
      <c r="H439" s="754"/>
      <c r="I439" s="900"/>
      <c r="J439" s="901"/>
      <c r="K439" s="942"/>
    </row>
    <row r="440" spans="1:11" ht="24">
      <c r="A440" s="785"/>
      <c r="B440" s="926" t="s">
        <v>1304</v>
      </c>
      <c r="C440" s="899" t="s">
        <v>1515</v>
      </c>
      <c r="D440" s="794"/>
      <c r="E440" s="789" t="s">
        <v>1112</v>
      </c>
      <c r="F440" s="754"/>
      <c r="G440" s="900"/>
      <c r="H440" s="754"/>
      <c r="I440" s="900"/>
      <c r="J440" s="901"/>
      <c r="K440" s="942"/>
    </row>
    <row r="441" spans="1:11" ht="24">
      <c r="A441" s="825" t="s">
        <v>1682</v>
      </c>
      <c r="B441" s="939" t="s">
        <v>1263</v>
      </c>
      <c r="C441" s="940"/>
      <c r="D441" s="810"/>
      <c r="E441" s="811"/>
      <c r="F441" s="812"/>
      <c r="G441" s="920"/>
      <c r="H441" s="812"/>
      <c r="I441" s="920"/>
      <c r="J441" s="921"/>
      <c r="K441" s="941"/>
    </row>
    <row r="442" spans="1:11" ht="24">
      <c r="A442" s="785"/>
      <c r="B442" s="926" t="s">
        <v>1304</v>
      </c>
      <c r="C442" s="899" t="s">
        <v>1509</v>
      </c>
      <c r="D442" s="794"/>
      <c r="E442" s="789" t="s">
        <v>1109</v>
      </c>
      <c r="F442" s="812"/>
      <c r="G442" s="900"/>
      <c r="H442" s="812"/>
      <c r="I442" s="900"/>
      <c r="J442" s="901"/>
      <c r="K442" s="942"/>
    </row>
    <row r="443" spans="1:11" ht="24">
      <c r="A443" s="785"/>
      <c r="B443" s="926" t="s">
        <v>1304</v>
      </c>
      <c r="C443" s="899" t="s">
        <v>1515</v>
      </c>
      <c r="D443" s="794"/>
      <c r="E443" s="789" t="s">
        <v>1112</v>
      </c>
      <c r="F443" s="754"/>
      <c r="G443" s="900"/>
      <c r="H443" s="754"/>
      <c r="I443" s="900"/>
      <c r="J443" s="901"/>
      <c r="K443" s="942"/>
    </row>
    <row r="444" spans="1:11" ht="24.75" thickBot="1">
      <c r="A444" s="785"/>
      <c r="B444" s="898"/>
      <c r="C444" s="899"/>
      <c r="D444" s="794"/>
      <c r="E444" s="789"/>
      <c r="F444" s="754"/>
      <c r="G444" s="900"/>
      <c r="H444" s="754"/>
      <c r="I444" s="900"/>
      <c r="J444" s="901"/>
      <c r="K444" s="942"/>
    </row>
    <row r="445" spans="1:11" ht="24.75" thickTop="1">
      <c r="A445" s="427"/>
      <c r="B445" s="2159" t="s">
        <v>1683</v>
      </c>
      <c r="C445" s="2160"/>
      <c r="D445" s="822"/>
      <c r="E445" s="760"/>
      <c r="F445" s="823"/>
      <c r="G445" s="928"/>
      <c r="H445" s="823"/>
      <c r="I445" s="928"/>
      <c r="J445" s="928"/>
      <c r="K445" s="953"/>
    </row>
    <row r="446" spans="1:11" ht="24">
      <c r="A446" s="829" t="s">
        <v>1684</v>
      </c>
      <c r="B446" s="1013" t="s">
        <v>1296</v>
      </c>
      <c r="C446" s="899"/>
      <c r="D446" s="794"/>
      <c r="E446" s="789" t="s">
        <v>1112</v>
      </c>
      <c r="F446" s="754"/>
      <c r="G446" s="900"/>
      <c r="H446" s="754"/>
      <c r="I446" s="900"/>
      <c r="J446" s="901"/>
      <c r="K446" s="942"/>
    </row>
    <row r="447" spans="1:11" ht="24.75" thickBot="1">
      <c r="A447" s="883"/>
      <c r="B447" s="898"/>
      <c r="C447" s="899"/>
      <c r="D447" s="794"/>
      <c r="E447" s="789"/>
      <c r="F447" s="754"/>
      <c r="G447" s="900"/>
      <c r="H447" s="754"/>
      <c r="I447" s="900"/>
      <c r="J447" s="901"/>
      <c r="K447" s="942"/>
    </row>
    <row r="448" spans="1:11" ht="24.75" thickTop="1">
      <c r="A448" s="427"/>
      <c r="B448" s="2159" t="s">
        <v>1685</v>
      </c>
      <c r="C448" s="2160"/>
      <c r="D448" s="822"/>
      <c r="E448" s="760"/>
      <c r="F448" s="823"/>
      <c r="G448" s="928"/>
      <c r="H448" s="823"/>
      <c r="I448" s="928"/>
      <c r="J448" s="928"/>
      <c r="K448" s="953"/>
    </row>
  </sheetData>
  <mergeCells count="30">
    <mergeCell ref="J4:K4"/>
    <mergeCell ref="C6:E6"/>
    <mergeCell ref="K6:K7"/>
    <mergeCell ref="A8:A9"/>
    <mergeCell ref="B8:C9"/>
    <mergeCell ref="D8:D9"/>
    <mergeCell ref="E8:E9"/>
    <mergeCell ref="F8:G8"/>
    <mergeCell ref="H8:I8"/>
    <mergeCell ref="K8:K9"/>
    <mergeCell ref="B313:C313"/>
    <mergeCell ref="B30:C30"/>
    <mergeCell ref="B50:C50"/>
    <mergeCell ref="B57:C57"/>
    <mergeCell ref="B70:C70"/>
    <mergeCell ref="B99:C99"/>
    <mergeCell ref="B120:C120"/>
    <mergeCell ref="B187:C187"/>
    <mergeCell ref="B221:C221"/>
    <mergeCell ref="B229:C229"/>
    <mergeCell ref="B259:C259"/>
    <mergeCell ref="B283:C283"/>
    <mergeCell ref="B445:C445"/>
    <mergeCell ref="B448:C448"/>
    <mergeCell ref="B322:C322"/>
    <mergeCell ref="B339:C339"/>
    <mergeCell ref="B354:C354"/>
    <mergeCell ref="B385:C385"/>
    <mergeCell ref="B401:C401"/>
    <mergeCell ref="B427:C427"/>
  </mergeCells>
  <printOptions horizontalCentered="1"/>
  <pageMargins left="0" right="0" top="0.39370078740157483" bottom="0.47244094488188981" header="0.35433070866141736" footer="0.15748031496062992"/>
  <pageSetup paperSize="9" scale="80" orientation="landscape" r:id="rId1"/>
  <headerFooter>
    <oddHeader xml:space="preserve">&amp;Rแผ่นที่ &amp;P ใน &amp;N แผ่น            </oddHeader>
    <oddFooter xml:space="preserve">&amp;Rงานระบบไฟฟ้า-สื่อสาร - อาคารส่วนบริการและกิจกรรม               </oddFooter>
  </headerFooter>
  <rowBreaks count="2" manualBreakCount="2">
    <brk id="50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showGridLines="0" view="pageBreakPreview" zoomScaleSheetLayoutView="100" workbookViewId="0">
      <selection activeCell="C17" sqref="C17"/>
    </sheetView>
  </sheetViews>
  <sheetFormatPr defaultRowHeight="18" customHeight="1"/>
  <cols>
    <col min="1" max="1" width="10" style="1579" customWidth="1"/>
    <col min="2" max="2" width="12.7109375" style="1579" customWidth="1"/>
    <col min="3" max="3" width="52.85546875" style="1579" customWidth="1"/>
    <col min="4" max="4" width="19.85546875" style="1579" customWidth="1"/>
    <col min="5" max="5" width="12.28515625" style="1579" customWidth="1"/>
    <col min="6" max="6" width="22.7109375" style="1579" customWidth="1"/>
    <col min="7" max="7" width="16.42578125" style="1579" bestFit="1" customWidth="1"/>
    <col min="8" max="8" width="31.5703125" style="1579" customWidth="1"/>
    <col min="9" max="253" width="9.140625" style="1579"/>
    <col min="254" max="254" width="7.7109375" style="1579" customWidth="1"/>
    <col min="255" max="255" width="12.7109375" style="1579" customWidth="1"/>
    <col min="256" max="256" width="20.7109375" style="1579" customWidth="1"/>
    <col min="257" max="257" width="14.7109375" style="1579" customWidth="1"/>
    <col min="258" max="258" width="12.7109375" style="1579" customWidth="1"/>
    <col min="259" max="259" width="16.7109375" style="1579" customWidth="1"/>
    <col min="260" max="260" width="14.7109375" style="1579" customWidth="1"/>
    <col min="261" max="262" width="9.140625" style="1579"/>
    <col min="263" max="263" width="14" style="1579" bestFit="1" customWidth="1"/>
    <col min="264" max="509" width="9.140625" style="1579"/>
    <col min="510" max="510" width="7.7109375" style="1579" customWidth="1"/>
    <col min="511" max="511" width="12.7109375" style="1579" customWidth="1"/>
    <col min="512" max="512" width="20.7109375" style="1579" customWidth="1"/>
    <col min="513" max="513" width="14.7109375" style="1579" customWidth="1"/>
    <col min="514" max="514" width="12.7109375" style="1579" customWidth="1"/>
    <col min="515" max="515" width="16.7109375" style="1579" customWidth="1"/>
    <col min="516" max="516" width="14.7109375" style="1579" customWidth="1"/>
    <col min="517" max="518" width="9.140625" style="1579"/>
    <col min="519" max="519" width="14" style="1579" bestFit="1" customWidth="1"/>
    <col min="520" max="765" width="9.140625" style="1579"/>
    <col min="766" max="766" width="7.7109375" style="1579" customWidth="1"/>
    <col min="767" max="767" width="12.7109375" style="1579" customWidth="1"/>
    <col min="768" max="768" width="20.7109375" style="1579" customWidth="1"/>
    <col min="769" max="769" width="14.7109375" style="1579" customWidth="1"/>
    <col min="770" max="770" width="12.7109375" style="1579" customWidth="1"/>
    <col min="771" max="771" width="16.7109375" style="1579" customWidth="1"/>
    <col min="772" max="772" width="14.7109375" style="1579" customWidth="1"/>
    <col min="773" max="774" width="9.140625" style="1579"/>
    <col min="775" max="775" width="14" style="1579" bestFit="1" customWidth="1"/>
    <col min="776" max="1021" width="9.140625" style="1579"/>
    <col min="1022" max="1022" width="7.7109375" style="1579" customWidth="1"/>
    <col min="1023" max="1023" width="12.7109375" style="1579" customWidth="1"/>
    <col min="1024" max="1024" width="20.7109375" style="1579" customWidth="1"/>
    <col min="1025" max="1025" width="14.7109375" style="1579" customWidth="1"/>
    <col min="1026" max="1026" width="12.7109375" style="1579" customWidth="1"/>
    <col min="1027" max="1027" width="16.7109375" style="1579" customWidth="1"/>
    <col min="1028" max="1028" width="14.7109375" style="1579" customWidth="1"/>
    <col min="1029" max="1030" width="9.140625" style="1579"/>
    <col min="1031" max="1031" width="14" style="1579" bestFit="1" customWidth="1"/>
    <col min="1032" max="1277" width="9.140625" style="1579"/>
    <col min="1278" max="1278" width="7.7109375" style="1579" customWidth="1"/>
    <col min="1279" max="1279" width="12.7109375" style="1579" customWidth="1"/>
    <col min="1280" max="1280" width="20.7109375" style="1579" customWidth="1"/>
    <col min="1281" max="1281" width="14.7109375" style="1579" customWidth="1"/>
    <col min="1282" max="1282" width="12.7109375" style="1579" customWidth="1"/>
    <col min="1283" max="1283" width="16.7109375" style="1579" customWidth="1"/>
    <col min="1284" max="1284" width="14.7109375" style="1579" customWidth="1"/>
    <col min="1285" max="1286" width="9.140625" style="1579"/>
    <col min="1287" max="1287" width="14" style="1579" bestFit="1" customWidth="1"/>
    <col min="1288" max="1533" width="9.140625" style="1579"/>
    <col min="1534" max="1534" width="7.7109375" style="1579" customWidth="1"/>
    <col min="1535" max="1535" width="12.7109375" style="1579" customWidth="1"/>
    <col min="1536" max="1536" width="20.7109375" style="1579" customWidth="1"/>
    <col min="1537" max="1537" width="14.7109375" style="1579" customWidth="1"/>
    <col min="1538" max="1538" width="12.7109375" style="1579" customWidth="1"/>
    <col min="1539" max="1539" width="16.7109375" style="1579" customWidth="1"/>
    <col min="1540" max="1540" width="14.7109375" style="1579" customWidth="1"/>
    <col min="1541" max="1542" width="9.140625" style="1579"/>
    <col min="1543" max="1543" width="14" style="1579" bestFit="1" customWidth="1"/>
    <col min="1544" max="1789" width="9.140625" style="1579"/>
    <col min="1790" max="1790" width="7.7109375" style="1579" customWidth="1"/>
    <col min="1791" max="1791" width="12.7109375" style="1579" customWidth="1"/>
    <col min="1792" max="1792" width="20.7109375" style="1579" customWidth="1"/>
    <col min="1793" max="1793" width="14.7109375" style="1579" customWidth="1"/>
    <col min="1794" max="1794" width="12.7109375" style="1579" customWidth="1"/>
    <col min="1795" max="1795" width="16.7109375" style="1579" customWidth="1"/>
    <col min="1796" max="1796" width="14.7109375" style="1579" customWidth="1"/>
    <col min="1797" max="1798" width="9.140625" style="1579"/>
    <col min="1799" max="1799" width="14" style="1579" bestFit="1" customWidth="1"/>
    <col min="1800" max="2045" width="9.140625" style="1579"/>
    <col min="2046" max="2046" width="7.7109375" style="1579" customWidth="1"/>
    <col min="2047" max="2047" width="12.7109375" style="1579" customWidth="1"/>
    <col min="2048" max="2048" width="20.7109375" style="1579" customWidth="1"/>
    <col min="2049" max="2049" width="14.7109375" style="1579" customWidth="1"/>
    <col min="2050" max="2050" width="12.7109375" style="1579" customWidth="1"/>
    <col min="2051" max="2051" width="16.7109375" style="1579" customWidth="1"/>
    <col min="2052" max="2052" width="14.7109375" style="1579" customWidth="1"/>
    <col min="2053" max="2054" width="9.140625" style="1579"/>
    <col min="2055" max="2055" width="14" style="1579" bestFit="1" customWidth="1"/>
    <col min="2056" max="2301" width="9.140625" style="1579"/>
    <col min="2302" max="2302" width="7.7109375" style="1579" customWidth="1"/>
    <col min="2303" max="2303" width="12.7109375" style="1579" customWidth="1"/>
    <col min="2304" max="2304" width="20.7109375" style="1579" customWidth="1"/>
    <col min="2305" max="2305" width="14.7109375" style="1579" customWidth="1"/>
    <col min="2306" max="2306" width="12.7109375" style="1579" customWidth="1"/>
    <col min="2307" max="2307" width="16.7109375" style="1579" customWidth="1"/>
    <col min="2308" max="2308" width="14.7109375" style="1579" customWidth="1"/>
    <col min="2309" max="2310" width="9.140625" style="1579"/>
    <col min="2311" max="2311" width="14" style="1579" bestFit="1" customWidth="1"/>
    <col min="2312" max="2557" width="9.140625" style="1579"/>
    <col min="2558" max="2558" width="7.7109375" style="1579" customWidth="1"/>
    <col min="2559" max="2559" width="12.7109375" style="1579" customWidth="1"/>
    <col min="2560" max="2560" width="20.7109375" style="1579" customWidth="1"/>
    <col min="2561" max="2561" width="14.7109375" style="1579" customWidth="1"/>
    <col min="2562" max="2562" width="12.7109375" style="1579" customWidth="1"/>
    <col min="2563" max="2563" width="16.7109375" style="1579" customWidth="1"/>
    <col min="2564" max="2564" width="14.7109375" style="1579" customWidth="1"/>
    <col min="2565" max="2566" width="9.140625" style="1579"/>
    <col min="2567" max="2567" width="14" style="1579" bestFit="1" customWidth="1"/>
    <col min="2568" max="2813" width="9.140625" style="1579"/>
    <col min="2814" max="2814" width="7.7109375" style="1579" customWidth="1"/>
    <col min="2815" max="2815" width="12.7109375" style="1579" customWidth="1"/>
    <col min="2816" max="2816" width="20.7109375" style="1579" customWidth="1"/>
    <col min="2817" max="2817" width="14.7109375" style="1579" customWidth="1"/>
    <col min="2818" max="2818" width="12.7109375" style="1579" customWidth="1"/>
    <col min="2819" max="2819" width="16.7109375" style="1579" customWidth="1"/>
    <col min="2820" max="2820" width="14.7109375" style="1579" customWidth="1"/>
    <col min="2821" max="2822" width="9.140625" style="1579"/>
    <col min="2823" max="2823" width="14" style="1579" bestFit="1" customWidth="1"/>
    <col min="2824" max="3069" width="9.140625" style="1579"/>
    <col min="3070" max="3070" width="7.7109375" style="1579" customWidth="1"/>
    <col min="3071" max="3071" width="12.7109375" style="1579" customWidth="1"/>
    <col min="3072" max="3072" width="20.7109375" style="1579" customWidth="1"/>
    <col min="3073" max="3073" width="14.7109375" style="1579" customWidth="1"/>
    <col min="3074" max="3074" width="12.7109375" style="1579" customWidth="1"/>
    <col min="3075" max="3075" width="16.7109375" style="1579" customWidth="1"/>
    <col min="3076" max="3076" width="14.7109375" style="1579" customWidth="1"/>
    <col min="3077" max="3078" width="9.140625" style="1579"/>
    <col min="3079" max="3079" width="14" style="1579" bestFit="1" customWidth="1"/>
    <col min="3080" max="3325" width="9.140625" style="1579"/>
    <col min="3326" max="3326" width="7.7109375" style="1579" customWidth="1"/>
    <col min="3327" max="3327" width="12.7109375" style="1579" customWidth="1"/>
    <col min="3328" max="3328" width="20.7109375" style="1579" customWidth="1"/>
    <col min="3329" max="3329" width="14.7109375" style="1579" customWidth="1"/>
    <col min="3330" max="3330" width="12.7109375" style="1579" customWidth="1"/>
    <col min="3331" max="3331" width="16.7109375" style="1579" customWidth="1"/>
    <col min="3332" max="3332" width="14.7109375" style="1579" customWidth="1"/>
    <col min="3333" max="3334" width="9.140625" style="1579"/>
    <col min="3335" max="3335" width="14" style="1579" bestFit="1" customWidth="1"/>
    <col min="3336" max="3581" width="9.140625" style="1579"/>
    <col min="3582" max="3582" width="7.7109375" style="1579" customWidth="1"/>
    <col min="3583" max="3583" width="12.7109375" style="1579" customWidth="1"/>
    <col min="3584" max="3584" width="20.7109375" style="1579" customWidth="1"/>
    <col min="3585" max="3585" width="14.7109375" style="1579" customWidth="1"/>
    <col min="3586" max="3586" width="12.7109375" style="1579" customWidth="1"/>
    <col min="3587" max="3587" width="16.7109375" style="1579" customWidth="1"/>
    <col min="3588" max="3588" width="14.7109375" style="1579" customWidth="1"/>
    <col min="3589" max="3590" width="9.140625" style="1579"/>
    <col min="3591" max="3591" width="14" style="1579" bestFit="1" customWidth="1"/>
    <col min="3592" max="3837" width="9.140625" style="1579"/>
    <col min="3838" max="3838" width="7.7109375" style="1579" customWidth="1"/>
    <col min="3839" max="3839" width="12.7109375" style="1579" customWidth="1"/>
    <col min="3840" max="3840" width="20.7109375" style="1579" customWidth="1"/>
    <col min="3841" max="3841" width="14.7109375" style="1579" customWidth="1"/>
    <col min="3842" max="3842" width="12.7109375" style="1579" customWidth="1"/>
    <col min="3843" max="3843" width="16.7109375" style="1579" customWidth="1"/>
    <col min="3844" max="3844" width="14.7109375" style="1579" customWidth="1"/>
    <col min="3845" max="3846" width="9.140625" style="1579"/>
    <col min="3847" max="3847" width="14" style="1579" bestFit="1" customWidth="1"/>
    <col min="3848" max="4093" width="9.140625" style="1579"/>
    <col min="4094" max="4094" width="7.7109375" style="1579" customWidth="1"/>
    <col min="4095" max="4095" width="12.7109375" style="1579" customWidth="1"/>
    <col min="4096" max="4096" width="20.7109375" style="1579" customWidth="1"/>
    <col min="4097" max="4097" width="14.7109375" style="1579" customWidth="1"/>
    <col min="4098" max="4098" width="12.7109375" style="1579" customWidth="1"/>
    <col min="4099" max="4099" width="16.7109375" style="1579" customWidth="1"/>
    <col min="4100" max="4100" width="14.7109375" style="1579" customWidth="1"/>
    <col min="4101" max="4102" width="9.140625" style="1579"/>
    <col min="4103" max="4103" width="14" style="1579" bestFit="1" customWidth="1"/>
    <col min="4104" max="4349" width="9.140625" style="1579"/>
    <col min="4350" max="4350" width="7.7109375" style="1579" customWidth="1"/>
    <col min="4351" max="4351" width="12.7109375" style="1579" customWidth="1"/>
    <col min="4352" max="4352" width="20.7109375" style="1579" customWidth="1"/>
    <col min="4353" max="4353" width="14.7109375" style="1579" customWidth="1"/>
    <col min="4354" max="4354" width="12.7109375" style="1579" customWidth="1"/>
    <col min="4355" max="4355" width="16.7109375" style="1579" customWidth="1"/>
    <col min="4356" max="4356" width="14.7109375" style="1579" customWidth="1"/>
    <col min="4357" max="4358" width="9.140625" style="1579"/>
    <col min="4359" max="4359" width="14" style="1579" bestFit="1" customWidth="1"/>
    <col min="4360" max="4605" width="9.140625" style="1579"/>
    <col min="4606" max="4606" width="7.7109375" style="1579" customWidth="1"/>
    <col min="4607" max="4607" width="12.7109375" style="1579" customWidth="1"/>
    <col min="4608" max="4608" width="20.7109375" style="1579" customWidth="1"/>
    <col min="4609" max="4609" width="14.7109375" style="1579" customWidth="1"/>
    <col min="4610" max="4610" width="12.7109375" style="1579" customWidth="1"/>
    <col min="4611" max="4611" width="16.7109375" style="1579" customWidth="1"/>
    <col min="4612" max="4612" width="14.7109375" style="1579" customWidth="1"/>
    <col min="4613" max="4614" width="9.140625" style="1579"/>
    <col min="4615" max="4615" width="14" style="1579" bestFit="1" customWidth="1"/>
    <col min="4616" max="4861" width="9.140625" style="1579"/>
    <col min="4862" max="4862" width="7.7109375" style="1579" customWidth="1"/>
    <col min="4863" max="4863" width="12.7109375" style="1579" customWidth="1"/>
    <col min="4864" max="4864" width="20.7109375" style="1579" customWidth="1"/>
    <col min="4865" max="4865" width="14.7109375" style="1579" customWidth="1"/>
    <col min="4866" max="4866" width="12.7109375" style="1579" customWidth="1"/>
    <col min="4867" max="4867" width="16.7109375" style="1579" customWidth="1"/>
    <col min="4868" max="4868" width="14.7109375" style="1579" customWidth="1"/>
    <col min="4869" max="4870" width="9.140625" style="1579"/>
    <col min="4871" max="4871" width="14" style="1579" bestFit="1" customWidth="1"/>
    <col min="4872" max="5117" width="9.140625" style="1579"/>
    <col min="5118" max="5118" width="7.7109375" style="1579" customWidth="1"/>
    <col min="5119" max="5119" width="12.7109375" style="1579" customWidth="1"/>
    <col min="5120" max="5120" width="20.7109375" style="1579" customWidth="1"/>
    <col min="5121" max="5121" width="14.7109375" style="1579" customWidth="1"/>
    <col min="5122" max="5122" width="12.7109375" style="1579" customWidth="1"/>
    <col min="5123" max="5123" width="16.7109375" style="1579" customWidth="1"/>
    <col min="5124" max="5124" width="14.7109375" style="1579" customWidth="1"/>
    <col min="5125" max="5126" width="9.140625" style="1579"/>
    <col min="5127" max="5127" width="14" style="1579" bestFit="1" customWidth="1"/>
    <col min="5128" max="5373" width="9.140625" style="1579"/>
    <col min="5374" max="5374" width="7.7109375" style="1579" customWidth="1"/>
    <col min="5375" max="5375" width="12.7109375" style="1579" customWidth="1"/>
    <col min="5376" max="5376" width="20.7109375" style="1579" customWidth="1"/>
    <col min="5377" max="5377" width="14.7109375" style="1579" customWidth="1"/>
    <col min="5378" max="5378" width="12.7109375" style="1579" customWidth="1"/>
    <col min="5379" max="5379" width="16.7109375" style="1579" customWidth="1"/>
    <col min="5380" max="5380" width="14.7109375" style="1579" customWidth="1"/>
    <col min="5381" max="5382" width="9.140625" style="1579"/>
    <col min="5383" max="5383" width="14" style="1579" bestFit="1" customWidth="1"/>
    <col min="5384" max="5629" width="9.140625" style="1579"/>
    <col min="5630" max="5630" width="7.7109375" style="1579" customWidth="1"/>
    <col min="5631" max="5631" width="12.7109375" style="1579" customWidth="1"/>
    <col min="5632" max="5632" width="20.7109375" style="1579" customWidth="1"/>
    <col min="5633" max="5633" width="14.7109375" style="1579" customWidth="1"/>
    <col min="5634" max="5634" width="12.7109375" style="1579" customWidth="1"/>
    <col min="5635" max="5635" width="16.7109375" style="1579" customWidth="1"/>
    <col min="5636" max="5636" width="14.7109375" style="1579" customWidth="1"/>
    <col min="5637" max="5638" width="9.140625" style="1579"/>
    <col min="5639" max="5639" width="14" style="1579" bestFit="1" customWidth="1"/>
    <col min="5640" max="5885" width="9.140625" style="1579"/>
    <col min="5886" max="5886" width="7.7109375" style="1579" customWidth="1"/>
    <col min="5887" max="5887" width="12.7109375" style="1579" customWidth="1"/>
    <col min="5888" max="5888" width="20.7109375" style="1579" customWidth="1"/>
    <col min="5889" max="5889" width="14.7109375" style="1579" customWidth="1"/>
    <col min="5890" max="5890" width="12.7109375" style="1579" customWidth="1"/>
    <col min="5891" max="5891" width="16.7109375" style="1579" customWidth="1"/>
    <col min="5892" max="5892" width="14.7109375" style="1579" customWidth="1"/>
    <col min="5893" max="5894" width="9.140625" style="1579"/>
    <col min="5895" max="5895" width="14" style="1579" bestFit="1" customWidth="1"/>
    <col min="5896" max="6141" width="9.140625" style="1579"/>
    <col min="6142" max="6142" width="7.7109375" style="1579" customWidth="1"/>
    <col min="6143" max="6143" width="12.7109375" style="1579" customWidth="1"/>
    <col min="6144" max="6144" width="20.7109375" style="1579" customWidth="1"/>
    <col min="6145" max="6145" width="14.7109375" style="1579" customWidth="1"/>
    <col min="6146" max="6146" width="12.7109375" style="1579" customWidth="1"/>
    <col min="6147" max="6147" width="16.7109375" style="1579" customWidth="1"/>
    <col min="6148" max="6148" width="14.7109375" style="1579" customWidth="1"/>
    <col min="6149" max="6150" width="9.140625" style="1579"/>
    <col min="6151" max="6151" width="14" style="1579" bestFit="1" customWidth="1"/>
    <col min="6152" max="6397" width="9.140625" style="1579"/>
    <col min="6398" max="6398" width="7.7109375" style="1579" customWidth="1"/>
    <col min="6399" max="6399" width="12.7109375" style="1579" customWidth="1"/>
    <col min="6400" max="6400" width="20.7109375" style="1579" customWidth="1"/>
    <col min="6401" max="6401" width="14.7109375" style="1579" customWidth="1"/>
    <col min="6402" max="6402" width="12.7109375" style="1579" customWidth="1"/>
    <col min="6403" max="6403" width="16.7109375" style="1579" customWidth="1"/>
    <col min="6404" max="6404" width="14.7109375" style="1579" customWidth="1"/>
    <col min="6405" max="6406" width="9.140625" style="1579"/>
    <col min="6407" max="6407" width="14" style="1579" bestFit="1" customWidth="1"/>
    <col min="6408" max="6653" width="9.140625" style="1579"/>
    <col min="6654" max="6654" width="7.7109375" style="1579" customWidth="1"/>
    <col min="6655" max="6655" width="12.7109375" style="1579" customWidth="1"/>
    <col min="6656" max="6656" width="20.7109375" style="1579" customWidth="1"/>
    <col min="6657" max="6657" width="14.7109375" style="1579" customWidth="1"/>
    <col min="6658" max="6658" width="12.7109375" style="1579" customWidth="1"/>
    <col min="6659" max="6659" width="16.7109375" style="1579" customWidth="1"/>
    <col min="6660" max="6660" width="14.7109375" style="1579" customWidth="1"/>
    <col min="6661" max="6662" width="9.140625" style="1579"/>
    <col min="6663" max="6663" width="14" style="1579" bestFit="1" customWidth="1"/>
    <col min="6664" max="6909" width="9.140625" style="1579"/>
    <col min="6910" max="6910" width="7.7109375" style="1579" customWidth="1"/>
    <col min="6911" max="6911" width="12.7109375" style="1579" customWidth="1"/>
    <col min="6912" max="6912" width="20.7109375" style="1579" customWidth="1"/>
    <col min="6913" max="6913" width="14.7109375" style="1579" customWidth="1"/>
    <col min="6914" max="6914" width="12.7109375" style="1579" customWidth="1"/>
    <col min="6915" max="6915" width="16.7109375" style="1579" customWidth="1"/>
    <col min="6916" max="6916" width="14.7109375" style="1579" customWidth="1"/>
    <col min="6917" max="6918" width="9.140625" style="1579"/>
    <col min="6919" max="6919" width="14" style="1579" bestFit="1" customWidth="1"/>
    <col min="6920" max="7165" width="9.140625" style="1579"/>
    <col min="7166" max="7166" width="7.7109375" style="1579" customWidth="1"/>
    <col min="7167" max="7167" width="12.7109375" style="1579" customWidth="1"/>
    <col min="7168" max="7168" width="20.7109375" style="1579" customWidth="1"/>
    <col min="7169" max="7169" width="14.7109375" style="1579" customWidth="1"/>
    <col min="7170" max="7170" width="12.7109375" style="1579" customWidth="1"/>
    <col min="7171" max="7171" width="16.7109375" style="1579" customWidth="1"/>
    <col min="7172" max="7172" width="14.7109375" style="1579" customWidth="1"/>
    <col min="7173" max="7174" width="9.140625" style="1579"/>
    <col min="7175" max="7175" width="14" style="1579" bestFit="1" customWidth="1"/>
    <col min="7176" max="7421" width="9.140625" style="1579"/>
    <col min="7422" max="7422" width="7.7109375" style="1579" customWidth="1"/>
    <col min="7423" max="7423" width="12.7109375" style="1579" customWidth="1"/>
    <col min="7424" max="7424" width="20.7109375" style="1579" customWidth="1"/>
    <col min="7425" max="7425" width="14.7109375" style="1579" customWidth="1"/>
    <col min="7426" max="7426" width="12.7109375" style="1579" customWidth="1"/>
    <col min="7427" max="7427" width="16.7109375" style="1579" customWidth="1"/>
    <col min="7428" max="7428" width="14.7109375" style="1579" customWidth="1"/>
    <col min="7429" max="7430" width="9.140625" style="1579"/>
    <col min="7431" max="7431" width="14" style="1579" bestFit="1" customWidth="1"/>
    <col min="7432" max="7677" width="9.140625" style="1579"/>
    <col min="7678" max="7678" width="7.7109375" style="1579" customWidth="1"/>
    <col min="7679" max="7679" width="12.7109375" style="1579" customWidth="1"/>
    <col min="7680" max="7680" width="20.7109375" style="1579" customWidth="1"/>
    <col min="7681" max="7681" width="14.7109375" style="1579" customWidth="1"/>
    <col min="7682" max="7682" width="12.7109375" style="1579" customWidth="1"/>
    <col min="7683" max="7683" width="16.7109375" style="1579" customWidth="1"/>
    <col min="7684" max="7684" width="14.7109375" style="1579" customWidth="1"/>
    <col min="7685" max="7686" width="9.140625" style="1579"/>
    <col min="7687" max="7687" width="14" style="1579" bestFit="1" customWidth="1"/>
    <col min="7688" max="7933" width="9.140625" style="1579"/>
    <col min="7934" max="7934" width="7.7109375" style="1579" customWidth="1"/>
    <col min="7935" max="7935" width="12.7109375" style="1579" customWidth="1"/>
    <col min="7936" max="7936" width="20.7109375" style="1579" customWidth="1"/>
    <col min="7937" max="7937" width="14.7109375" style="1579" customWidth="1"/>
    <col min="7938" max="7938" width="12.7109375" style="1579" customWidth="1"/>
    <col min="7939" max="7939" width="16.7109375" style="1579" customWidth="1"/>
    <col min="7940" max="7940" width="14.7109375" style="1579" customWidth="1"/>
    <col min="7941" max="7942" width="9.140625" style="1579"/>
    <col min="7943" max="7943" width="14" style="1579" bestFit="1" customWidth="1"/>
    <col min="7944" max="8189" width="9.140625" style="1579"/>
    <col min="8190" max="8190" width="7.7109375" style="1579" customWidth="1"/>
    <col min="8191" max="8191" width="12.7109375" style="1579" customWidth="1"/>
    <col min="8192" max="8192" width="20.7109375" style="1579" customWidth="1"/>
    <col min="8193" max="8193" width="14.7109375" style="1579" customWidth="1"/>
    <col min="8194" max="8194" width="12.7109375" style="1579" customWidth="1"/>
    <col min="8195" max="8195" width="16.7109375" style="1579" customWidth="1"/>
    <col min="8196" max="8196" width="14.7109375" style="1579" customWidth="1"/>
    <col min="8197" max="8198" width="9.140625" style="1579"/>
    <col min="8199" max="8199" width="14" style="1579" bestFit="1" customWidth="1"/>
    <col min="8200" max="8445" width="9.140625" style="1579"/>
    <col min="8446" max="8446" width="7.7109375" style="1579" customWidth="1"/>
    <col min="8447" max="8447" width="12.7109375" style="1579" customWidth="1"/>
    <col min="8448" max="8448" width="20.7109375" style="1579" customWidth="1"/>
    <col min="8449" max="8449" width="14.7109375" style="1579" customWidth="1"/>
    <col min="8450" max="8450" width="12.7109375" style="1579" customWidth="1"/>
    <col min="8451" max="8451" width="16.7109375" style="1579" customWidth="1"/>
    <col min="8452" max="8452" width="14.7109375" style="1579" customWidth="1"/>
    <col min="8453" max="8454" width="9.140625" style="1579"/>
    <col min="8455" max="8455" width="14" style="1579" bestFit="1" customWidth="1"/>
    <col min="8456" max="8701" width="9.140625" style="1579"/>
    <col min="8702" max="8702" width="7.7109375" style="1579" customWidth="1"/>
    <col min="8703" max="8703" width="12.7109375" style="1579" customWidth="1"/>
    <col min="8704" max="8704" width="20.7109375" style="1579" customWidth="1"/>
    <col min="8705" max="8705" width="14.7109375" style="1579" customWidth="1"/>
    <col min="8706" max="8706" width="12.7109375" style="1579" customWidth="1"/>
    <col min="8707" max="8707" width="16.7109375" style="1579" customWidth="1"/>
    <col min="8708" max="8708" width="14.7109375" style="1579" customWidth="1"/>
    <col min="8709" max="8710" width="9.140625" style="1579"/>
    <col min="8711" max="8711" width="14" style="1579" bestFit="1" customWidth="1"/>
    <col min="8712" max="8957" width="9.140625" style="1579"/>
    <col min="8958" max="8958" width="7.7109375" style="1579" customWidth="1"/>
    <col min="8959" max="8959" width="12.7109375" style="1579" customWidth="1"/>
    <col min="8960" max="8960" width="20.7109375" style="1579" customWidth="1"/>
    <col min="8961" max="8961" width="14.7109375" style="1579" customWidth="1"/>
    <col min="8962" max="8962" width="12.7109375" style="1579" customWidth="1"/>
    <col min="8963" max="8963" width="16.7109375" style="1579" customWidth="1"/>
    <col min="8964" max="8964" width="14.7109375" style="1579" customWidth="1"/>
    <col min="8965" max="8966" width="9.140625" style="1579"/>
    <col min="8967" max="8967" width="14" style="1579" bestFit="1" customWidth="1"/>
    <col min="8968" max="9213" width="9.140625" style="1579"/>
    <col min="9214" max="9214" width="7.7109375" style="1579" customWidth="1"/>
    <col min="9215" max="9215" width="12.7109375" style="1579" customWidth="1"/>
    <col min="9216" max="9216" width="20.7109375" style="1579" customWidth="1"/>
    <col min="9217" max="9217" width="14.7109375" style="1579" customWidth="1"/>
    <col min="9218" max="9218" width="12.7109375" style="1579" customWidth="1"/>
    <col min="9219" max="9219" width="16.7109375" style="1579" customWidth="1"/>
    <col min="9220" max="9220" width="14.7109375" style="1579" customWidth="1"/>
    <col min="9221" max="9222" width="9.140625" style="1579"/>
    <col min="9223" max="9223" width="14" style="1579" bestFit="1" customWidth="1"/>
    <col min="9224" max="9469" width="9.140625" style="1579"/>
    <col min="9470" max="9470" width="7.7109375" style="1579" customWidth="1"/>
    <col min="9471" max="9471" width="12.7109375" style="1579" customWidth="1"/>
    <col min="9472" max="9472" width="20.7109375" style="1579" customWidth="1"/>
    <col min="9473" max="9473" width="14.7109375" style="1579" customWidth="1"/>
    <col min="9474" max="9474" width="12.7109375" style="1579" customWidth="1"/>
    <col min="9475" max="9475" width="16.7109375" style="1579" customWidth="1"/>
    <col min="9476" max="9476" width="14.7109375" style="1579" customWidth="1"/>
    <col min="9477" max="9478" width="9.140625" style="1579"/>
    <col min="9479" max="9479" width="14" style="1579" bestFit="1" customWidth="1"/>
    <col min="9480" max="9725" width="9.140625" style="1579"/>
    <col min="9726" max="9726" width="7.7109375" style="1579" customWidth="1"/>
    <col min="9727" max="9727" width="12.7109375" style="1579" customWidth="1"/>
    <col min="9728" max="9728" width="20.7109375" style="1579" customWidth="1"/>
    <col min="9729" max="9729" width="14.7109375" style="1579" customWidth="1"/>
    <col min="9730" max="9730" width="12.7109375" style="1579" customWidth="1"/>
    <col min="9731" max="9731" width="16.7109375" style="1579" customWidth="1"/>
    <col min="9732" max="9732" width="14.7109375" style="1579" customWidth="1"/>
    <col min="9733" max="9734" width="9.140625" style="1579"/>
    <col min="9735" max="9735" width="14" style="1579" bestFit="1" customWidth="1"/>
    <col min="9736" max="9981" width="9.140625" style="1579"/>
    <col min="9982" max="9982" width="7.7109375" style="1579" customWidth="1"/>
    <col min="9983" max="9983" width="12.7109375" style="1579" customWidth="1"/>
    <col min="9984" max="9984" width="20.7109375" style="1579" customWidth="1"/>
    <col min="9985" max="9985" width="14.7109375" style="1579" customWidth="1"/>
    <col min="9986" max="9986" width="12.7109375" style="1579" customWidth="1"/>
    <col min="9987" max="9987" width="16.7109375" style="1579" customWidth="1"/>
    <col min="9988" max="9988" width="14.7109375" style="1579" customWidth="1"/>
    <col min="9989" max="9990" width="9.140625" style="1579"/>
    <col min="9991" max="9991" width="14" style="1579" bestFit="1" customWidth="1"/>
    <col min="9992" max="10237" width="9.140625" style="1579"/>
    <col min="10238" max="10238" width="7.7109375" style="1579" customWidth="1"/>
    <col min="10239" max="10239" width="12.7109375" style="1579" customWidth="1"/>
    <col min="10240" max="10240" width="20.7109375" style="1579" customWidth="1"/>
    <col min="10241" max="10241" width="14.7109375" style="1579" customWidth="1"/>
    <col min="10242" max="10242" width="12.7109375" style="1579" customWidth="1"/>
    <col min="10243" max="10243" width="16.7109375" style="1579" customWidth="1"/>
    <col min="10244" max="10244" width="14.7109375" style="1579" customWidth="1"/>
    <col min="10245" max="10246" width="9.140625" style="1579"/>
    <col min="10247" max="10247" width="14" style="1579" bestFit="1" customWidth="1"/>
    <col min="10248" max="10493" width="9.140625" style="1579"/>
    <col min="10494" max="10494" width="7.7109375" style="1579" customWidth="1"/>
    <col min="10495" max="10495" width="12.7109375" style="1579" customWidth="1"/>
    <col min="10496" max="10496" width="20.7109375" style="1579" customWidth="1"/>
    <col min="10497" max="10497" width="14.7109375" style="1579" customWidth="1"/>
    <col min="10498" max="10498" width="12.7109375" style="1579" customWidth="1"/>
    <col min="10499" max="10499" width="16.7109375" style="1579" customWidth="1"/>
    <col min="10500" max="10500" width="14.7109375" style="1579" customWidth="1"/>
    <col min="10501" max="10502" width="9.140625" style="1579"/>
    <col min="10503" max="10503" width="14" style="1579" bestFit="1" customWidth="1"/>
    <col min="10504" max="10749" width="9.140625" style="1579"/>
    <col min="10750" max="10750" width="7.7109375" style="1579" customWidth="1"/>
    <col min="10751" max="10751" width="12.7109375" style="1579" customWidth="1"/>
    <col min="10752" max="10752" width="20.7109375" style="1579" customWidth="1"/>
    <col min="10753" max="10753" width="14.7109375" style="1579" customWidth="1"/>
    <col min="10754" max="10754" width="12.7109375" style="1579" customWidth="1"/>
    <col min="10755" max="10755" width="16.7109375" style="1579" customWidth="1"/>
    <col min="10756" max="10756" width="14.7109375" style="1579" customWidth="1"/>
    <col min="10757" max="10758" width="9.140625" style="1579"/>
    <col min="10759" max="10759" width="14" style="1579" bestFit="1" customWidth="1"/>
    <col min="10760" max="11005" width="9.140625" style="1579"/>
    <col min="11006" max="11006" width="7.7109375" style="1579" customWidth="1"/>
    <col min="11007" max="11007" width="12.7109375" style="1579" customWidth="1"/>
    <col min="11008" max="11008" width="20.7109375" style="1579" customWidth="1"/>
    <col min="11009" max="11009" width="14.7109375" style="1579" customWidth="1"/>
    <col min="11010" max="11010" width="12.7109375" style="1579" customWidth="1"/>
    <col min="11011" max="11011" width="16.7109375" style="1579" customWidth="1"/>
    <col min="11012" max="11012" width="14.7109375" style="1579" customWidth="1"/>
    <col min="11013" max="11014" width="9.140625" style="1579"/>
    <col min="11015" max="11015" width="14" style="1579" bestFit="1" customWidth="1"/>
    <col min="11016" max="11261" width="9.140625" style="1579"/>
    <col min="11262" max="11262" width="7.7109375" style="1579" customWidth="1"/>
    <col min="11263" max="11263" width="12.7109375" style="1579" customWidth="1"/>
    <col min="11264" max="11264" width="20.7109375" style="1579" customWidth="1"/>
    <col min="11265" max="11265" width="14.7109375" style="1579" customWidth="1"/>
    <col min="11266" max="11266" width="12.7109375" style="1579" customWidth="1"/>
    <col min="11267" max="11267" width="16.7109375" style="1579" customWidth="1"/>
    <col min="11268" max="11268" width="14.7109375" style="1579" customWidth="1"/>
    <col min="11269" max="11270" width="9.140625" style="1579"/>
    <col min="11271" max="11271" width="14" style="1579" bestFit="1" customWidth="1"/>
    <col min="11272" max="11517" width="9.140625" style="1579"/>
    <col min="11518" max="11518" width="7.7109375" style="1579" customWidth="1"/>
    <col min="11519" max="11519" width="12.7109375" style="1579" customWidth="1"/>
    <col min="11520" max="11520" width="20.7109375" style="1579" customWidth="1"/>
    <col min="11521" max="11521" width="14.7109375" style="1579" customWidth="1"/>
    <col min="11522" max="11522" width="12.7109375" style="1579" customWidth="1"/>
    <col min="11523" max="11523" width="16.7109375" style="1579" customWidth="1"/>
    <col min="11524" max="11524" width="14.7109375" style="1579" customWidth="1"/>
    <col min="11525" max="11526" width="9.140625" style="1579"/>
    <col min="11527" max="11527" width="14" style="1579" bestFit="1" customWidth="1"/>
    <col min="11528" max="11773" width="9.140625" style="1579"/>
    <col min="11774" max="11774" width="7.7109375" style="1579" customWidth="1"/>
    <col min="11775" max="11775" width="12.7109375" style="1579" customWidth="1"/>
    <col min="11776" max="11776" width="20.7109375" style="1579" customWidth="1"/>
    <col min="11777" max="11777" width="14.7109375" style="1579" customWidth="1"/>
    <col min="11778" max="11778" width="12.7109375" style="1579" customWidth="1"/>
    <col min="11779" max="11779" width="16.7109375" style="1579" customWidth="1"/>
    <col min="11780" max="11780" width="14.7109375" style="1579" customWidth="1"/>
    <col min="11781" max="11782" width="9.140625" style="1579"/>
    <col min="11783" max="11783" width="14" style="1579" bestFit="1" customWidth="1"/>
    <col min="11784" max="12029" width="9.140625" style="1579"/>
    <col min="12030" max="12030" width="7.7109375" style="1579" customWidth="1"/>
    <col min="12031" max="12031" width="12.7109375" style="1579" customWidth="1"/>
    <col min="12032" max="12032" width="20.7109375" style="1579" customWidth="1"/>
    <col min="12033" max="12033" width="14.7109375" style="1579" customWidth="1"/>
    <col min="12034" max="12034" width="12.7109375" style="1579" customWidth="1"/>
    <col min="12035" max="12035" width="16.7109375" style="1579" customWidth="1"/>
    <col min="12036" max="12036" width="14.7109375" style="1579" customWidth="1"/>
    <col min="12037" max="12038" width="9.140625" style="1579"/>
    <col min="12039" max="12039" width="14" style="1579" bestFit="1" customWidth="1"/>
    <col min="12040" max="12285" width="9.140625" style="1579"/>
    <col min="12286" max="12286" width="7.7109375" style="1579" customWidth="1"/>
    <col min="12287" max="12287" width="12.7109375" style="1579" customWidth="1"/>
    <col min="12288" max="12288" width="20.7109375" style="1579" customWidth="1"/>
    <col min="12289" max="12289" width="14.7109375" style="1579" customWidth="1"/>
    <col min="12290" max="12290" width="12.7109375" style="1579" customWidth="1"/>
    <col min="12291" max="12291" width="16.7109375" style="1579" customWidth="1"/>
    <col min="12292" max="12292" width="14.7109375" style="1579" customWidth="1"/>
    <col min="12293" max="12294" width="9.140625" style="1579"/>
    <col min="12295" max="12295" width="14" style="1579" bestFit="1" customWidth="1"/>
    <col min="12296" max="12541" width="9.140625" style="1579"/>
    <col min="12542" max="12542" width="7.7109375" style="1579" customWidth="1"/>
    <col min="12543" max="12543" width="12.7109375" style="1579" customWidth="1"/>
    <col min="12544" max="12544" width="20.7109375" style="1579" customWidth="1"/>
    <col min="12545" max="12545" width="14.7109375" style="1579" customWidth="1"/>
    <col min="12546" max="12546" width="12.7109375" style="1579" customWidth="1"/>
    <col min="12547" max="12547" width="16.7109375" style="1579" customWidth="1"/>
    <col min="12548" max="12548" width="14.7109375" style="1579" customWidth="1"/>
    <col min="12549" max="12550" width="9.140625" style="1579"/>
    <col min="12551" max="12551" width="14" style="1579" bestFit="1" customWidth="1"/>
    <col min="12552" max="12797" width="9.140625" style="1579"/>
    <col min="12798" max="12798" width="7.7109375" style="1579" customWidth="1"/>
    <col min="12799" max="12799" width="12.7109375" style="1579" customWidth="1"/>
    <col min="12800" max="12800" width="20.7109375" style="1579" customWidth="1"/>
    <col min="12801" max="12801" width="14.7109375" style="1579" customWidth="1"/>
    <col min="12802" max="12802" width="12.7109375" style="1579" customWidth="1"/>
    <col min="12803" max="12803" width="16.7109375" style="1579" customWidth="1"/>
    <col min="12804" max="12804" width="14.7109375" style="1579" customWidth="1"/>
    <col min="12805" max="12806" width="9.140625" style="1579"/>
    <col min="12807" max="12807" width="14" style="1579" bestFit="1" customWidth="1"/>
    <col min="12808" max="13053" width="9.140625" style="1579"/>
    <col min="13054" max="13054" width="7.7109375" style="1579" customWidth="1"/>
    <col min="13055" max="13055" width="12.7109375" style="1579" customWidth="1"/>
    <col min="13056" max="13056" width="20.7109375" style="1579" customWidth="1"/>
    <col min="13057" max="13057" width="14.7109375" style="1579" customWidth="1"/>
    <col min="13058" max="13058" width="12.7109375" style="1579" customWidth="1"/>
    <col min="13059" max="13059" width="16.7109375" style="1579" customWidth="1"/>
    <col min="13060" max="13060" width="14.7109375" style="1579" customWidth="1"/>
    <col min="13061" max="13062" width="9.140625" style="1579"/>
    <col min="13063" max="13063" width="14" style="1579" bestFit="1" customWidth="1"/>
    <col min="13064" max="13309" width="9.140625" style="1579"/>
    <col min="13310" max="13310" width="7.7109375" style="1579" customWidth="1"/>
    <col min="13311" max="13311" width="12.7109375" style="1579" customWidth="1"/>
    <col min="13312" max="13312" width="20.7109375" style="1579" customWidth="1"/>
    <col min="13313" max="13313" width="14.7109375" style="1579" customWidth="1"/>
    <col min="13314" max="13314" width="12.7109375" style="1579" customWidth="1"/>
    <col min="13315" max="13315" width="16.7109375" style="1579" customWidth="1"/>
    <col min="13316" max="13316" width="14.7109375" style="1579" customWidth="1"/>
    <col min="13317" max="13318" width="9.140625" style="1579"/>
    <col min="13319" max="13319" width="14" style="1579" bestFit="1" customWidth="1"/>
    <col min="13320" max="13565" width="9.140625" style="1579"/>
    <col min="13566" max="13566" width="7.7109375" style="1579" customWidth="1"/>
    <col min="13567" max="13567" width="12.7109375" style="1579" customWidth="1"/>
    <col min="13568" max="13568" width="20.7109375" style="1579" customWidth="1"/>
    <col min="13569" max="13569" width="14.7109375" style="1579" customWidth="1"/>
    <col min="13570" max="13570" width="12.7109375" style="1579" customWidth="1"/>
    <col min="13571" max="13571" width="16.7109375" style="1579" customWidth="1"/>
    <col min="13572" max="13572" width="14.7109375" style="1579" customWidth="1"/>
    <col min="13573" max="13574" width="9.140625" style="1579"/>
    <col min="13575" max="13575" width="14" style="1579" bestFit="1" customWidth="1"/>
    <col min="13576" max="13821" width="9.140625" style="1579"/>
    <col min="13822" max="13822" width="7.7109375" style="1579" customWidth="1"/>
    <col min="13823" max="13823" width="12.7109375" style="1579" customWidth="1"/>
    <col min="13824" max="13824" width="20.7109375" style="1579" customWidth="1"/>
    <col min="13825" max="13825" width="14.7109375" style="1579" customWidth="1"/>
    <col min="13826" max="13826" width="12.7109375" style="1579" customWidth="1"/>
    <col min="13827" max="13827" width="16.7109375" style="1579" customWidth="1"/>
    <col min="13828" max="13828" width="14.7109375" style="1579" customWidth="1"/>
    <col min="13829" max="13830" width="9.140625" style="1579"/>
    <col min="13831" max="13831" width="14" style="1579" bestFit="1" customWidth="1"/>
    <col min="13832" max="14077" width="9.140625" style="1579"/>
    <col min="14078" max="14078" width="7.7109375" style="1579" customWidth="1"/>
    <col min="14079" max="14079" width="12.7109375" style="1579" customWidth="1"/>
    <col min="14080" max="14080" width="20.7109375" style="1579" customWidth="1"/>
    <col min="14081" max="14081" width="14.7109375" style="1579" customWidth="1"/>
    <col min="14082" max="14082" width="12.7109375" style="1579" customWidth="1"/>
    <col min="14083" max="14083" width="16.7109375" style="1579" customWidth="1"/>
    <col min="14084" max="14084" width="14.7109375" style="1579" customWidth="1"/>
    <col min="14085" max="14086" width="9.140625" style="1579"/>
    <col min="14087" max="14087" width="14" style="1579" bestFit="1" customWidth="1"/>
    <col min="14088" max="14333" width="9.140625" style="1579"/>
    <col min="14334" max="14334" width="7.7109375" style="1579" customWidth="1"/>
    <col min="14335" max="14335" width="12.7109375" style="1579" customWidth="1"/>
    <col min="14336" max="14336" width="20.7109375" style="1579" customWidth="1"/>
    <col min="14337" max="14337" width="14.7109375" style="1579" customWidth="1"/>
    <col min="14338" max="14338" width="12.7109375" style="1579" customWidth="1"/>
    <col min="14339" max="14339" width="16.7109375" style="1579" customWidth="1"/>
    <col min="14340" max="14340" width="14.7109375" style="1579" customWidth="1"/>
    <col min="14341" max="14342" width="9.140625" style="1579"/>
    <col min="14343" max="14343" width="14" style="1579" bestFit="1" customWidth="1"/>
    <col min="14344" max="14589" width="9.140625" style="1579"/>
    <col min="14590" max="14590" width="7.7109375" style="1579" customWidth="1"/>
    <col min="14591" max="14591" width="12.7109375" style="1579" customWidth="1"/>
    <col min="14592" max="14592" width="20.7109375" style="1579" customWidth="1"/>
    <col min="14593" max="14593" width="14.7109375" style="1579" customWidth="1"/>
    <col min="14594" max="14594" width="12.7109375" style="1579" customWidth="1"/>
    <col min="14595" max="14595" width="16.7109375" style="1579" customWidth="1"/>
    <col min="14596" max="14596" width="14.7109375" style="1579" customWidth="1"/>
    <col min="14597" max="14598" width="9.140625" style="1579"/>
    <col min="14599" max="14599" width="14" style="1579" bestFit="1" customWidth="1"/>
    <col min="14600" max="14845" width="9.140625" style="1579"/>
    <col min="14846" max="14846" width="7.7109375" style="1579" customWidth="1"/>
    <col min="14847" max="14847" width="12.7109375" style="1579" customWidth="1"/>
    <col min="14848" max="14848" width="20.7109375" style="1579" customWidth="1"/>
    <col min="14849" max="14849" width="14.7109375" style="1579" customWidth="1"/>
    <col min="14850" max="14850" width="12.7109375" style="1579" customWidth="1"/>
    <col min="14851" max="14851" width="16.7109375" style="1579" customWidth="1"/>
    <col min="14852" max="14852" width="14.7109375" style="1579" customWidth="1"/>
    <col min="14853" max="14854" width="9.140625" style="1579"/>
    <col min="14855" max="14855" width="14" style="1579" bestFit="1" customWidth="1"/>
    <col min="14856" max="15101" width="9.140625" style="1579"/>
    <col min="15102" max="15102" width="7.7109375" style="1579" customWidth="1"/>
    <col min="15103" max="15103" width="12.7109375" style="1579" customWidth="1"/>
    <col min="15104" max="15104" width="20.7109375" style="1579" customWidth="1"/>
    <col min="15105" max="15105" width="14.7109375" style="1579" customWidth="1"/>
    <col min="15106" max="15106" width="12.7109375" style="1579" customWidth="1"/>
    <col min="15107" max="15107" width="16.7109375" style="1579" customWidth="1"/>
    <col min="15108" max="15108" width="14.7109375" style="1579" customWidth="1"/>
    <col min="15109" max="15110" width="9.140625" style="1579"/>
    <col min="15111" max="15111" width="14" style="1579" bestFit="1" customWidth="1"/>
    <col min="15112" max="15357" width="9.140625" style="1579"/>
    <col min="15358" max="15358" width="7.7109375" style="1579" customWidth="1"/>
    <col min="15359" max="15359" width="12.7109375" style="1579" customWidth="1"/>
    <col min="15360" max="15360" width="20.7109375" style="1579" customWidth="1"/>
    <col min="15361" max="15361" width="14.7109375" style="1579" customWidth="1"/>
    <col min="15362" max="15362" width="12.7109375" style="1579" customWidth="1"/>
    <col min="15363" max="15363" width="16.7109375" style="1579" customWidth="1"/>
    <col min="15364" max="15364" width="14.7109375" style="1579" customWidth="1"/>
    <col min="15365" max="15366" width="9.140625" style="1579"/>
    <col min="15367" max="15367" width="14" style="1579" bestFit="1" customWidth="1"/>
    <col min="15368" max="15613" width="9.140625" style="1579"/>
    <col min="15614" max="15614" width="7.7109375" style="1579" customWidth="1"/>
    <col min="15615" max="15615" width="12.7109375" style="1579" customWidth="1"/>
    <col min="15616" max="15616" width="20.7109375" style="1579" customWidth="1"/>
    <col min="15617" max="15617" width="14.7109375" style="1579" customWidth="1"/>
    <col min="15618" max="15618" width="12.7109375" style="1579" customWidth="1"/>
    <col min="15619" max="15619" width="16.7109375" style="1579" customWidth="1"/>
    <col min="15620" max="15620" width="14.7109375" style="1579" customWidth="1"/>
    <col min="15621" max="15622" width="9.140625" style="1579"/>
    <col min="15623" max="15623" width="14" style="1579" bestFit="1" customWidth="1"/>
    <col min="15624" max="15869" width="9.140625" style="1579"/>
    <col min="15870" max="15870" width="7.7109375" style="1579" customWidth="1"/>
    <col min="15871" max="15871" width="12.7109375" style="1579" customWidth="1"/>
    <col min="15872" max="15872" width="20.7109375" style="1579" customWidth="1"/>
    <col min="15873" max="15873" width="14.7109375" style="1579" customWidth="1"/>
    <col min="15874" max="15874" width="12.7109375" style="1579" customWidth="1"/>
    <col min="15875" max="15875" width="16.7109375" style="1579" customWidth="1"/>
    <col min="15876" max="15876" width="14.7109375" style="1579" customWidth="1"/>
    <col min="15877" max="15878" width="9.140625" style="1579"/>
    <col min="15879" max="15879" width="14" style="1579" bestFit="1" customWidth="1"/>
    <col min="15880" max="16125" width="9.140625" style="1579"/>
    <col min="16126" max="16126" width="7.7109375" style="1579" customWidth="1"/>
    <col min="16127" max="16127" width="12.7109375" style="1579" customWidth="1"/>
    <col min="16128" max="16128" width="20.7109375" style="1579" customWidth="1"/>
    <col min="16129" max="16129" width="14.7109375" style="1579" customWidth="1"/>
    <col min="16130" max="16130" width="12.7109375" style="1579" customWidth="1"/>
    <col min="16131" max="16131" width="16.7109375" style="1579" customWidth="1"/>
    <col min="16132" max="16132" width="14.7109375" style="1579" customWidth="1"/>
    <col min="16133" max="16134" width="9.140625" style="1579"/>
    <col min="16135" max="16135" width="14" style="1579" bestFit="1" customWidth="1"/>
    <col min="16136" max="16384" width="9.140625" style="1579"/>
  </cols>
  <sheetData>
    <row r="1" spans="1:8" ht="24">
      <c r="A1" s="1578"/>
      <c r="B1" s="1578"/>
      <c r="C1" s="1578"/>
      <c r="D1" s="1578"/>
      <c r="E1" s="1578"/>
      <c r="F1" s="1510" t="s">
        <v>2422</v>
      </c>
    </row>
    <row r="2" spans="1:8" ht="24">
      <c r="A2" s="1938" t="s">
        <v>1</v>
      </c>
      <c r="B2" s="1938"/>
      <c r="C2" s="1938"/>
      <c r="D2" s="1938"/>
      <c r="E2" s="1938"/>
      <c r="F2" s="1938"/>
    </row>
    <row r="3" spans="1:8" ht="24">
      <c r="A3" s="1924" t="s">
        <v>2423</v>
      </c>
      <c r="B3" s="1924"/>
      <c r="C3" s="1924"/>
      <c r="D3" s="1924"/>
      <c r="E3" s="1578"/>
      <c r="F3" s="1578"/>
    </row>
    <row r="4" spans="1:8" ht="24">
      <c r="A4" s="1580" t="s">
        <v>2424</v>
      </c>
      <c r="B4" s="1580"/>
      <c r="C4" s="1580"/>
      <c r="D4" s="1580"/>
      <c r="E4" s="1578"/>
      <c r="F4" s="1578"/>
    </row>
    <row r="5" spans="1:8" ht="24">
      <c r="A5" s="1924" t="s">
        <v>2410</v>
      </c>
      <c r="B5" s="1924"/>
      <c r="C5" s="1924"/>
      <c r="D5" s="1924"/>
      <c r="E5" s="1578"/>
      <c r="F5" s="1578"/>
    </row>
    <row r="6" spans="1:8" ht="24">
      <c r="A6" s="1580" t="s">
        <v>2425</v>
      </c>
      <c r="B6" s="1580"/>
      <c r="C6" s="1580"/>
      <c r="D6" s="1580" t="s">
        <v>2426</v>
      </c>
      <c r="E6" s="1923" t="s">
        <v>2427</v>
      </c>
      <c r="F6" s="1924"/>
    </row>
    <row r="7" spans="1:8" ht="24">
      <c r="A7" s="1581" t="s">
        <v>2428</v>
      </c>
      <c r="B7" s="1581"/>
      <c r="C7" s="1581"/>
      <c r="D7" s="1582" t="s">
        <v>2450</v>
      </c>
      <c r="E7" s="1581"/>
      <c r="F7" s="1580"/>
    </row>
    <row r="8" spans="1:8" ht="24.75" thickBot="1">
      <c r="A8" s="1583"/>
      <c r="B8" s="1583"/>
      <c r="C8" s="1583"/>
      <c r="D8" s="1583"/>
      <c r="E8" s="1583"/>
      <c r="F8" s="1583"/>
    </row>
    <row r="9" spans="1:8" ht="25.5" thickTop="1" thickBot="1">
      <c r="A9" s="1584" t="s">
        <v>9</v>
      </c>
      <c r="B9" s="1939" t="s">
        <v>10</v>
      </c>
      <c r="C9" s="1940"/>
      <c r="D9" s="1585" t="s">
        <v>2429</v>
      </c>
      <c r="E9" s="1584" t="s">
        <v>2430</v>
      </c>
      <c r="F9" s="1586" t="s">
        <v>24</v>
      </c>
    </row>
    <row r="10" spans="1:8" ht="24.75" thickTop="1">
      <c r="A10" s="253" t="s">
        <v>2431</v>
      </c>
      <c r="B10" s="1587" t="s">
        <v>15</v>
      </c>
      <c r="C10" s="1588"/>
      <c r="D10" s="1523"/>
      <c r="E10" s="1589"/>
      <c r="F10" s="1590"/>
    </row>
    <row r="11" spans="1:8" ht="24">
      <c r="A11" s="1591">
        <v>1</v>
      </c>
      <c r="B11" s="1936" t="s">
        <v>17</v>
      </c>
      <c r="C11" s="1937"/>
      <c r="D11" s="1592"/>
      <c r="E11" s="360"/>
      <c r="F11" s="1593"/>
      <c r="G11" s="1594"/>
    </row>
    <row r="12" spans="1:8" ht="24">
      <c r="A12" s="1595">
        <v>1.1000000000000001</v>
      </c>
      <c r="B12" s="1596" t="s">
        <v>2432</v>
      </c>
      <c r="C12" s="1596"/>
      <c r="D12" s="1597"/>
      <c r="E12" s="360"/>
      <c r="F12" s="1600"/>
      <c r="G12" s="1594"/>
      <c r="H12" s="1918"/>
    </row>
    <row r="13" spans="1:8" ht="24">
      <c r="A13" s="1599">
        <v>2</v>
      </c>
      <c r="B13" s="1929" t="s">
        <v>19</v>
      </c>
      <c r="C13" s="1930"/>
      <c r="D13" s="1600"/>
      <c r="E13" s="360"/>
      <c r="F13" s="1600"/>
      <c r="H13" s="1918"/>
    </row>
    <row r="14" spans="1:8" ht="24">
      <c r="A14" s="1595">
        <v>2.1</v>
      </c>
      <c r="B14" s="1538" t="s">
        <v>2433</v>
      </c>
      <c r="C14" s="1538"/>
      <c r="D14" s="1601"/>
      <c r="E14" s="360"/>
      <c r="F14" s="1600"/>
      <c r="H14" s="1918"/>
    </row>
    <row r="15" spans="1:8" ht="24">
      <c r="A15" s="1595">
        <v>2.2000000000000002</v>
      </c>
      <c r="B15" s="1538" t="s">
        <v>2434</v>
      </c>
      <c r="C15" s="1538"/>
      <c r="D15" s="1601"/>
      <c r="E15" s="360"/>
      <c r="F15" s="1600"/>
      <c r="H15" s="1918"/>
    </row>
    <row r="16" spans="1:8" ht="24">
      <c r="A16" s="1602">
        <v>3</v>
      </c>
      <c r="B16" s="1535" t="s">
        <v>465</v>
      </c>
      <c r="C16" s="1603"/>
      <c r="D16" s="1600"/>
      <c r="E16" s="360"/>
      <c r="F16" s="1647"/>
      <c r="H16" s="1918"/>
    </row>
    <row r="17" spans="1:8" ht="24">
      <c r="A17" s="1595">
        <v>3.1</v>
      </c>
      <c r="B17" s="1538" t="s">
        <v>2435</v>
      </c>
      <c r="C17" s="1605"/>
      <c r="D17" s="1601"/>
      <c r="E17" s="360"/>
      <c r="F17" s="1600"/>
      <c r="H17" s="1918"/>
    </row>
    <row r="18" spans="1:8" ht="24">
      <c r="A18" s="1595">
        <v>3.2</v>
      </c>
      <c r="B18" s="1538" t="s">
        <v>2436</v>
      </c>
      <c r="C18" s="1603"/>
      <c r="D18" s="1601"/>
      <c r="E18" s="360"/>
      <c r="F18" s="1600"/>
      <c r="G18" s="1594">
        <f>SUM(D18*E18)</f>
        <v>0</v>
      </c>
      <c r="H18" s="1918"/>
    </row>
    <row r="19" spans="1:8" ht="24">
      <c r="A19" s="1606"/>
      <c r="B19" s="1931" t="s">
        <v>2437</v>
      </c>
      <c r="C19" s="1932"/>
      <c r="D19" s="1606"/>
      <c r="E19" s="1607"/>
      <c r="F19" s="1917"/>
      <c r="G19" s="1594">
        <v>175942424.63844573</v>
      </c>
      <c r="H19" s="1594"/>
    </row>
    <row r="20" spans="1:8" ht="24">
      <c r="A20" s="1609"/>
      <c r="B20" s="1610"/>
      <c r="C20" s="1611"/>
      <c r="D20" s="1609"/>
      <c r="E20" s="1612"/>
      <c r="F20" s="1613"/>
    </row>
    <row r="21" spans="1:8" ht="24">
      <c r="A21" s="1614"/>
      <c r="B21" s="1615" t="s">
        <v>2472</v>
      </c>
      <c r="C21" s="1616"/>
      <c r="D21" s="1617"/>
      <c r="E21" s="1618"/>
      <c r="F21" s="1617"/>
    </row>
    <row r="22" spans="1:8" ht="24">
      <c r="A22" s="1599"/>
      <c r="B22" s="1619" t="s">
        <v>2438</v>
      </c>
      <c r="C22" s="1620"/>
      <c r="D22" s="1620"/>
      <c r="E22" s="1621"/>
      <c r="F22" s="1598"/>
    </row>
    <row r="23" spans="1:8" ht="24">
      <c r="A23" s="1599"/>
      <c r="B23" s="1622" t="s">
        <v>2439</v>
      </c>
      <c r="C23" s="1623"/>
      <c r="D23" s="1623"/>
      <c r="E23" s="1621"/>
      <c r="F23" s="1598"/>
    </row>
    <row r="24" spans="1:8" ht="24">
      <c r="A24" s="1624"/>
      <c r="B24" s="1625" t="s">
        <v>2440</v>
      </c>
      <c r="C24" s="1626"/>
      <c r="D24" s="1626"/>
      <c r="E24" s="1621"/>
      <c r="F24" s="1627"/>
    </row>
    <row r="25" spans="1:8" ht="24.75" thickBot="1">
      <c r="A25" s="1628"/>
      <c r="B25" s="1629" t="s">
        <v>2441</v>
      </c>
      <c r="C25" s="1630"/>
      <c r="D25" s="1630"/>
      <c r="E25" s="1631"/>
      <c r="F25" s="1632"/>
    </row>
    <row r="26" spans="1:8" ht="25.5" thickTop="1" thickBot="1">
      <c r="A26" s="1633"/>
      <c r="B26" s="1634"/>
      <c r="C26" s="1634"/>
      <c r="D26" s="1933" t="s">
        <v>24</v>
      </c>
      <c r="E26" s="1934"/>
      <c r="F26" s="1635">
        <f>F19</f>
        <v>0</v>
      </c>
    </row>
    <row r="27" spans="1:8" ht="24.75" thickTop="1">
      <c r="A27" s="1633"/>
      <c r="B27" s="1935"/>
      <c r="C27" s="1935"/>
      <c r="D27" s="1636"/>
      <c r="E27" s="1637"/>
      <c r="F27" s="1637"/>
    </row>
    <row r="28" spans="1:8" ht="24">
      <c r="A28" s="1578"/>
      <c r="B28" s="1578"/>
      <c r="C28" s="1578"/>
      <c r="D28" s="1578"/>
      <c r="E28" s="1578"/>
      <c r="F28" s="1578"/>
    </row>
    <row r="29" spans="1:8" ht="24">
      <c r="A29" s="1638"/>
      <c r="B29" s="1928"/>
      <c r="C29" s="1928"/>
      <c r="D29" s="1639"/>
      <c r="E29" s="1928"/>
      <c r="F29" s="1928"/>
    </row>
    <row r="30" spans="1:8" ht="24">
      <c r="A30" s="1638"/>
      <c r="B30" s="1928"/>
      <c r="C30" s="1928"/>
      <c r="D30" s="1639"/>
      <c r="E30" s="1928"/>
      <c r="F30" s="1928"/>
    </row>
    <row r="31" spans="1:8" ht="24">
      <c r="A31" s="1578"/>
      <c r="B31" s="1928"/>
      <c r="C31" s="1928"/>
      <c r="D31" s="1578"/>
      <c r="E31" s="1928"/>
      <c r="F31" s="1928"/>
    </row>
    <row r="32" spans="1:8" ht="24"/>
    <row r="33" spans="1:6" ht="24">
      <c r="A33" s="1638"/>
      <c r="B33" s="1928"/>
      <c r="C33" s="1928"/>
      <c r="D33" s="1639"/>
      <c r="E33" s="1928"/>
      <c r="F33" s="1928"/>
    </row>
    <row r="34" spans="1:6" ht="24">
      <c r="A34" s="1638"/>
      <c r="B34" s="1928"/>
      <c r="C34" s="1928"/>
      <c r="D34" s="1639"/>
      <c r="E34" s="1928"/>
      <c r="F34" s="1928"/>
    </row>
    <row r="35" spans="1:6" ht="24">
      <c r="A35" s="1578"/>
      <c r="B35" s="1928"/>
      <c r="C35" s="1928"/>
      <c r="D35" s="1578"/>
      <c r="E35" s="1928"/>
      <c r="F35" s="1928"/>
    </row>
    <row r="36" spans="1:6" ht="24"/>
    <row r="37" spans="1:6" ht="24"/>
    <row r="38" spans="1:6" ht="24"/>
    <row r="39" spans="1:6" ht="24"/>
    <row r="40" spans="1:6" ht="24"/>
    <row r="41" spans="1:6" ht="24"/>
    <row r="42" spans="1:6" ht="24"/>
    <row r="43" spans="1:6" ht="24"/>
    <row r="44" spans="1:6" ht="24"/>
  </sheetData>
  <mergeCells count="22">
    <mergeCell ref="B11:C11"/>
    <mergeCell ref="A2:F2"/>
    <mergeCell ref="A3:D3"/>
    <mergeCell ref="A5:D5"/>
    <mergeCell ref="E6:F6"/>
    <mergeCell ref="B9:C9"/>
    <mergeCell ref="B13:C13"/>
    <mergeCell ref="B19:C19"/>
    <mergeCell ref="D26:E26"/>
    <mergeCell ref="B27:C27"/>
    <mergeCell ref="B29:C29"/>
    <mergeCell ref="E29:F29"/>
    <mergeCell ref="B34:C34"/>
    <mergeCell ref="E34:F34"/>
    <mergeCell ref="B35:C35"/>
    <mergeCell ref="E35:F35"/>
    <mergeCell ref="B30:C30"/>
    <mergeCell ref="E30:F30"/>
    <mergeCell ref="B31:C31"/>
    <mergeCell ref="E31:F31"/>
    <mergeCell ref="B33:C33"/>
    <mergeCell ref="E33:F33"/>
  </mergeCells>
  <printOptions horizontalCentered="1"/>
  <pageMargins left="0.25" right="0.25" top="0.75" bottom="0.75" header="0.3" footer="0.3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0"/>
  <sheetViews>
    <sheetView showGridLines="0" view="pageBreakPreview" topLeftCell="D7" zoomScaleNormal="100" zoomScaleSheetLayoutView="100" workbookViewId="0">
      <selection activeCell="G54" sqref="G54:H54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4.28515625" style="361" customWidth="1"/>
    <col min="5" max="5" width="9.85546875" style="361" customWidth="1"/>
    <col min="6" max="6" width="8.14062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384" width="9.140625" style="361"/>
  </cols>
  <sheetData>
    <row r="1" spans="1:12" ht="26.25">
      <c r="E1" s="88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1686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10"/>
      <c r="L4" s="211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380" t="s">
        <v>32</v>
      </c>
      <c r="H6" s="381">
        <v>15</v>
      </c>
      <c r="I6" s="382" t="s">
        <v>33</v>
      </c>
      <c r="J6" s="383" t="s">
        <v>525</v>
      </c>
      <c r="K6" s="384" t="s">
        <v>526</v>
      </c>
      <c r="L6" s="2131" t="s">
        <v>45</v>
      </c>
    </row>
    <row r="7" spans="1:12" ht="1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15">
        <v>5</v>
      </c>
      <c r="B10" s="2118" t="s">
        <v>1687</v>
      </c>
      <c r="C10" s="2119"/>
      <c r="D10" s="2120"/>
      <c r="E10" s="1016"/>
      <c r="F10" s="394"/>
      <c r="G10" s="1017"/>
      <c r="H10" s="1018"/>
      <c r="I10" s="1017"/>
      <c r="J10" s="1018"/>
      <c r="K10" s="1019"/>
      <c r="L10" s="398"/>
    </row>
    <row r="11" spans="1:12" ht="24">
      <c r="A11" s="442">
        <f>A31</f>
        <v>5.0999999999999996</v>
      </c>
      <c r="B11" s="483" t="str">
        <f>B31</f>
        <v>งานเครื่องปรับอากาศ</v>
      </c>
      <c r="C11" s="1020"/>
      <c r="D11" s="409"/>
      <c r="E11" s="757"/>
      <c r="F11" s="742"/>
      <c r="G11" s="754"/>
      <c r="H11" s="753"/>
      <c r="I11" s="754"/>
      <c r="J11" s="753"/>
      <c r="K11" s="758"/>
      <c r="L11" s="757"/>
    </row>
    <row r="12" spans="1:12" ht="24">
      <c r="A12" s="422">
        <f>A52</f>
        <v>5.2</v>
      </c>
      <c r="B12" s="408" t="str">
        <f>B52</f>
        <v>งานพัดลมระบายอากาศ</v>
      </c>
      <c r="C12" s="1020"/>
      <c r="D12" s="417"/>
      <c r="E12" s="874"/>
      <c r="F12" s="851"/>
      <c r="G12" s="812"/>
      <c r="H12" s="852"/>
      <c r="I12" s="812"/>
      <c r="J12" s="852"/>
      <c r="K12" s="758"/>
      <c r="L12" s="874"/>
    </row>
    <row r="13" spans="1:12" ht="24">
      <c r="A13" s="422">
        <f>A138</f>
        <v>5.3</v>
      </c>
      <c r="B13" s="471" t="str">
        <f>B138</f>
        <v>งานท่อน้ำยาและฉนวน</v>
      </c>
      <c r="C13" s="408"/>
      <c r="D13" s="417"/>
      <c r="E13" s="874"/>
      <c r="F13" s="851"/>
      <c r="G13" s="812"/>
      <c r="H13" s="852"/>
      <c r="I13" s="812"/>
      <c r="J13" s="852"/>
      <c r="K13" s="758"/>
      <c r="L13" s="874"/>
    </row>
    <row r="14" spans="1:12" ht="24">
      <c r="A14" s="422">
        <f>A157</f>
        <v>5.4</v>
      </c>
      <c r="B14" s="471" t="str">
        <f>B157</f>
        <v>งานท่อน้ำทิ้ง</v>
      </c>
      <c r="C14" s="408"/>
      <c r="D14" s="417"/>
      <c r="E14" s="874"/>
      <c r="F14" s="851"/>
      <c r="G14" s="812"/>
      <c r="H14" s="852"/>
      <c r="I14" s="812"/>
      <c r="J14" s="852"/>
      <c r="K14" s="758"/>
      <c r="L14" s="874"/>
    </row>
    <row r="15" spans="1:12" ht="24">
      <c r="A15" s="422">
        <f>A178</f>
        <v>5.5</v>
      </c>
      <c r="B15" s="471" t="str">
        <f>B178</f>
        <v>งานท่อลม</v>
      </c>
      <c r="C15" s="408"/>
      <c r="D15" s="418"/>
      <c r="E15" s="757"/>
      <c r="F15" s="742"/>
      <c r="G15" s="754"/>
      <c r="H15" s="753"/>
      <c r="I15" s="754"/>
      <c r="J15" s="753"/>
      <c r="K15" s="758"/>
      <c r="L15" s="757"/>
    </row>
    <row r="16" spans="1:12" ht="24">
      <c r="A16" s="422">
        <f>A192</f>
        <v>5.6</v>
      </c>
      <c r="B16" s="471" t="str">
        <f>B192</f>
        <v>หน้ากากลม</v>
      </c>
      <c r="C16" s="408"/>
      <c r="D16" s="418"/>
      <c r="E16" s="757"/>
      <c r="F16" s="742"/>
      <c r="G16" s="754"/>
      <c r="H16" s="753"/>
      <c r="I16" s="754"/>
      <c r="J16" s="753"/>
      <c r="K16" s="758"/>
      <c r="L16" s="757"/>
    </row>
    <row r="17" spans="1:12" ht="24">
      <c r="A17" s="422">
        <f>A210</f>
        <v>5.7</v>
      </c>
      <c r="B17" s="471" t="str">
        <f>B210</f>
        <v>ไฟฟ้าสำหรับระบบปรับอากาศ</v>
      </c>
      <c r="C17" s="408"/>
      <c r="D17" s="418"/>
      <c r="E17" s="757"/>
      <c r="F17" s="742"/>
      <c r="G17" s="754"/>
      <c r="H17" s="753"/>
      <c r="I17" s="754"/>
      <c r="J17" s="753"/>
      <c r="K17" s="758"/>
      <c r="L17" s="757"/>
    </row>
    <row r="18" spans="1:12" ht="24">
      <c r="A18" s="424"/>
      <c r="B18" s="425"/>
      <c r="C18" s="408"/>
      <c r="D18" s="418"/>
      <c r="E18" s="757"/>
      <c r="F18" s="742"/>
      <c r="G18" s="754"/>
      <c r="H18" s="753"/>
      <c r="I18" s="754"/>
      <c r="J18" s="753"/>
      <c r="K18" s="758"/>
      <c r="L18" s="757"/>
    </row>
    <row r="19" spans="1:12" ht="24">
      <c r="A19" s="422"/>
      <c r="B19" s="425"/>
      <c r="C19" s="408"/>
      <c r="D19" s="418"/>
      <c r="E19" s="757"/>
      <c r="F19" s="742"/>
      <c r="G19" s="754"/>
      <c r="H19" s="753"/>
      <c r="I19" s="754"/>
      <c r="J19" s="753"/>
      <c r="K19" s="758"/>
      <c r="L19" s="757"/>
    </row>
    <row r="20" spans="1:12" ht="24">
      <c r="A20" s="422"/>
      <c r="B20" s="425"/>
      <c r="C20" s="408"/>
      <c r="D20" s="418"/>
      <c r="E20" s="757"/>
      <c r="F20" s="742"/>
      <c r="G20" s="754"/>
      <c r="H20" s="753"/>
      <c r="I20" s="754"/>
      <c r="J20" s="753"/>
      <c r="K20" s="758"/>
      <c r="L20" s="757"/>
    </row>
    <row r="21" spans="1:12" ht="24">
      <c r="A21" s="422"/>
      <c r="B21" s="425"/>
      <c r="C21" s="408"/>
      <c r="D21" s="418"/>
      <c r="E21" s="757"/>
      <c r="F21" s="742"/>
      <c r="G21" s="754"/>
      <c r="H21" s="753"/>
      <c r="I21" s="754"/>
      <c r="J21" s="753"/>
      <c r="K21" s="758"/>
      <c r="L21" s="757"/>
    </row>
    <row r="22" spans="1:12" ht="24">
      <c r="A22" s="422"/>
      <c r="B22" s="425"/>
      <c r="C22" s="408"/>
      <c r="D22" s="418"/>
      <c r="E22" s="757"/>
      <c r="F22" s="742"/>
      <c r="G22" s="754"/>
      <c r="H22" s="753"/>
      <c r="I22" s="754"/>
      <c r="J22" s="753"/>
      <c r="K22" s="758"/>
      <c r="L22" s="757"/>
    </row>
    <row r="23" spans="1:12" ht="24">
      <c r="A23" s="422"/>
      <c r="B23" s="425"/>
      <c r="C23" s="408"/>
      <c r="D23" s="418"/>
      <c r="E23" s="757"/>
      <c r="F23" s="742"/>
      <c r="G23" s="754"/>
      <c r="H23" s="753"/>
      <c r="I23" s="754"/>
      <c r="J23" s="753"/>
      <c r="K23" s="758"/>
      <c r="L23" s="757"/>
    </row>
    <row r="24" spans="1:12" ht="24">
      <c r="A24" s="422"/>
      <c r="B24" s="425"/>
      <c r="C24" s="408"/>
      <c r="D24" s="418"/>
      <c r="E24" s="757"/>
      <c r="F24" s="742"/>
      <c r="G24" s="754"/>
      <c r="H24" s="753"/>
      <c r="I24" s="754"/>
      <c r="J24" s="753"/>
      <c r="K24" s="758"/>
      <c r="L24" s="757"/>
    </row>
    <row r="25" spans="1:12" ht="24">
      <c r="A25" s="422"/>
      <c r="B25" s="425"/>
      <c r="C25" s="408"/>
      <c r="D25" s="418"/>
      <c r="E25" s="757"/>
      <c r="F25" s="742"/>
      <c r="G25" s="754"/>
      <c r="H25" s="753"/>
      <c r="I25" s="754"/>
      <c r="J25" s="753"/>
      <c r="K25" s="758"/>
      <c r="L25" s="757"/>
    </row>
    <row r="26" spans="1:12" ht="24">
      <c r="A26" s="422"/>
      <c r="B26" s="425"/>
      <c r="C26" s="408"/>
      <c r="D26" s="418"/>
      <c r="E26" s="757"/>
      <c r="F26" s="742"/>
      <c r="G26" s="754"/>
      <c r="H26" s="753"/>
      <c r="I26" s="754"/>
      <c r="J26" s="753"/>
      <c r="K26" s="758"/>
      <c r="L26" s="757"/>
    </row>
    <row r="27" spans="1:12" ht="24">
      <c r="A27" s="426"/>
      <c r="B27" s="425"/>
      <c r="C27" s="408"/>
      <c r="D27" s="418"/>
      <c r="E27" s="757"/>
      <c r="F27" s="742"/>
      <c r="G27" s="754"/>
      <c r="H27" s="753"/>
      <c r="I27" s="754"/>
      <c r="J27" s="753"/>
      <c r="K27" s="758"/>
      <c r="L27" s="757"/>
    </row>
    <row r="28" spans="1:12" ht="24">
      <c r="A28" s="426"/>
      <c r="B28" s="425"/>
      <c r="C28" s="408"/>
      <c r="D28" s="418"/>
      <c r="E28" s="757"/>
      <c r="F28" s="742"/>
      <c r="G28" s="754"/>
      <c r="H28" s="753"/>
      <c r="I28" s="754"/>
      <c r="J28" s="753"/>
      <c r="K28" s="758"/>
      <c r="L28" s="757"/>
    </row>
    <row r="29" spans="1:12" ht="24.75" thickBot="1">
      <c r="A29" s="426"/>
      <c r="B29" s="425"/>
      <c r="C29" s="408"/>
      <c r="D29" s="418"/>
      <c r="E29" s="757"/>
      <c r="F29" s="742"/>
      <c r="G29" s="754"/>
      <c r="H29" s="753"/>
      <c r="I29" s="754"/>
      <c r="J29" s="753"/>
      <c r="K29" s="758"/>
      <c r="L29" s="757"/>
    </row>
    <row r="30" spans="1:12" ht="24.75" thickTop="1">
      <c r="A30" s="427"/>
      <c r="B30" s="2084" t="s">
        <v>69</v>
      </c>
      <c r="C30" s="2085"/>
      <c r="D30" s="2086"/>
      <c r="E30" s="760"/>
      <c r="F30" s="760"/>
      <c r="G30" s="1021"/>
      <c r="H30" s="762"/>
      <c r="I30" s="1021"/>
      <c r="J30" s="762"/>
      <c r="K30" s="764"/>
      <c r="L30" s="1022"/>
    </row>
    <row r="31" spans="1:12" ht="24">
      <c r="A31" s="1015">
        <v>5.0999999999999996</v>
      </c>
      <c r="B31" s="2101" t="s">
        <v>1688</v>
      </c>
      <c r="C31" s="2102"/>
      <c r="D31" s="2103"/>
      <c r="E31" s="1023"/>
      <c r="F31" s="1023"/>
      <c r="G31" s="812"/>
      <c r="H31" s="852"/>
      <c r="I31" s="812"/>
      <c r="J31" s="852"/>
      <c r="K31" s="1024"/>
      <c r="L31" s="1025"/>
    </row>
    <row r="32" spans="1:12" ht="24">
      <c r="A32" s="446" t="s">
        <v>1689</v>
      </c>
      <c r="B32" s="476" t="s">
        <v>1690</v>
      </c>
      <c r="C32" s="408"/>
      <c r="D32" s="417"/>
      <c r="E32" s="851"/>
      <c r="F32" s="742"/>
      <c r="G32" s="812"/>
      <c r="H32" s="753"/>
      <c r="I32" s="812"/>
      <c r="J32" s="753"/>
      <c r="K32" s="758"/>
      <c r="L32" s="1026"/>
    </row>
    <row r="33" spans="1:14" ht="24">
      <c r="A33" s="1027" t="s">
        <v>1691</v>
      </c>
      <c r="B33" s="1028" t="s">
        <v>1692</v>
      </c>
      <c r="C33" s="90"/>
      <c r="D33" s="523"/>
      <c r="E33" s="963"/>
      <c r="F33" s="781"/>
      <c r="G33" s="919"/>
      <c r="H33" s="777"/>
      <c r="I33" s="812"/>
      <c r="J33" s="753"/>
      <c r="K33" s="758"/>
      <c r="L33" s="1026"/>
    </row>
    <row r="34" spans="1:14" ht="24">
      <c r="A34" s="1027"/>
      <c r="B34" s="1029" t="s">
        <v>134</v>
      </c>
      <c r="C34" s="90" t="s">
        <v>1693</v>
      </c>
      <c r="D34" s="523"/>
      <c r="E34" s="1146"/>
      <c r="F34" s="781"/>
      <c r="G34" s="2165"/>
      <c r="H34" s="2166"/>
      <c r="I34" s="812"/>
      <c r="J34" s="753"/>
      <c r="K34" s="758"/>
      <c r="L34" s="1030"/>
      <c r="N34" s="1031">
        <v>1</v>
      </c>
    </row>
    <row r="35" spans="1:14" ht="24">
      <c r="A35" s="1027"/>
      <c r="B35" s="1029" t="s">
        <v>134</v>
      </c>
      <c r="C35" s="90" t="s">
        <v>1694</v>
      </c>
      <c r="D35" s="523"/>
      <c r="E35" s="1146"/>
      <c r="F35" s="781"/>
      <c r="G35" s="2165"/>
      <c r="H35" s="2166"/>
      <c r="I35" s="812"/>
      <c r="J35" s="753"/>
      <c r="K35" s="758"/>
      <c r="L35" s="1030"/>
      <c r="N35" s="1031">
        <v>2</v>
      </c>
    </row>
    <row r="36" spans="1:14" ht="24">
      <c r="A36" s="1027"/>
      <c r="B36" s="1029" t="s">
        <v>134</v>
      </c>
      <c r="C36" s="90" t="s">
        <v>1695</v>
      </c>
      <c r="D36" s="523"/>
      <c r="E36" s="1146"/>
      <c r="F36" s="781"/>
      <c r="G36" s="2165"/>
      <c r="H36" s="2166"/>
      <c r="I36" s="812"/>
      <c r="J36" s="753"/>
      <c r="K36" s="758"/>
      <c r="L36" s="1030"/>
      <c r="N36" s="1031">
        <v>2</v>
      </c>
    </row>
    <row r="37" spans="1:14" ht="24">
      <c r="A37" s="1027"/>
      <c r="B37" s="1029" t="s">
        <v>134</v>
      </c>
      <c r="C37" s="90" t="s">
        <v>1696</v>
      </c>
      <c r="D37" s="523"/>
      <c r="E37" s="1146"/>
      <c r="F37" s="781"/>
      <c r="G37" s="2165"/>
      <c r="H37" s="2166"/>
      <c r="I37" s="812"/>
      <c r="J37" s="753"/>
      <c r="K37" s="758"/>
      <c r="L37" s="1030"/>
      <c r="N37" s="1031">
        <v>2</v>
      </c>
    </row>
    <row r="38" spans="1:14" ht="24">
      <c r="A38" s="1027"/>
      <c r="B38" s="1029" t="s">
        <v>134</v>
      </c>
      <c r="C38" s="90" t="s">
        <v>1697</v>
      </c>
      <c r="D38" s="523"/>
      <c r="E38" s="1146"/>
      <c r="F38" s="781"/>
      <c r="G38" s="2165"/>
      <c r="H38" s="2166"/>
      <c r="I38" s="812"/>
      <c r="J38" s="753"/>
      <c r="K38" s="758"/>
      <c r="L38" s="1030"/>
      <c r="N38" s="1031">
        <v>2</v>
      </c>
    </row>
    <row r="39" spans="1:14" ht="24">
      <c r="A39" s="1027"/>
      <c r="B39" s="1029" t="s">
        <v>134</v>
      </c>
      <c r="C39" s="90" t="s">
        <v>1698</v>
      </c>
      <c r="D39" s="523"/>
      <c r="E39" s="1146"/>
      <c r="F39" s="781"/>
      <c r="G39" s="2165"/>
      <c r="H39" s="2166"/>
      <c r="I39" s="812"/>
      <c r="J39" s="753"/>
      <c r="K39" s="758"/>
      <c r="L39" s="1030"/>
      <c r="N39" s="1031">
        <v>2</v>
      </c>
    </row>
    <row r="40" spans="1:14" ht="24">
      <c r="A40" s="1027"/>
      <c r="B40" s="1029" t="s">
        <v>134</v>
      </c>
      <c r="C40" s="90" t="s">
        <v>1699</v>
      </c>
      <c r="D40" s="523"/>
      <c r="E40" s="1146"/>
      <c r="F40" s="781"/>
      <c r="G40" s="2165"/>
      <c r="H40" s="2166"/>
      <c r="I40" s="812"/>
      <c r="J40" s="753"/>
      <c r="K40" s="758"/>
      <c r="L40" s="1030"/>
      <c r="N40" s="1031">
        <v>2</v>
      </c>
    </row>
    <row r="41" spans="1:14" ht="24">
      <c r="A41" s="1027"/>
      <c r="B41" s="1029" t="s">
        <v>134</v>
      </c>
      <c r="C41" s="90" t="s">
        <v>1700</v>
      </c>
      <c r="D41" s="523"/>
      <c r="E41" s="1146"/>
      <c r="F41" s="781"/>
      <c r="G41" s="2165"/>
      <c r="H41" s="2166"/>
      <c r="I41" s="812"/>
      <c r="J41" s="753"/>
      <c r="K41" s="758"/>
      <c r="L41" s="1030"/>
      <c r="N41" s="1031">
        <v>2</v>
      </c>
    </row>
    <row r="42" spans="1:14" ht="24">
      <c r="A42" s="1027"/>
      <c r="B42" s="1029" t="s">
        <v>134</v>
      </c>
      <c r="C42" s="90" t="s">
        <v>1701</v>
      </c>
      <c r="D42" s="523"/>
      <c r="E42" s="1146"/>
      <c r="F42" s="781"/>
      <c r="G42" s="2165"/>
      <c r="H42" s="2166"/>
      <c r="I42" s="812"/>
      <c r="J42" s="753"/>
      <c r="K42" s="758"/>
      <c r="L42" s="1030"/>
      <c r="N42" s="1031">
        <v>2</v>
      </c>
    </row>
    <row r="43" spans="1:14" ht="24">
      <c r="A43" s="1027"/>
      <c r="B43" s="1029" t="s">
        <v>134</v>
      </c>
      <c r="C43" s="90" t="s">
        <v>1702</v>
      </c>
      <c r="D43" s="523"/>
      <c r="E43" s="1146"/>
      <c r="F43" s="781"/>
      <c r="G43" s="2165"/>
      <c r="H43" s="2166"/>
      <c r="I43" s="812"/>
      <c r="J43" s="753"/>
      <c r="K43" s="758"/>
      <c r="L43" s="1030"/>
      <c r="N43" s="1031">
        <v>2</v>
      </c>
    </row>
    <row r="44" spans="1:14" ht="24">
      <c r="A44" s="1027"/>
      <c r="B44" s="1029" t="s">
        <v>134</v>
      </c>
      <c r="C44" s="90" t="s">
        <v>1703</v>
      </c>
      <c r="D44" s="523"/>
      <c r="E44" s="1146"/>
      <c r="F44" s="781"/>
      <c r="G44" s="2165"/>
      <c r="H44" s="2166"/>
      <c r="I44" s="812"/>
      <c r="J44" s="753"/>
      <c r="K44" s="758"/>
      <c r="L44" s="1030"/>
      <c r="N44" s="1031">
        <v>2</v>
      </c>
    </row>
    <row r="45" spans="1:14" ht="24">
      <c r="A45" s="1027"/>
      <c r="B45" s="1029" t="s">
        <v>134</v>
      </c>
      <c r="C45" s="90" t="s">
        <v>1704</v>
      </c>
      <c r="D45" s="523"/>
      <c r="E45" s="1146"/>
      <c r="F45" s="781"/>
      <c r="G45" s="2165"/>
      <c r="H45" s="2166"/>
      <c r="I45" s="812"/>
      <c r="J45" s="753"/>
      <c r="K45" s="758"/>
      <c r="L45" s="1030"/>
      <c r="N45" s="1031">
        <v>2</v>
      </c>
    </row>
    <row r="46" spans="1:14" ht="24">
      <c r="A46" s="1027"/>
      <c r="B46" s="1029" t="s">
        <v>134</v>
      </c>
      <c r="C46" s="90" t="s">
        <v>1705</v>
      </c>
      <c r="D46" s="523"/>
      <c r="E46" s="1146"/>
      <c r="F46" s="781"/>
      <c r="G46" s="2165"/>
      <c r="H46" s="2166"/>
      <c r="I46" s="812"/>
      <c r="J46" s="753"/>
      <c r="K46" s="758"/>
      <c r="L46" s="1030"/>
      <c r="N46" s="1031">
        <v>2</v>
      </c>
    </row>
    <row r="47" spans="1:14" ht="24">
      <c r="A47" s="1027"/>
      <c r="B47" s="1029" t="s">
        <v>134</v>
      </c>
      <c r="C47" s="90" t="s">
        <v>1706</v>
      </c>
      <c r="D47" s="523"/>
      <c r="E47" s="1146"/>
      <c r="F47" s="781"/>
      <c r="G47" s="2165"/>
      <c r="H47" s="2166"/>
      <c r="I47" s="812"/>
      <c r="J47" s="753"/>
      <c r="K47" s="758"/>
      <c r="L47" s="1026"/>
      <c r="N47" s="1031">
        <v>4</v>
      </c>
    </row>
    <row r="48" spans="1:14" ht="24">
      <c r="A48" s="1027"/>
      <c r="B48" s="1029" t="s">
        <v>134</v>
      </c>
      <c r="C48" s="90" t="s">
        <v>1707</v>
      </c>
      <c r="D48" s="523"/>
      <c r="E48" s="1146"/>
      <c r="F48" s="781"/>
      <c r="G48" s="2165"/>
      <c r="H48" s="2166"/>
      <c r="I48" s="812"/>
      <c r="J48" s="753"/>
      <c r="K48" s="758"/>
      <c r="L48" s="1026"/>
      <c r="N48" s="1031">
        <v>4</v>
      </c>
    </row>
    <row r="49" spans="1:14" ht="24">
      <c r="A49" s="1027"/>
      <c r="B49" s="1029" t="s">
        <v>134</v>
      </c>
      <c r="C49" s="90" t="s">
        <v>1708</v>
      </c>
      <c r="D49" s="523"/>
      <c r="E49" s="963"/>
      <c r="F49" s="781"/>
      <c r="G49" s="919"/>
      <c r="H49" s="777"/>
      <c r="I49" s="812"/>
      <c r="J49" s="753"/>
      <c r="K49" s="758"/>
      <c r="L49" s="1026"/>
      <c r="N49" s="1031">
        <f>SUM(N34:N48)</f>
        <v>33</v>
      </c>
    </row>
    <row r="50" spans="1:14" ht="24.75" thickBot="1">
      <c r="A50" s="1027"/>
      <c r="B50" s="1029" t="s">
        <v>134</v>
      </c>
      <c r="C50" s="90" t="s">
        <v>1141</v>
      </c>
      <c r="D50" s="523"/>
      <c r="E50" s="963"/>
      <c r="F50" s="781"/>
      <c r="G50" s="919"/>
      <c r="H50" s="777"/>
      <c r="I50" s="812"/>
      <c r="J50" s="753"/>
      <c r="K50" s="758"/>
      <c r="L50" s="1026"/>
      <c r="N50" s="1031">
        <v>1</v>
      </c>
    </row>
    <row r="51" spans="1:14" ht="24.75" thickTop="1">
      <c r="A51" s="607"/>
      <c r="B51" s="2121" t="s">
        <v>1709</v>
      </c>
      <c r="C51" s="2122"/>
      <c r="D51" s="2123"/>
      <c r="E51" s="1675"/>
      <c r="F51" s="1676"/>
      <c r="G51" s="1677"/>
      <c r="H51" s="1678"/>
      <c r="I51" s="1032"/>
      <c r="J51" s="762"/>
      <c r="K51" s="764"/>
      <c r="L51" s="1022"/>
    </row>
    <row r="52" spans="1:14" ht="24">
      <c r="A52" s="202">
        <v>5.2</v>
      </c>
      <c r="B52" s="1033" t="s">
        <v>1710</v>
      </c>
      <c r="C52" s="1034"/>
      <c r="D52" s="1035"/>
      <c r="E52" s="1036"/>
      <c r="F52" s="1036"/>
      <c r="G52" s="919"/>
      <c r="H52" s="1037"/>
      <c r="I52" s="812"/>
      <c r="J52" s="852"/>
      <c r="K52" s="1024"/>
      <c r="L52" s="1025"/>
    </row>
    <row r="53" spans="1:14" ht="24">
      <c r="A53" s="204" t="s">
        <v>1711</v>
      </c>
      <c r="B53" s="943" t="s">
        <v>1712</v>
      </c>
      <c r="C53" s="90"/>
      <c r="D53" s="1038"/>
      <c r="E53" s="963"/>
      <c r="F53" s="781"/>
      <c r="G53" s="919"/>
      <c r="H53" s="777"/>
      <c r="I53" s="812"/>
      <c r="J53" s="753"/>
      <c r="K53" s="758"/>
      <c r="L53" s="1039"/>
    </row>
    <row r="54" spans="1:14" ht="24">
      <c r="A54" s="204"/>
      <c r="B54" s="1040" t="s">
        <v>134</v>
      </c>
      <c r="C54" s="90" t="s">
        <v>1713</v>
      </c>
      <c r="D54" s="1041"/>
      <c r="E54" s="963"/>
      <c r="F54" s="781"/>
      <c r="G54" s="2161"/>
      <c r="H54" s="2162"/>
      <c r="I54" s="812"/>
      <c r="J54" s="753"/>
      <c r="K54" s="758"/>
      <c r="L54" s="1039"/>
    </row>
    <row r="55" spans="1:14" ht="24">
      <c r="A55" s="204"/>
      <c r="B55" s="1040" t="s">
        <v>134</v>
      </c>
      <c r="C55" s="90" t="s">
        <v>1714</v>
      </c>
      <c r="D55" s="1041"/>
      <c r="E55" s="963"/>
      <c r="F55" s="781"/>
      <c r="G55" s="2161"/>
      <c r="H55" s="2162"/>
      <c r="I55" s="812"/>
      <c r="J55" s="753"/>
      <c r="K55" s="758"/>
      <c r="L55" s="1039"/>
    </row>
    <row r="56" spans="1:14" ht="24">
      <c r="A56" s="204"/>
      <c r="B56" s="1040" t="s">
        <v>134</v>
      </c>
      <c r="C56" s="90" t="s">
        <v>1715</v>
      </c>
      <c r="D56" s="1041"/>
      <c r="E56" s="963"/>
      <c r="F56" s="781"/>
      <c r="G56" s="2161"/>
      <c r="H56" s="2162"/>
      <c r="I56" s="812"/>
      <c r="J56" s="753"/>
      <c r="K56" s="758"/>
      <c r="L56" s="1039"/>
    </row>
    <row r="57" spans="1:14" ht="24">
      <c r="A57" s="1027"/>
      <c r="B57" s="1040" t="s">
        <v>134</v>
      </c>
      <c r="C57" s="90" t="s">
        <v>1716</v>
      </c>
      <c r="D57" s="1041"/>
      <c r="E57" s="963"/>
      <c r="F57" s="781"/>
      <c r="G57" s="2161"/>
      <c r="H57" s="2162"/>
      <c r="I57" s="812"/>
      <c r="J57" s="753"/>
      <c r="K57" s="758"/>
      <c r="L57" s="1039"/>
    </row>
    <row r="58" spans="1:14" ht="24">
      <c r="A58" s="1027"/>
      <c r="B58" s="1040" t="s">
        <v>134</v>
      </c>
      <c r="C58" s="90" t="s">
        <v>1717</v>
      </c>
      <c r="D58" s="1041"/>
      <c r="E58" s="963"/>
      <c r="F58" s="781"/>
      <c r="G58" s="2161"/>
      <c r="H58" s="2162"/>
      <c r="I58" s="812"/>
      <c r="J58" s="753"/>
      <c r="K58" s="758"/>
      <c r="L58" s="1039"/>
    </row>
    <row r="59" spans="1:14" ht="24">
      <c r="A59" s="1027"/>
      <c r="B59" s="1040" t="s">
        <v>134</v>
      </c>
      <c r="C59" s="90" t="s">
        <v>1718</v>
      </c>
      <c r="D59" s="1041"/>
      <c r="E59" s="963"/>
      <c r="F59" s="781"/>
      <c r="G59" s="2161"/>
      <c r="H59" s="2162"/>
      <c r="I59" s="812"/>
      <c r="J59" s="753"/>
      <c r="K59" s="758"/>
      <c r="L59" s="1026"/>
    </row>
    <row r="60" spans="1:14" ht="24">
      <c r="A60" s="1027"/>
      <c r="B60" s="1040" t="s">
        <v>134</v>
      </c>
      <c r="C60" s="90" t="s">
        <v>1719</v>
      </c>
      <c r="D60" s="1041"/>
      <c r="E60" s="963"/>
      <c r="F60" s="781"/>
      <c r="G60" s="2161"/>
      <c r="H60" s="2162"/>
      <c r="I60" s="812"/>
      <c r="J60" s="753"/>
      <c r="K60" s="758"/>
      <c r="L60" s="1026"/>
    </row>
    <row r="61" spans="1:14" ht="24">
      <c r="A61" s="1027"/>
      <c r="B61" s="1040" t="s">
        <v>134</v>
      </c>
      <c r="C61" s="90" t="s">
        <v>1720</v>
      </c>
      <c r="D61" s="1041"/>
      <c r="E61" s="963"/>
      <c r="F61" s="781"/>
      <c r="G61" s="2161"/>
      <c r="H61" s="2162"/>
      <c r="I61" s="812"/>
      <c r="J61" s="753"/>
      <c r="K61" s="758"/>
      <c r="L61" s="1026"/>
    </row>
    <row r="62" spans="1:14" ht="24">
      <c r="A62" s="1027"/>
      <c r="B62" s="1040" t="s">
        <v>134</v>
      </c>
      <c r="C62" s="90" t="s">
        <v>1721</v>
      </c>
      <c r="D62" s="1041"/>
      <c r="E62" s="963"/>
      <c r="F62" s="781"/>
      <c r="G62" s="2161"/>
      <c r="H62" s="2162"/>
      <c r="I62" s="812"/>
      <c r="J62" s="753"/>
      <c r="K62" s="758"/>
      <c r="L62" s="1026"/>
    </row>
    <row r="63" spans="1:14" ht="24">
      <c r="A63" s="1027"/>
      <c r="B63" s="1040" t="s">
        <v>134</v>
      </c>
      <c r="C63" s="90" t="s">
        <v>1722</v>
      </c>
      <c r="D63" s="1042"/>
      <c r="E63" s="963"/>
      <c r="F63" s="781"/>
      <c r="G63" s="2161"/>
      <c r="H63" s="2162"/>
      <c r="I63" s="812"/>
      <c r="J63" s="753"/>
      <c r="K63" s="758"/>
      <c r="L63" s="1026"/>
    </row>
    <row r="64" spans="1:14" ht="24">
      <c r="A64" s="1027"/>
      <c r="B64" s="1040" t="s">
        <v>134</v>
      </c>
      <c r="C64" s="90" t="s">
        <v>1723</v>
      </c>
      <c r="D64" s="1042"/>
      <c r="E64" s="963"/>
      <c r="F64" s="781"/>
      <c r="G64" s="2161"/>
      <c r="H64" s="2162"/>
      <c r="I64" s="812"/>
      <c r="J64" s="753"/>
      <c r="K64" s="758"/>
      <c r="L64" s="1026"/>
    </row>
    <row r="65" spans="1:12" ht="24">
      <c r="A65" s="1027"/>
      <c r="B65" s="1040" t="s">
        <v>134</v>
      </c>
      <c r="C65" s="90" t="s">
        <v>1724</v>
      </c>
      <c r="D65" s="1042"/>
      <c r="E65" s="963"/>
      <c r="F65" s="781"/>
      <c r="G65" s="2161"/>
      <c r="H65" s="2162"/>
      <c r="I65" s="812"/>
      <c r="J65" s="753"/>
      <c r="K65" s="758"/>
      <c r="L65" s="1026"/>
    </row>
    <row r="66" spans="1:12" ht="24">
      <c r="A66" s="1027"/>
      <c r="B66" s="1040" t="s">
        <v>134</v>
      </c>
      <c r="C66" s="90" t="s">
        <v>1725</v>
      </c>
      <c r="D66" s="1042"/>
      <c r="E66" s="963"/>
      <c r="F66" s="781"/>
      <c r="G66" s="2161"/>
      <c r="H66" s="2162"/>
      <c r="I66" s="812"/>
      <c r="J66" s="753"/>
      <c r="K66" s="758"/>
      <c r="L66" s="1026"/>
    </row>
    <row r="67" spans="1:12" ht="24">
      <c r="A67" s="1027"/>
      <c r="B67" s="1040" t="s">
        <v>134</v>
      </c>
      <c r="C67" s="90" t="s">
        <v>1726</v>
      </c>
      <c r="D67" s="1042"/>
      <c r="E67" s="963"/>
      <c r="F67" s="781"/>
      <c r="G67" s="2161"/>
      <c r="H67" s="2162"/>
      <c r="I67" s="812"/>
      <c r="J67" s="753"/>
      <c r="K67" s="758"/>
      <c r="L67" s="1026"/>
    </row>
    <row r="68" spans="1:12" ht="24">
      <c r="A68" s="1027"/>
      <c r="B68" s="1040" t="s">
        <v>134</v>
      </c>
      <c r="C68" s="90" t="s">
        <v>1727</v>
      </c>
      <c r="D68" s="1042"/>
      <c r="E68" s="963"/>
      <c r="F68" s="781"/>
      <c r="G68" s="2161"/>
      <c r="H68" s="2162"/>
      <c r="I68" s="812"/>
      <c r="J68" s="753"/>
      <c r="K68" s="758"/>
      <c r="L68" s="1026"/>
    </row>
    <row r="69" spans="1:12" ht="24">
      <c r="A69" s="1027"/>
      <c r="B69" s="1040" t="s">
        <v>134</v>
      </c>
      <c r="C69" s="90" t="s">
        <v>1728</v>
      </c>
      <c r="D69" s="1042"/>
      <c r="E69" s="963"/>
      <c r="F69" s="781"/>
      <c r="G69" s="2161"/>
      <c r="H69" s="2162"/>
      <c r="I69" s="812"/>
      <c r="J69" s="753"/>
      <c r="K69" s="758"/>
      <c r="L69" s="1026"/>
    </row>
    <row r="70" spans="1:12" ht="24">
      <c r="A70" s="1027"/>
      <c r="B70" s="1040" t="s">
        <v>134</v>
      </c>
      <c r="C70" s="90" t="s">
        <v>1729</v>
      </c>
      <c r="D70" s="1042"/>
      <c r="E70" s="963"/>
      <c r="F70" s="781"/>
      <c r="G70" s="2161"/>
      <c r="H70" s="2162"/>
      <c r="I70" s="812"/>
      <c r="J70" s="753"/>
      <c r="K70" s="758"/>
      <c r="L70" s="1026"/>
    </row>
    <row r="71" spans="1:12" ht="24">
      <c r="A71" s="1027"/>
      <c r="B71" s="1040" t="s">
        <v>134</v>
      </c>
      <c r="C71" s="90" t="s">
        <v>1730</v>
      </c>
      <c r="D71" s="1042"/>
      <c r="E71" s="963"/>
      <c r="F71" s="781"/>
      <c r="G71" s="2161"/>
      <c r="H71" s="2162"/>
      <c r="I71" s="812"/>
      <c r="J71" s="753"/>
      <c r="K71" s="758"/>
      <c r="L71" s="1026"/>
    </row>
    <row r="72" spans="1:12" ht="24">
      <c r="A72" s="1043"/>
      <c r="B72" s="1044" t="s">
        <v>134</v>
      </c>
      <c r="C72" s="528" t="s">
        <v>1731</v>
      </c>
      <c r="D72" s="1045"/>
      <c r="E72" s="961"/>
      <c r="F72" s="961"/>
      <c r="G72" s="2161"/>
      <c r="H72" s="2162"/>
      <c r="I72" s="802"/>
      <c r="J72" s="1046"/>
      <c r="K72" s="1047"/>
      <c r="L72" s="1048"/>
    </row>
    <row r="73" spans="1:12" ht="24">
      <c r="A73" s="1027"/>
      <c r="B73" s="1049" t="s">
        <v>134</v>
      </c>
      <c r="C73" s="537" t="s">
        <v>1732</v>
      </c>
      <c r="D73" s="1042"/>
      <c r="E73" s="963"/>
      <c r="F73" s="963"/>
      <c r="G73" s="2161"/>
      <c r="H73" s="2162"/>
      <c r="I73" s="812"/>
      <c r="J73" s="852"/>
      <c r="K73" s="1024"/>
      <c r="L73" s="1026"/>
    </row>
    <row r="74" spans="1:12" ht="24">
      <c r="A74" s="1027"/>
      <c r="B74" s="1040" t="s">
        <v>134</v>
      </c>
      <c r="C74" s="90" t="s">
        <v>1733</v>
      </c>
      <c r="D74" s="1042"/>
      <c r="E74" s="963"/>
      <c r="F74" s="781"/>
      <c r="G74" s="2161"/>
      <c r="H74" s="2162"/>
      <c r="I74" s="812"/>
      <c r="J74" s="753"/>
      <c r="K74" s="758"/>
      <c r="L74" s="1026"/>
    </row>
    <row r="75" spans="1:12" ht="24">
      <c r="A75" s="1027"/>
      <c r="B75" s="1040" t="s">
        <v>134</v>
      </c>
      <c r="C75" s="90" t="s">
        <v>1734</v>
      </c>
      <c r="D75" s="1042"/>
      <c r="E75" s="963"/>
      <c r="F75" s="781"/>
      <c r="G75" s="2161"/>
      <c r="H75" s="2162"/>
      <c r="I75" s="812"/>
      <c r="J75" s="753"/>
      <c r="K75" s="758"/>
      <c r="L75" s="1026"/>
    </row>
    <row r="76" spans="1:12" ht="24">
      <c r="A76" s="1027"/>
      <c r="B76" s="1040" t="s">
        <v>134</v>
      </c>
      <c r="C76" s="90" t="s">
        <v>1735</v>
      </c>
      <c r="D76" s="1042"/>
      <c r="E76" s="963"/>
      <c r="F76" s="781"/>
      <c r="G76" s="2161"/>
      <c r="H76" s="2162"/>
      <c r="I76" s="812"/>
      <c r="J76" s="753"/>
      <c r="K76" s="758"/>
      <c r="L76" s="1026"/>
    </row>
    <row r="77" spans="1:12" ht="24">
      <c r="A77" s="1027"/>
      <c r="B77" s="1040" t="s">
        <v>134</v>
      </c>
      <c r="C77" s="90" t="s">
        <v>1736</v>
      </c>
      <c r="D77" s="1042"/>
      <c r="E77" s="963"/>
      <c r="F77" s="781"/>
      <c r="G77" s="2161"/>
      <c r="H77" s="2162"/>
      <c r="I77" s="812"/>
      <c r="J77" s="753"/>
      <c r="K77" s="758"/>
      <c r="L77" s="1026"/>
    </row>
    <row r="78" spans="1:12" ht="24">
      <c r="A78" s="1027"/>
      <c r="B78" s="1040" t="s">
        <v>134</v>
      </c>
      <c r="C78" s="90" t="s">
        <v>1737</v>
      </c>
      <c r="D78" s="1042"/>
      <c r="E78" s="963"/>
      <c r="F78" s="781"/>
      <c r="G78" s="2161"/>
      <c r="H78" s="2162"/>
      <c r="I78" s="812"/>
      <c r="J78" s="753"/>
      <c r="K78" s="758"/>
      <c r="L78" s="1026"/>
    </row>
    <row r="79" spans="1:12" ht="24">
      <c r="A79" s="1027"/>
      <c r="B79" s="1040" t="s">
        <v>134</v>
      </c>
      <c r="C79" s="90" t="s">
        <v>1738</v>
      </c>
      <c r="D79" s="1042"/>
      <c r="E79" s="963"/>
      <c r="F79" s="781"/>
      <c r="G79" s="2161"/>
      <c r="H79" s="2162"/>
      <c r="I79" s="812"/>
      <c r="J79" s="753"/>
      <c r="K79" s="758"/>
      <c r="L79" s="1026"/>
    </row>
    <row r="80" spans="1:12" ht="24">
      <c r="A80" s="1027"/>
      <c r="B80" s="1040" t="s">
        <v>134</v>
      </c>
      <c r="C80" s="90" t="s">
        <v>1739</v>
      </c>
      <c r="D80" s="1042"/>
      <c r="E80" s="963"/>
      <c r="F80" s="781"/>
      <c r="G80" s="2161"/>
      <c r="H80" s="2162"/>
      <c r="I80" s="812"/>
      <c r="J80" s="753"/>
      <c r="K80" s="758"/>
      <c r="L80" s="1026"/>
    </row>
    <row r="81" spans="1:12" ht="24">
      <c r="A81" s="1027"/>
      <c r="B81" s="1040" t="s">
        <v>134</v>
      </c>
      <c r="C81" s="90" t="s">
        <v>1740</v>
      </c>
      <c r="D81" s="1042"/>
      <c r="E81" s="963"/>
      <c r="F81" s="781"/>
      <c r="G81" s="2161"/>
      <c r="H81" s="2162"/>
      <c r="I81" s="812"/>
      <c r="J81" s="753"/>
      <c r="K81" s="758"/>
      <c r="L81" s="1026"/>
    </row>
    <row r="82" spans="1:12" ht="24">
      <c r="A82" s="1027"/>
      <c r="B82" s="1040" t="s">
        <v>134</v>
      </c>
      <c r="C82" s="90" t="s">
        <v>1741</v>
      </c>
      <c r="D82" s="1042"/>
      <c r="E82" s="963"/>
      <c r="F82" s="781"/>
      <c r="G82" s="2161"/>
      <c r="H82" s="2162"/>
      <c r="I82" s="812"/>
      <c r="J82" s="753"/>
      <c r="K82" s="758"/>
      <c r="L82" s="1026"/>
    </row>
    <row r="83" spans="1:12" ht="24">
      <c r="A83" s="1027"/>
      <c r="B83" s="1040" t="s">
        <v>134</v>
      </c>
      <c r="C83" s="90" t="s">
        <v>1742</v>
      </c>
      <c r="D83" s="1042"/>
      <c r="E83" s="963"/>
      <c r="F83" s="781"/>
      <c r="G83" s="2161"/>
      <c r="H83" s="2162"/>
      <c r="I83" s="812"/>
      <c r="J83" s="753"/>
      <c r="K83" s="758"/>
      <c r="L83" s="1026"/>
    </row>
    <row r="84" spans="1:12" ht="24">
      <c r="A84" s="1027" t="s">
        <v>1743</v>
      </c>
      <c r="B84" s="943" t="s">
        <v>1744</v>
      </c>
      <c r="C84" s="90"/>
      <c r="D84" s="1042"/>
      <c r="E84" s="963"/>
      <c r="F84" s="781"/>
      <c r="G84" s="919"/>
      <c r="H84" s="777"/>
      <c r="I84" s="812"/>
      <c r="J84" s="753"/>
      <c r="K84" s="758"/>
      <c r="L84" s="1026"/>
    </row>
    <row r="85" spans="1:12" ht="24">
      <c r="A85" s="1027"/>
      <c r="B85" s="1040" t="s">
        <v>134</v>
      </c>
      <c r="C85" s="90" t="s">
        <v>1745</v>
      </c>
      <c r="D85" s="1042"/>
      <c r="E85" s="963"/>
      <c r="F85" s="781"/>
      <c r="G85" s="2161"/>
      <c r="H85" s="2162"/>
      <c r="I85" s="812"/>
      <c r="J85" s="753"/>
      <c r="K85" s="758"/>
      <c r="L85" s="1026"/>
    </row>
    <row r="86" spans="1:12" ht="24">
      <c r="A86" s="1027"/>
      <c r="B86" s="1040" t="s">
        <v>134</v>
      </c>
      <c r="C86" s="90" t="s">
        <v>1746</v>
      </c>
      <c r="D86" s="1042"/>
      <c r="E86" s="963"/>
      <c r="F86" s="781"/>
      <c r="G86" s="2161"/>
      <c r="H86" s="2162"/>
      <c r="I86" s="812"/>
      <c r="J86" s="753"/>
      <c r="K86" s="758"/>
      <c r="L86" s="1026"/>
    </row>
    <row r="87" spans="1:12" ht="24">
      <c r="A87" s="1027"/>
      <c r="B87" s="1040" t="s">
        <v>134</v>
      </c>
      <c r="C87" s="90" t="s">
        <v>1747</v>
      </c>
      <c r="D87" s="1042"/>
      <c r="E87" s="963"/>
      <c r="F87" s="781"/>
      <c r="G87" s="2161"/>
      <c r="H87" s="2162"/>
      <c r="I87" s="812"/>
      <c r="J87" s="753"/>
      <c r="K87" s="758"/>
      <c r="L87" s="1026"/>
    </row>
    <row r="88" spans="1:12" ht="24">
      <c r="A88" s="1027" t="s">
        <v>1748</v>
      </c>
      <c r="B88" s="943" t="s">
        <v>1749</v>
      </c>
      <c r="C88" s="90"/>
      <c r="D88" s="523"/>
      <c r="E88" s="963"/>
      <c r="F88" s="781"/>
      <c r="G88" s="919"/>
      <c r="H88" s="777"/>
      <c r="I88" s="812"/>
      <c r="J88" s="753"/>
      <c r="K88" s="758"/>
      <c r="L88" s="1026"/>
    </row>
    <row r="89" spans="1:12" ht="24">
      <c r="A89" s="1027"/>
      <c r="B89" s="1040" t="s">
        <v>134</v>
      </c>
      <c r="C89" s="90" t="s">
        <v>1750</v>
      </c>
      <c r="D89" s="523"/>
      <c r="E89" s="963"/>
      <c r="F89" s="781"/>
      <c r="G89" s="2161"/>
      <c r="H89" s="2162"/>
      <c r="I89" s="812"/>
      <c r="J89" s="753"/>
      <c r="K89" s="758"/>
      <c r="L89" s="1026"/>
    </row>
    <row r="90" spans="1:12" ht="24">
      <c r="A90" s="1027"/>
      <c r="B90" s="1040" t="s">
        <v>134</v>
      </c>
      <c r="C90" s="90" t="s">
        <v>1751</v>
      </c>
      <c r="D90" s="523"/>
      <c r="E90" s="963"/>
      <c r="F90" s="781"/>
      <c r="G90" s="2161"/>
      <c r="H90" s="2162"/>
      <c r="I90" s="812"/>
      <c r="J90" s="753"/>
      <c r="K90" s="758"/>
      <c r="L90" s="1026"/>
    </row>
    <row r="91" spans="1:12" ht="24">
      <c r="A91" s="1027"/>
      <c r="B91" s="1040" t="s">
        <v>134</v>
      </c>
      <c r="C91" s="90" t="s">
        <v>1752</v>
      </c>
      <c r="D91" s="523"/>
      <c r="E91" s="963"/>
      <c r="F91" s="781"/>
      <c r="G91" s="2161"/>
      <c r="H91" s="2162"/>
      <c r="I91" s="812"/>
      <c r="J91" s="753"/>
      <c r="K91" s="758"/>
      <c r="L91" s="1026"/>
    </row>
    <row r="92" spans="1:12" ht="24">
      <c r="A92" s="1027"/>
      <c r="B92" s="1040" t="s">
        <v>134</v>
      </c>
      <c r="C92" s="90" t="s">
        <v>1753</v>
      </c>
      <c r="D92" s="523"/>
      <c r="E92" s="963"/>
      <c r="F92" s="781"/>
      <c r="G92" s="2161"/>
      <c r="H92" s="2162"/>
      <c r="I92" s="812"/>
      <c r="J92" s="753"/>
      <c r="K92" s="758"/>
      <c r="L92" s="1026"/>
    </row>
    <row r="93" spans="1:12" ht="24">
      <c r="A93" s="1043"/>
      <c r="B93" s="1044"/>
      <c r="C93" s="528"/>
      <c r="D93" s="1050"/>
      <c r="E93" s="961"/>
      <c r="F93" s="961"/>
      <c r="G93" s="957"/>
      <c r="H93" s="1051"/>
      <c r="I93" s="802"/>
      <c r="J93" s="1046"/>
      <c r="K93" s="1047"/>
      <c r="L93" s="1048"/>
    </row>
    <row r="94" spans="1:12" ht="24">
      <c r="A94" s="1027" t="s">
        <v>1754</v>
      </c>
      <c r="B94" s="969" t="s">
        <v>1755</v>
      </c>
      <c r="C94" s="537"/>
      <c r="D94" s="523"/>
      <c r="E94" s="963"/>
      <c r="F94" s="963"/>
      <c r="G94" s="919"/>
      <c r="H94" s="1037"/>
      <c r="I94" s="812"/>
      <c r="J94" s="852"/>
      <c r="K94" s="1024"/>
      <c r="L94" s="1026"/>
    </row>
    <row r="95" spans="1:12" ht="24">
      <c r="A95" s="1027"/>
      <c r="B95" s="1040" t="s">
        <v>134</v>
      </c>
      <c r="C95" s="90" t="s">
        <v>1756</v>
      </c>
      <c r="D95" s="523"/>
      <c r="E95" s="963"/>
      <c r="F95" s="781"/>
      <c r="G95" s="2161"/>
      <c r="H95" s="2162"/>
      <c r="I95" s="812"/>
      <c r="J95" s="753"/>
      <c r="K95" s="758"/>
      <c r="L95" s="1026"/>
    </row>
    <row r="96" spans="1:12" ht="24">
      <c r="A96" s="1027"/>
      <c r="B96" s="1040" t="s">
        <v>134</v>
      </c>
      <c r="C96" s="90" t="s">
        <v>1757</v>
      </c>
      <c r="D96" s="523"/>
      <c r="E96" s="963"/>
      <c r="F96" s="781"/>
      <c r="G96" s="2161"/>
      <c r="H96" s="2162"/>
      <c r="I96" s="812"/>
      <c r="J96" s="753"/>
      <c r="K96" s="758"/>
      <c r="L96" s="1026"/>
    </row>
    <row r="97" spans="1:12" ht="24">
      <c r="A97" s="1027"/>
      <c r="B97" s="1040" t="s">
        <v>134</v>
      </c>
      <c r="C97" s="90" t="s">
        <v>1758</v>
      </c>
      <c r="D97" s="523"/>
      <c r="E97" s="963"/>
      <c r="F97" s="781"/>
      <c r="G97" s="2161"/>
      <c r="H97" s="2162"/>
      <c r="I97" s="812"/>
      <c r="J97" s="753"/>
      <c r="K97" s="758"/>
      <c r="L97" s="1026"/>
    </row>
    <row r="98" spans="1:12" ht="24">
      <c r="A98" s="1027"/>
      <c r="B98" s="1040" t="s">
        <v>134</v>
      </c>
      <c r="C98" s="90" t="s">
        <v>1759</v>
      </c>
      <c r="D98" s="523"/>
      <c r="E98" s="963"/>
      <c r="F98" s="781"/>
      <c r="G98" s="2161"/>
      <c r="H98" s="2162"/>
      <c r="I98" s="812"/>
      <c r="J98" s="753"/>
      <c r="K98" s="758"/>
      <c r="L98" s="1026"/>
    </row>
    <row r="99" spans="1:12" ht="24">
      <c r="A99" s="1027"/>
      <c r="B99" s="1040" t="s">
        <v>134</v>
      </c>
      <c r="C99" s="90" t="s">
        <v>1760</v>
      </c>
      <c r="D99" s="523"/>
      <c r="E99" s="963"/>
      <c r="F99" s="781"/>
      <c r="G99" s="2161"/>
      <c r="H99" s="2162"/>
      <c r="I99" s="812"/>
      <c r="J99" s="753"/>
      <c r="K99" s="758"/>
      <c r="L99" s="1026"/>
    </row>
    <row r="100" spans="1:12" ht="24">
      <c r="A100" s="1027"/>
      <c r="B100" s="1040" t="s">
        <v>134</v>
      </c>
      <c r="C100" s="90" t="s">
        <v>1761</v>
      </c>
      <c r="D100" s="523"/>
      <c r="E100" s="963"/>
      <c r="F100" s="781"/>
      <c r="G100" s="2161"/>
      <c r="H100" s="2162"/>
      <c r="I100" s="812"/>
      <c r="J100" s="753"/>
      <c r="K100" s="758"/>
      <c r="L100" s="1026"/>
    </row>
    <row r="101" spans="1:12" ht="24">
      <c r="A101" s="1027"/>
      <c r="B101" s="1040" t="s">
        <v>134</v>
      </c>
      <c r="C101" s="90" t="s">
        <v>1762</v>
      </c>
      <c r="D101" s="523"/>
      <c r="E101" s="963"/>
      <c r="F101" s="781"/>
      <c r="G101" s="2161"/>
      <c r="H101" s="2162"/>
      <c r="I101" s="812"/>
      <c r="J101" s="753"/>
      <c r="K101" s="758"/>
      <c r="L101" s="1026"/>
    </row>
    <row r="102" spans="1:12" ht="24">
      <c r="A102" s="1027"/>
      <c r="B102" s="1040" t="s">
        <v>134</v>
      </c>
      <c r="C102" s="90" t="s">
        <v>1763</v>
      </c>
      <c r="D102" s="523"/>
      <c r="E102" s="963"/>
      <c r="F102" s="781"/>
      <c r="G102" s="2161"/>
      <c r="H102" s="2162"/>
      <c r="I102" s="812"/>
      <c r="J102" s="753"/>
      <c r="K102" s="758"/>
      <c r="L102" s="1026"/>
    </row>
    <row r="103" spans="1:12" ht="24">
      <c r="A103" s="1027"/>
      <c r="B103" s="1040" t="s">
        <v>134</v>
      </c>
      <c r="C103" s="90" t="s">
        <v>1764</v>
      </c>
      <c r="D103" s="523"/>
      <c r="E103" s="963"/>
      <c r="F103" s="781"/>
      <c r="G103" s="2161"/>
      <c r="H103" s="2162"/>
      <c r="I103" s="812"/>
      <c r="J103" s="753"/>
      <c r="K103" s="758"/>
      <c r="L103" s="1026"/>
    </row>
    <row r="104" spans="1:12" ht="24">
      <c r="A104" s="1027"/>
      <c r="B104" s="1040" t="s">
        <v>134</v>
      </c>
      <c r="C104" s="90" t="s">
        <v>1765</v>
      </c>
      <c r="D104" s="523"/>
      <c r="E104" s="963"/>
      <c r="F104" s="781"/>
      <c r="G104" s="2161"/>
      <c r="H104" s="2162"/>
      <c r="I104" s="812"/>
      <c r="J104" s="753"/>
      <c r="K104" s="758"/>
      <c r="L104" s="1026"/>
    </row>
    <row r="105" spans="1:12" ht="24">
      <c r="A105" s="1027"/>
      <c r="B105" s="1040" t="s">
        <v>134</v>
      </c>
      <c r="C105" s="90" t="s">
        <v>1766</v>
      </c>
      <c r="D105" s="523"/>
      <c r="E105" s="963"/>
      <c r="F105" s="781"/>
      <c r="G105" s="2161"/>
      <c r="H105" s="2162"/>
      <c r="I105" s="812"/>
      <c r="J105" s="753"/>
      <c r="K105" s="758"/>
      <c r="L105" s="1026"/>
    </row>
    <row r="106" spans="1:12" ht="24">
      <c r="A106" s="1027"/>
      <c r="B106" s="1040" t="s">
        <v>134</v>
      </c>
      <c r="C106" s="90" t="s">
        <v>1767</v>
      </c>
      <c r="D106" s="523"/>
      <c r="E106" s="963"/>
      <c r="F106" s="781"/>
      <c r="G106" s="2161"/>
      <c r="H106" s="2162"/>
      <c r="I106" s="812"/>
      <c r="J106" s="753"/>
      <c r="K106" s="758"/>
      <c r="L106" s="1026"/>
    </row>
    <row r="107" spans="1:12" ht="24">
      <c r="A107" s="1027"/>
      <c r="B107" s="1029" t="s">
        <v>134</v>
      </c>
      <c r="C107" s="90" t="s">
        <v>1768</v>
      </c>
      <c r="D107" s="523"/>
      <c r="E107" s="963"/>
      <c r="F107" s="781"/>
      <c r="G107" s="2161"/>
      <c r="H107" s="2162"/>
      <c r="I107" s="812"/>
      <c r="J107" s="753"/>
      <c r="K107" s="758"/>
      <c r="L107" s="1026"/>
    </row>
    <row r="108" spans="1:12" ht="24">
      <c r="A108" s="1027"/>
      <c r="B108" s="1029" t="s">
        <v>134</v>
      </c>
      <c r="C108" s="90" t="s">
        <v>1769</v>
      </c>
      <c r="D108" s="523"/>
      <c r="E108" s="963"/>
      <c r="F108" s="781"/>
      <c r="G108" s="2161"/>
      <c r="H108" s="2162"/>
      <c r="I108" s="812"/>
      <c r="J108" s="753"/>
      <c r="K108" s="758"/>
      <c r="L108" s="1026"/>
    </row>
    <row r="109" spans="1:12" ht="24">
      <c r="A109" s="1027"/>
      <c r="B109" s="1029" t="s">
        <v>134</v>
      </c>
      <c r="C109" s="90" t="s">
        <v>1770</v>
      </c>
      <c r="D109" s="523"/>
      <c r="E109" s="963"/>
      <c r="F109" s="781"/>
      <c r="G109" s="2161"/>
      <c r="H109" s="2162"/>
      <c r="I109" s="812"/>
      <c r="J109" s="753"/>
      <c r="K109" s="758"/>
      <c r="L109" s="1026"/>
    </row>
    <row r="110" spans="1:12" ht="24">
      <c r="A110" s="1027"/>
      <c r="B110" s="1029" t="s">
        <v>134</v>
      </c>
      <c r="C110" s="90" t="s">
        <v>1771</v>
      </c>
      <c r="D110" s="523"/>
      <c r="E110" s="963"/>
      <c r="F110" s="781"/>
      <c r="G110" s="2161"/>
      <c r="H110" s="2162"/>
      <c r="I110" s="812"/>
      <c r="J110" s="753"/>
      <c r="K110" s="758"/>
      <c r="L110" s="1026"/>
    </row>
    <row r="111" spans="1:12" ht="24">
      <c r="A111" s="1027"/>
      <c r="B111" s="1029" t="s">
        <v>134</v>
      </c>
      <c r="C111" s="90" t="s">
        <v>1772</v>
      </c>
      <c r="D111" s="523"/>
      <c r="E111" s="963"/>
      <c r="F111" s="781"/>
      <c r="G111" s="2161"/>
      <c r="H111" s="2162"/>
      <c r="I111" s="812"/>
      <c r="J111" s="753"/>
      <c r="K111" s="758"/>
      <c r="L111" s="1026"/>
    </row>
    <row r="112" spans="1:12" ht="24">
      <c r="A112" s="1027"/>
      <c r="B112" s="1029" t="s">
        <v>134</v>
      </c>
      <c r="C112" s="90" t="s">
        <v>1773</v>
      </c>
      <c r="D112" s="523"/>
      <c r="E112" s="963"/>
      <c r="F112" s="781"/>
      <c r="G112" s="2161"/>
      <c r="H112" s="2162"/>
      <c r="I112" s="812"/>
      <c r="J112" s="753"/>
      <c r="K112" s="758"/>
      <c r="L112" s="1026"/>
    </row>
    <row r="113" spans="1:12" ht="24">
      <c r="A113" s="1027"/>
      <c r="B113" s="1029" t="s">
        <v>134</v>
      </c>
      <c r="C113" s="90" t="s">
        <v>1774</v>
      </c>
      <c r="D113" s="523"/>
      <c r="E113" s="963"/>
      <c r="F113" s="781"/>
      <c r="G113" s="2161"/>
      <c r="H113" s="2162"/>
      <c r="I113" s="812"/>
      <c r="J113" s="753"/>
      <c r="K113" s="758"/>
      <c r="L113" s="1026"/>
    </row>
    <row r="114" spans="1:12" ht="24">
      <c r="A114" s="1043"/>
      <c r="B114" s="1052" t="s">
        <v>134</v>
      </c>
      <c r="C114" s="528" t="s">
        <v>1775</v>
      </c>
      <c r="D114" s="1050"/>
      <c r="E114" s="961"/>
      <c r="F114" s="961"/>
      <c r="G114" s="2163"/>
      <c r="H114" s="2164"/>
      <c r="I114" s="802"/>
      <c r="J114" s="1046"/>
      <c r="K114" s="1047"/>
      <c r="L114" s="1048"/>
    </row>
    <row r="115" spans="1:12" ht="24">
      <c r="A115" s="1027" t="s">
        <v>1776</v>
      </c>
      <c r="B115" s="969" t="s">
        <v>1777</v>
      </c>
      <c r="C115" s="537"/>
      <c r="D115" s="523"/>
      <c r="E115" s="963"/>
      <c r="F115" s="963"/>
      <c r="G115" s="919"/>
      <c r="H115" s="1037"/>
      <c r="I115" s="812"/>
      <c r="J115" s="852"/>
      <c r="K115" s="1024"/>
      <c r="L115" s="1026"/>
    </row>
    <row r="116" spans="1:12" ht="24">
      <c r="A116" s="1027"/>
      <c r="B116" s="1029" t="s">
        <v>134</v>
      </c>
      <c r="C116" s="90" t="s">
        <v>1778</v>
      </c>
      <c r="D116" s="523"/>
      <c r="E116" s="963"/>
      <c r="F116" s="781"/>
      <c r="G116" s="2161"/>
      <c r="H116" s="2162"/>
      <c r="I116" s="812"/>
      <c r="J116" s="753"/>
      <c r="K116" s="758"/>
      <c r="L116" s="1026"/>
    </row>
    <row r="117" spans="1:12" ht="24">
      <c r="A117" s="1027"/>
      <c r="B117" s="1029" t="s">
        <v>134</v>
      </c>
      <c r="C117" s="90" t="s">
        <v>1779</v>
      </c>
      <c r="D117" s="523"/>
      <c r="E117" s="963"/>
      <c r="F117" s="781"/>
      <c r="G117" s="2161"/>
      <c r="H117" s="2162"/>
      <c r="I117" s="812"/>
      <c r="J117" s="753"/>
      <c r="K117" s="758"/>
      <c r="L117" s="1026"/>
    </row>
    <row r="118" spans="1:12" ht="24">
      <c r="A118" s="1027"/>
      <c r="B118" s="1029" t="s">
        <v>134</v>
      </c>
      <c r="C118" s="90" t="s">
        <v>1780</v>
      </c>
      <c r="D118" s="523"/>
      <c r="E118" s="963"/>
      <c r="F118" s="781"/>
      <c r="G118" s="2161"/>
      <c r="H118" s="2162"/>
      <c r="I118" s="812"/>
      <c r="J118" s="753"/>
      <c r="K118" s="758"/>
      <c r="L118" s="1026"/>
    </row>
    <row r="119" spans="1:12" ht="24">
      <c r="A119" s="1027"/>
      <c r="B119" s="1029" t="s">
        <v>134</v>
      </c>
      <c r="C119" s="90" t="s">
        <v>1781</v>
      </c>
      <c r="D119" s="523"/>
      <c r="E119" s="963"/>
      <c r="F119" s="781"/>
      <c r="G119" s="2161"/>
      <c r="H119" s="2162"/>
      <c r="I119" s="812"/>
      <c r="J119" s="753"/>
      <c r="K119" s="758"/>
      <c r="L119" s="1026"/>
    </row>
    <row r="120" spans="1:12" ht="24">
      <c r="A120" s="1027"/>
      <c r="B120" s="1029" t="s">
        <v>134</v>
      </c>
      <c r="C120" s="90" t="s">
        <v>1782</v>
      </c>
      <c r="D120" s="523"/>
      <c r="E120" s="963"/>
      <c r="F120" s="781"/>
      <c r="G120" s="2161"/>
      <c r="H120" s="2162"/>
      <c r="I120" s="812"/>
      <c r="J120" s="753"/>
      <c r="K120" s="758"/>
      <c r="L120" s="1026"/>
    </row>
    <row r="121" spans="1:12" ht="24">
      <c r="A121" s="1027"/>
      <c r="B121" s="1029" t="s">
        <v>134</v>
      </c>
      <c r="C121" s="90" t="s">
        <v>1783</v>
      </c>
      <c r="D121" s="523"/>
      <c r="E121" s="963"/>
      <c r="F121" s="781"/>
      <c r="G121" s="2161"/>
      <c r="H121" s="2162"/>
      <c r="I121" s="812"/>
      <c r="J121" s="753"/>
      <c r="K121" s="758"/>
      <c r="L121" s="1026"/>
    </row>
    <row r="122" spans="1:12" ht="24">
      <c r="A122" s="1027"/>
      <c r="B122" s="1029" t="s">
        <v>134</v>
      </c>
      <c r="C122" s="90" t="s">
        <v>1784</v>
      </c>
      <c r="D122" s="523"/>
      <c r="E122" s="963"/>
      <c r="F122" s="781"/>
      <c r="G122" s="2161"/>
      <c r="H122" s="2162"/>
      <c r="I122" s="812"/>
      <c r="J122" s="753"/>
      <c r="K122" s="758"/>
      <c r="L122" s="1026"/>
    </row>
    <row r="123" spans="1:12" ht="24">
      <c r="A123" s="1027"/>
      <c r="B123" s="1029" t="s">
        <v>134</v>
      </c>
      <c r="C123" s="90" t="s">
        <v>1785</v>
      </c>
      <c r="D123" s="523"/>
      <c r="E123" s="963"/>
      <c r="F123" s="781"/>
      <c r="G123" s="2161"/>
      <c r="H123" s="2162"/>
      <c r="I123" s="812"/>
      <c r="J123" s="753"/>
      <c r="K123" s="758"/>
      <c r="L123" s="1026"/>
    </row>
    <row r="124" spans="1:12" ht="24">
      <c r="A124" s="1027"/>
      <c r="B124" s="1040" t="s">
        <v>134</v>
      </c>
      <c r="C124" s="90" t="s">
        <v>1786</v>
      </c>
      <c r="D124" s="523"/>
      <c r="E124" s="963"/>
      <c r="F124" s="781"/>
      <c r="G124" s="2161"/>
      <c r="H124" s="2162"/>
      <c r="I124" s="812"/>
      <c r="J124" s="753"/>
      <c r="K124" s="758"/>
      <c r="L124" s="1026"/>
    </row>
    <row r="125" spans="1:12" ht="24">
      <c r="A125" s="1027"/>
      <c r="B125" s="1040" t="s">
        <v>134</v>
      </c>
      <c r="C125" s="90" t="s">
        <v>1787</v>
      </c>
      <c r="D125" s="523"/>
      <c r="E125" s="963"/>
      <c r="F125" s="781"/>
      <c r="G125" s="2161"/>
      <c r="H125" s="2162"/>
      <c r="I125" s="812"/>
      <c r="J125" s="753"/>
      <c r="K125" s="758"/>
      <c r="L125" s="1026"/>
    </row>
    <row r="126" spans="1:12" ht="24">
      <c r="A126" s="1027"/>
      <c r="B126" s="1053" t="s">
        <v>134</v>
      </c>
      <c r="C126" s="408" t="s">
        <v>1788</v>
      </c>
      <c r="D126" s="417"/>
      <c r="E126" s="851"/>
      <c r="F126" s="742"/>
      <c r="G126" s="2161"/>
      <c r="H126" s="2162"/>
      <c r="I126" s="812"/>
      <c r="J126" s="753"/>
      <c r="K126" s="758"/>
      <c r="L126" s="1026"/>
    </row>
    <row r="127" spans="1:12" ht="24">
      <c r="A127" s="1027" t="s">
        <v>1789</v>
      </c>
      <c r="B127" s="1054" t="s">
        <v>1790</v>
      </c>
      <c r="C127" s="90"/>
      <c r="D127" s="523"/>
      <c r="E127" s="963"/>
      <c r="F127" s="781"/>
      <c r="G127" s="919"/>
      <c r="H127" s="777"/>
      <c r="I127" s="812"/>
      <c r="J127" s="753"/>
      <c r="K127" s="758"/>
      <c r="L127" s="1026"/>
    </row>
    <row r="128" spans="1:12" ht="24">
      <c r="A128" s="1027"/>
      <c r="B128" s="1053" t="s">
        <v>134</v>
      </c>
      <c r="C128" s="408" t="s">
        <v>1791</v>
      </c>
      <c r="D128" s="417"/>
      <c r="E128" s="851"/>
      <c r="F128" s="742"/>
      <c r="G128" s="2161"/>
      <c r="H128" s="2162"/>
      <c r="I128" s="812"/>
      <c r="J128" s="753"/>
      <c r="K128" s="758"/>
      <c r="L128" s="1026"/>
    </row>
    <row r="129" spans="1:12" ht="24">
      <c r="A129" s="1027"/>
      <c r="B129" s="1029" t="s">
        <v>134</v>
      </c>
      <c r="C129" s="90" t="s">
        <v>1792</v>
      </c>
      <c r="D129" s="523"/>
      <c r="E129" s="963"/>
      <c r="F129" s="781"/>
      <c r="G129" s="2161"/>
      <c r="H129" s="2162"/>
      <c r="I129" s="812"/>
      <c r="J129" s="753"/>
      <c r="K129" s="758"/>
      <c r="L129" s="1026"/>
    </row>
    <row r="130" spans="1:12" ht="24">
      <c r="A130" s="1027"/>
      <c r="B130" s="1053" t="s">
        <v>134</v>
      </c>
      <c r="C130" s="408" t="s">
        <v>1793</v>
      </c>
      <c r="D130" s="417"/>
      <c r="E130" s="851"/>
      <c r="F130" s="742"/>
      <c r="G130" s="2161"/>
      <c r="H130" s="2162"/>
      <c r="I130" s="1055"/>
      <c r="J130" s="1056"/>
      <c r="K130" s="757"/>
      <c r="L130" s="1026"/>
    </row>
    <row r="131" spans="1:12" ht="24">
      <c r="A131" s="1027"/>
      <c r="B131" s="1053" t="s">
        <v>134</v>
      </c>
      <c r="C131" s="408" t="s">
        <v>1794</v>
      </c>
      <c r="D131" s="417"/>
      <c r="E131" s="851"/>
      <c r="F131" s="742"/>
      <c r="G131" s="2161"/>
      <c r="H131" s="2162"/>
      <c r="I131" s="1055"/>
      <c r="J131" s="1056"/>
      <c r="K131" s="757"/>
      <c r="L131" s="1026"/>
    </row>
    <row r="132" spans="1:12" ht="24">
      <c r="A132" s="1027" t="s">
        <v>1795</v>
      </c>
      <c r="B132" s="1054" t="s">
        <v>1796</v>
      </c>
      <c r="C132" s="90"/>
      <c r="D132" s="523"/>
      <c r="E132" s="963"/>
      <c r="F132" s="781"/>
      <c r="G132" s="919"/>
      <c r="H132" s="777"/>
      <c r="I132" s="812"/>
      <c r="J132" s="753"/>
      <c r="K132" s="758"/>
      <c r="L132" s="1026"/>
    </row>
    <row r="133" spans="1:12" ht="24">
      <c r="A133" s="1027"/>
      <c r="B133" s="1029" t="s">
        <v>134</v>
      </c>
      <c r="C133" s="90" t="s">
        <v>1797</v>
      </c>
      <c r="D133" s="523"/>
      <c r="E133" s="963"/>
      <c r="F133" s="781"/>
      <c r="G133" s="2161"/>
      <c r="H133" s="2162"/>
      <c r="I133" s="812"/>
      <c r="J133" s="753"/>
      <c r="K133" s="758"/>
      <c r="L133" s="1026"/>
    </row>
    <row r="134" spans="1:12" ht="24">
      <c r="A134" s="1027" t="s">
        <v>1798</v>
      </c>
      <c r="B134" s="90" t="s">
        <v>1141</v>
      </c>
      <c r="C134" s="90"/>
      <c r="D134" s="523"/>
      <c r="E134" s="963"/>
      <c r="F134" s="781"/>
      <c r="G134" s="919"/>
      <c r="H134" s="777"/>
      <c r="I134" s="812"/>
      <c r="J134" s="753"/>
      <c r="K134" s="758"/>
      <c r="L134" s="1026"/>
    </row>
    <row r="135" spans="1:12" ht="24">
      <c r="A135" s="1057"/>
      <c r="B135" s="1058"/>
      <c r="C135" s="1059"/>
      <c r="D135" s="1060"/>
      <c r="E135" s="800"/>
      <c r="F135" s="800"/>
      <c r="G135" s="802"/>
      <c r="H135" s="1046"/>
      <c r="I135" s="802"/>
      <c r="J135" s="1046"/>
      <c r="K135" s="1047"/>
      <c r="L135" s="1048"/>
    </row>
    <row r="136" spans="1:12" ht="24.75" thickBot="1">
      <c r="A136" s="1061"/>
      <c r="B136" s="1062"/>
      <c r="C136" s="421"/>
      <c r="D136" s="1063"/>
      <c r="E136" s="1064"/>
      <c r="F136" s="1064"/>
      <c r="G136" s="1065"/>
      <c r="H136" s="1066"/>
      <c r="I136" s="1065"/>
      <c r="J136" s="1066"/>
      <c r="K136" s="1067"/>
      <c r="L136" s="1068"/>
    </row>
    <row r="137" spans="1:12" ht="24.75" thickTop="1">
      <c r="A137" s="1069"/>
      <c r="B137" s="2084" t="s">
        <v>1799</v>
      </c>
      <c r="C137" s="2085"/>
      <c r="D137" s="2086"/>
      <c r="E137" s="1070"/>
      <c r="F137" s="1071"/>
      <c r="G137" s="1072"/>
      <c r="H137" s="762"/>
      <c r="I137" s="1032"/>
      <c r="J137" s="762"/>
      <c r="K137" s="764"/>
      <c r="L137" s="1022"/>
    </row>
    <row r="138" spans="1:12" ht="24">
      <c r="A138" s="1015">
        <v>5.3</v>
      </c>
      <c r="B138" s="462" t="s">
        <v>1800</v>
      </c>
      <c r="C138" s="463"/>
      <c r="D138" s="464"/>
      <c r="E138" s="1023"/>
      <c r="F138" s="1023"/>
      <c r="G138" s="812"/>
      <c r="H138" s="852"/>
      <c r="I138" s="812"/>
      <c r="J138" s="852"/>
      <c r="K138" s="1024"/>
      <c r="L138" s="1025"/>
    </row>
    <row r="139" spans="1:12" ht="24">
      <c r="A139" s="442" t="s">
        <v>1801</v>
      </c>
      <c r="B139" s="483" t="s">
        <v>1802</v>
      </c>
      <c r="C139" s="408"/>
      <c r="D139" s="1073"/>
      <c r="E139" s="851"/>
      <c r="F139" s="742"/>
      <c r="G139" s="812"/>
      <c r="H139" s="753"/>
      <c r="I139" s="812"/>
      <c r="J139" s="753"/>
      <c r="K139" s="758"/>
      <c r="L139" s="1039"/>
    </row>
    <row r="140" spans="1:12" ht="24">
      <c r="A140" s="446"/>
      <c r="B140" s="1074" t="s">
        <v>134</v>
      </c>
      <c r="C140" s="408" t="s">
        <v>1803</v>
      </c>
      <c r="D140" s="409"/>
      <c r="E140" s="851"/>
      <c r="F140" s="742"/>
      <c r="G140" s="812"/>
      <c r="H140" s="753"/>
      <c r="I140" s="812"/>
      <c r="J140" s="753"/>
      <c r="K140" s="758"/>
      <c r="L140" s="1039"/>
    </row>
    <row r="141" spans="1:12" ht="24">
      <c r="A141" s="446"/>
      <c r="B141" s="1074" t="s">
        <v>134</v>
      </c>
      <c r="C141" s="408" t="s">
        <v>1804</v>
      </c>
      <c r="D141" s="409"/>
      <c r="E141" s="851"/>
      <c r="F141" s="742"/>
      <c r="G141" s="812"/>
      <c r="H141" s="753"/>
      <c r="I141" s="812"/>
      <c r="J141" s="753"/>
      <c r="K141" s="758"/>
      <c r="L141" s="1039"/>
    </row>
    <row r="142" spans="1:12" ht="24">
      <c r="A142" s="446"/>
      <c r="B142" s="1074" t="s">
        <v>134</v>
      </c>
      <c r="C142" s="408" t="s">
        <v>1805</v>
      </c>
      <c r="D142" s="409"/>
      <c r="E142" s="851"/>
      <c r="F142" s="742"/>
      <c r="G142" s="812"/>
      <c r="H142" s="753"/>
      <c r="I142" s="812"/>
      <c r="J142" s="753"/>
      <c r="K142" s="758"/>
      <c r="L142" s="1039"/>
    </row>
    <row r="143" spans="1:12" ht="24">
      <c r="A143" s="446"/>
      <c r="B143" s="1074" t="s">
        <v>134</v>
      </c>
      <c r="C143" s="408" t="s">
        <v>1806</v>
      </c>
      <c r="D143" s="409"/>
      <c r="E143" s="851"/>
      <c r="F143" s="742"/>
      <c r="G143" s="812"/>
      <c r="H143" s="753"/>
      <c r="I143" s="812"/>
      <c r="J143" s="753"/>
      <c r="K143" s="758"/>
      <c r="L143" s="1039"/>
    </row>
    <row r="144" spans="1:12" ht="24">
      <c r="A144" s="446"/>
      <c r="B144" s="1053" t="s">
        <v>134</v>
      </c>
      <c r="C144" s="408" t="s">
        <v>1807</v>
      </c>
      <c r="D144" s="417"/>
      <c r="E144" s="851"/>
      <c r="F144" s="742"/>
      <c r="G144" s="812"/>
      <c r="H144" s="753"/>
      <c r="I144" s="812"/>
      <c r="J144" s="753"/>
      <c r="K144" s="758"/>
      <c r="L144" s="1026"/>
    </row>
    <row r="145" spans="1:12" ht="24">
      <c r="A145" s="446"/>
      <c r="B145" s="1053" t="s">
        <v>134</v>
      </c>
      <c r="C145" s="408" t="s">
        <v>1808</v>
      </c>
      <c r="D145" s="417"/>
      <c r="E145" s="851"/>
      <c r="F145" s="742"/>
      <c r="G145" s="812"/>
      <c r="H145" s="753"/>
      <c r="I145" s="812"/>
      <c r="J145" s="753"/>
      <c r="K145" s="758"/>
      <c r="L145" s="1026"/>
    </row>
    <row r="146" spans="1:12" ht="24">
      <c r="A146" s="446" t="s">
        <v>1809</v>
      </c>
      <c r="B146" s="1075" t="s">
        <v>1810</v>
      </c>
      <c r="C146" s="408"/>
      <c r="D146" s="417"/>
      <c r="E146" s="851"/>
      <c r="F146" s="742"/>
      <c r="G146" s="812"/>
      <c r="H146" s="753"/>
      <c r="I146" s="812"/>
      <c r="J146" s="753"/>
      <c r="K146" s="758"/>
      <c r="L146" s="1026"/>
    </row>
    <row r="147" spans="1:12" ht="24">
      <c r="A147" s="446"/>
      <c r="B147" s="1074" t="s">
        <v>134</v>
      </c>
      <c r="C147" s="408" t="s">
        <v>1803</v>
      </c>
      <c r="D147" s="409"/>
      <c r="E147" s="851"/>
      <c r="F147" s="742"/>
      <c r="G147" s="812"/>
      <c r="H147" s="753"/>
      <c r="I147" s="812"/>
      <c r="J147" s="753"/>
      <c r="K147" s="758"/>
      <c r="L147" s="1026"/>
    </row>
    <row r="148" spans="1:12" ht="24">
      <c r="A148" s="446"/>
      <c r="B148" s="1074" t="s">
        <v>134</v>
      </c>
      <c r="C148" s="408" t="s">
        <v>1804</v>
      </c>
      <c r="D148" s="409"/>
      <c r="E148" s="851"/>
      <c r="F148" s="742"/>
      <c r="G148" s="812"/>
      <c r="H148" s="753"/>
      <c r="I148" s="812"/>
      <c r="J148" s="753"/>
      <c r="K148" s="758"/>
      <c r="L148" s="1026"/>
    </row>
    <row r="149" spans="1:12" ht="24">
      <c r="A149" s="446"/>
      <c r="B149" s="1074" t="s">
        <v>134</v>
      </c>
      <c r="C149" s="408" t="s">
        <v>1805</v>
      </c>
      <c r="D149" s="409"/>
      <c r="E149" s="851"/>
      <c r="F149" s="742"/>
      <c r="G149" s="812"/>
      <c r="H149" s="753"/>
      <c r="I149" s="812"/>
      <c r="J149" s="753"/>
      <c r="K149" s="758"/>
      <c r="L149" s="1026"/>
    </row>
    <row r="150" spans="1:12" ht="24">
      <c r="A150" s="446"/>
      <c r="B150" s="1074" t="s">
        <v>134</v>
      </c>
      <c r="C150" s="408" t="s">
        <v>1806</v>
      </c>
      <c r="D150" s="409"/>
      <c r="E150" s="851"/>
      <c r="F150" s="742"/>
      <c r="G150" s="812"/>
      <c r="H150" s="753"/>
      <c r="I150" s="812"/>
      <c r="J150" s="753"/>
      <c r="K150" s="758"/>
      <c r="L150" s="1026"/>
    </row>
    <row r="151" spans="1:12" ht="24">
      <c r="A151" s="446"/>
      <c r="B151" s="1053" t="s">
        <v>134</v>
      </c>
      <c r="C151" s="408" t="s">
        <v>1811</v>
      </c>
      <c r="D151" s="417"/>
      <c r="E151" s="851"/>
      <c r="F151" s="742"/>
      <c r="G151" s="812"/>
      <c r="H151" s="753"/>
      <c r="I151" s="812"/>
      <c r="J151" s="753"/>
      <c r="K151" s="758"/>
      <c r="L151" s="1026"/>
    </row>
    <row r="152" spans="1:12" ht="24">
      <c r="A152" s="446"/>
      <c r="B152" s="1053"/>
      <c r="C152" s="408"/>
      <c r="D152" s="417"/>
      <c r="E152" s="851"/>
      <c r="F152" s="742"/>
      <c r="G152" s="812"/>
      <c r="H152" s="753"/>
      <c r="I152" s="812"/>
      <c r="J152" s="753"/>
      <c r="K152" s="758"/>
      <c r="L152" s="1026"/>
    </row>
    <row r="153" spans="1:12" ht="24">
      <c r="A153" s="446"/>
      <c r="B153" s="1053"/>
      <c r="C153" s="408"/>
      <c r="D153" s="417"/>
      <c r="E153" s="851"/>
      <c r="F153" s="742"/>
      <c r="G153" s="812"/>
      <c r="H153" s="753"/>
      <c r="I153" s="812"/>
      <c r="J153" s="753"/>
      <c r="K153" s="758"/>
      <c r="L153" s="1026"/>
    </row>
    <row r="154" spans="1:12" ht="24">
      <c r="A154" s="446"/>
      <c r="B154" s="1053"/>
      <c r="C154" s="408"/>
      <c r="D154" s="417"/>
      <c r="E154" s="851"/>
      <c r="F154" s="742"/>
      <c r="G154" s="812"/>
      <c r="H154" s="753"/>
      <c r="I154" s="812"/>
      <c r="J154" s="753"/>
      <c r="K154" s="758"/>
      <c r="L154" s="1026"/>
    </row>
    <row r="155" spans="1:12" ht="24.75" thickBot="1">
      <c r="A155" s="446"/>
      <c r="B155" s="1053"/>
      <c r="C155" s="408"/>
      <c r="D155" s="417"/>
      <c r="E155" s="851"/>
      <c r="F155" s="742"/>
      <c r="G155" s="812"/>
      <c r="H155" s="753"/>
      <c r="I155" s="812"/>
      <c r="J155" s="753"/>
      <c r="K155" s="758"/>
      <c r="L155" s="1026"/>
    </row>
    <row r="156" spans="1:12" ht="24.75" thickTop="1">
      <c r="A156" s="1069"/>
      <c r="B156" s="2084" t="s">
        <v>1812</v>
      </c>
      <c r="C156" s="2085"/>
      <c r="D156" s="2086"/>
      <c r="E156" s="1070"/>
      <c r="F156" s="1071"/>
      <c r="G156" s="1072"/>
      <c r="H156" s="762"/>
      <c r="I156" s="1032"/>
      <c r="J156" s="762"/>
      <c r="K156" s="764"/>
      <c r="L156" s="1022"/>
    </row>
    <row r="157" spans="1:12" ht="24">
      <c r="A157" s="1015">
        <v>5.4</v>
      </c>
      <c r="B157" s="462" t="s">
        <v>1813</v>
      </c>
      <c r="C157" s="463"/>
      <c r="D157" s="464"/>
      <c r="E157" s="1023"/>
      <c r="F157" s="1023"/>
      <c r="G157" s="812"/>
      <c r="H157" s="852"/>
      <c r="I157" s="812"/>
      <c r="J157" s="852"/>
      <c r="K157" s="1024"/>
      <c r="L157" s="1025"/>
    </row>
    <row r="158" spans="1:12" ht="24">
      <c r="A158" s="442" t="s">
        <v>1814</v>
      </c>
      <c r="B158" s="1076" t="s">
        <v>1150</v>
      </c>
      <c r="C158" s="408"/>
      <c r="D158" s="409"/>
      <c r="E158" s="851"/>
      <c r="F158" s="742"/>
      <c r="G158" s="812"/>
      <c r="H158" s="753"/>
      <c r="I158" s="812"/>
      <c r="J158" s="753"/>
      <c r="K158" s="758"/>
      <c r="L158" s="1039"/>
    </row>
    <row r="159" spans="1:12" ht="24">
      <c r="A159" s="446"/>
      <c r="B159" s="1053" t="s">
        <v>134</v>
      </c>
      <c r="C159" s="408" t="s">
        <v>1815</v>
      </c>
      <c r="D159" s="417"/>
      <c r="E159" s="851"/>
      <c r="F159" s="742"/>
      <c r="G159" s="812"/>
      <c r="H159" s="753"/>
      <c r="I159" s="812"/>
      <c r="J159" s="753"/>
      <c r="K159" s="758"/>
      <c r="L159" s="1039"/>
    </row>
    <row r="160" spans="1:12" ht="24">
      <c r="A160" s="446"/>
      <c r="B160" s="1053" t="s">
        <v>134</v>
      </c>
      <c r="C160" s="408" t="s">
        <v>1816</v>
      </c>
      <c r="D160" s="417"/>
      <c r="E160" s="851"/>
      <c r="F160" s="742"/>
      <c r="G160" s="812"/>
      <c r="H160" s="753"/>
      <c r="I160" s="812"/>
      <c r="J160" s="753"/>
      <c r="K160" s="758"/>
      <c r="L160" s="1039"/>
    </row>
    <row r="161" spans="1:12" ht="24">
      <c r="A161" s="446"/>
      <c r="B161" s="1053" t="s">
        <v>134</v>
      </c>
      <c r="C161" s="408" t="s">
        <v>1817</v>
      </c>
      <c r="D161" s="417"/>
      <c r="E161" s="851"/>
      <c r="F161" s="742"/>
      <c r="G161" s="812"/>
      <c r="H161" s="753"/>
      <c r="I161" s="812"/>
      <c r="J161" s="753"/>
      <c r="K161" s="758"/>
      <c r="L161" s="1026"/>
    </row>
    <row r="162" spans="1:12" ht="24">
      <c r="A162" s="446"/>
      <c r="B162" s="1053" t="s">
        <v>134</v>
      </c>
      <c r="C162" s="408" t="s">
        <v>1818</v>
      </c>
      <c r="D162" s="417"/>
      <c r="E162" s="851"/>
      <c r="F162" s="742"/>
      <c r="G162" s="812"/>
      <c r="H162" s="753"/>
      <c r="I162" s="812"/>
      <c r="J162" s="753"/>
      <c r="K162" s="758"/>
      <c r="L162" s="1026"/>
    </row>
    <row r="163" spans="1:12" ht="24">
      <c r="A163" s="446"/>
      <c r="B163" s="1053" t="s">
        <v>134</v>
      </c>
      <c r="C163" s="408" t="s">
        <v>1819</v>
      </c>
      <c r="D163" s="417"/>
      <c r="E163" s="851"/>
      <c r="F163" s="742"/>
      <c r="G163" s="812"/>
      <c r="H163" s="753"/>
      <c r="I163" s="812"/>
      <c r="J163" s="753"/>
      <c r="K163" s="758"/>
      <c r="L163" s="1026"/>
    </row>
    <row r="164" spans="1:12" ht="24">
      <c r="A164" s="446"/>
      <c r="B164" s="1053" t="s">
        <v>134</v>
      </c>
      <c r="C164" s="408" t="s">
        <v>1811</v>
      </c>
      <c r="D164" s="417"/>
      <c r="E164" s="851"/>
      <c r="F164" s="742"/>
      <c r="G164" s="812"/>
      <c r="H164" s="753"/>
      <c r="I164" s="812"/>
      <c r="J164" s="753"/>
      <c r="K164" s="758"/>
      <c r="L164" s="1026"/>
    </row>
    <row r="165" spans="1:12" ht="24">
      <c r="A165" s="446"/>
      <c r="B165" s="1053" t="s">
        <v>134</v>
      </c>
      <c r="C165" s="421" t="s">
        <v>1808</v>
      </c>
      <c r="D165" s="417"/>
      <c r="E165" s="851"/>
      <c r="F165" s="742"/>
      <c r="G165" s="812"/>
      <c r="H165" s="753"/>
      <c r="I165" s="812"/>
      <c r="J165" s="753"/>
      <c r="K165" s="758"/>
      <c r="L165" s="1026"/>
    </row>
    <row r="166" spans="1:12" ht="24">
      <c r="A166" s="446" t="s">
        <v>1820</v>
      </c>
      <c r="B166" s="1076" t="s">
        <v>1821</v>
      </c>
      <c r="C166" s="408"/>
      <c r="D166" s="417"/>
      <c r="E166" s="851"/>
      <c r="F166" s="742"/>
      <c r="G166" s="812"/>
      <c r="H166" s="753"/>
      <c r="I166" s="812"/>
      <c r="J166" s="753"/>
      <c r="K166" s="758"/>
      <c r="L166" s="1026"/>
    </row>
    <row r="167" spans="1:12" ht="24">
      <c r="A167" s="446"/>
      <c r="B167" s="1053" t="s">
        <v>134</v>
      </c>
      <c r="C167" s="408" t="s">
        <v>1815</v>
      </c>
      <c r="D167" s="417"/>
      <c r="E167" s="851"/>
      <c r="F167" s="742"/>
      <c r="G167" s="812"/>
      <c r="H167" s="753"/>
      <c r="I167" s="812"/>
      <c r="J167" s="753"/>
      <c r="K167" s="758"/>
      <c r="L167" s="1026"/>
    </row>
    <row r="168" spans="1:12" ht="24">
      <c r="A168" s="446"/>
      <c r="B168" s="1053" t="s">
        <v>134</v>
      </c>
      <c r="C168" s="408" t="s">
        <v>1816</v>
      </c>
      <c r="D168" s="417"/>
      <c r="E168" s="851"/>
      <c r="F168" s="742"/>
      <c r="G168" s="812"/>
      <c r="H168" s="753"/>
      <c r="I168" s="812"/>
      <c r="J168" s="753"/>
      <c r="K168" s="758"/>
      <c r="L168" s="1026"/>
    </row>
    <row r="169" spans="1:12" ht="24">
      <c r="A169" s="446"/>
      <c r="B169" s="1053" t="s">
        <v>134</v>
      </c>
      <c r="C169" s="408" t="s">
        <v>1817</v>
      </c>
      <c r="D169" s="417"/>
      <c r="E169" s="851"/>
      <c r="F169" s="742"/>
      <c r="G169" s="812"/>
      <c r="H169" s="753"/>
      <c r="I169" s="812"/>
      <c r="J169" s="753"/>
      <c r="K169" s="758"/>
      <c r="L169" s="1026"/>
    </row>
    <row r="170" spans="1:12" ht="24">
      <c r="A170" s="446"/>
      <c r="B170" s="1053" t="s">
        <v>134</v>
      </c>
      <c r="C170" s="408" t="s">
        <v>1818</v>
      </c>
      <c r="D170" s="417"/>
      <c r="E170" s="851"/>
      <c r="F170" s="742"/>
      <c r="G170" s="812"/>
      <c r="H170" s="753"/>
      <c r="I170" s="812"/>
      <c r="J170" s="753"/>
      <c r="K170" s="758"/>
      <c r="L170" s="1026"/>
    </row>
    <row r="171" spans="1:12" ht="24">
      <c r="A171" s="446"/>
      <c r="B171" s="1053" t="s">
        <v>134</v>
      </c>
      <c r="C171" s="408" t="s">
        <v>1819</v>
      </c>
      <c r="D171" s="417"/>
      <c r="E171" s="851"/>
      <c r="F171" s="742"/>
      <c r="G171" s="812"/>
      <c r="H171" s="753"/>
      <c r="I171" s="812"/>
      <c r="J171" s="753"/>
      <c r="K171" s="758"/>
      <c r="L171" s="1026"/>
    </row>
    <row r="172" spans="1:12" ht="24">
      <c r="A172" s="446"/>
      <c r="B172" s="1053" t="s">
        <v>134</v>
      </c>
      <c r="C172" s="408" t="s">
        <v>1811</v>
      </c>
      <c r="D172" s="417"/>
      <c r="E172" s="851"/>
      <c r="F172" s="742"/>
      <c r="G172" s="812"/>
      <c r="H172" s="753"/>
      <c r="I172" s="812"/>
      <c r="J172" s="753"/>
      <c r="K172" s="758"/>
      <c r="L172" s="1026"/>
    </row>
    <row r="173" spans="1:12" ht="24">
      <c r="A173" s="446"/>
      <c r="B173" s="1053"/>
      <c r="C173" s="408"/>
      <c r="D173" s="417"/>
      <c r="E173" s="851"/>
      <c r="F173" s="742"/>
      <c r="G173" s="812"/>
      <c r="H173" s="753"/>
      <c r="I173" s="812"/>
      <c r="J173" s="753"/>
      <c r="K173" s="758"/>
      <c r="L173" s="1026"/>
    </row>
    <row r="174" spans="1:12" ht="24">
      <c r="A174" s="446"/>
      <c r="B174" s="1053"/>
      <c r="C174" s="408"/>
      <c r="D174" s="417"/>
      <c r="E174" s="851"/>
      <c r="F174" s="742"/>
      <c r="G174" s="812"/>
      <c r="H174" s="753"/>
      <c r="I174" s="812"/>
      <c r="J174" s="753"/>
      <c r="K174" s="758"/>
      <c r="L174" s="1026"/>
    </row>
    <row r="175" spans="1:12" ht="24">
      <c r="A175" s="446"/>
      <c r="B175" s="1053"/>
      <c r="C175" s="408"/>
      <c r="D175" s="417"/>
      <c r="E175" s="851"/>
      <c r="F175" s="742"/>
      <c r="G175" s="812"/>
      <c r="H175" s="753"/>
      <c r="I175" s="812"/>
      <c r="J175" s="753"/>
      <c r="K175" s="758"/>
      <c r="L175" s="1026"/>
    </row>
    <row r="176" spans="1:12" ht="24.75" thickBot="1">
      <c r="A176" s="446"/>
      <c r="B176" s="1053"/>
      <c r="C176" s="408"/>
      <c r="D176" s="417"/>
      <c r="E176" s="851"/>
      <c r="F176" s="742"/>
      <c r="G176" s="812"/>
      <c r="H176" s="753"/>
      <c r="I176" s="812"/>
      <c r="J176" s="753"/>
      <c r="K176" s="758"/>
      <c r="L176" s="1026"/>
    </row>
    <row r="177" spans="1:12" ht="24.75" thickTop="1">
      <c r="A177" s="1069"/>
      <c r="B177" s="2084" t="s">
        <v>1822</v>
      </c>
      <c r="C177" s="2085"/>
      <c r="D177" s="2086"/>
      <c r="E177" s="1070"/>
      <c r="F177" s="1071"/>
      <c r="G177" s="1072"/>
      <c r="H177" s="762"/>
      <c r="I177" s="1032"/>
      <c r="J177" s="762"/>
      <c r="K177" s="764"/>
      <c r="L177" s="1022"/>
    </row>
    <row r="178" spans="1:12" ht="24">
      <c r="A178" s="1015">
        <v>5.5</v>
      </c>
      <c r="B178" s="2101" t="s">
        <v>1823</v>
      </c>
      <c r="C178" s="2102"/>
      <c r="D178" s="2103"/>
      <c r="E178" s="1023"/>
      <c r="F178" s="1023"/>
      <c r="G178" s="812"/>
      <c r="H178" s="852"/>
      <c r="I178" s="812"/>
      <c r="J178" s="852"/>
      <c r="K178" s="1024"/>
      <c r="L178" s="1025"/>
    </row>
    <row r="179" spans="1:12" ht="24">
      <c r="A179" s="442" t="s">
        <v>1824</v>
      </c>
      <c r="B179" s="1077" t="s">
        <v>1825</v>
      </c>
      <c r="C179" s="408"/>
      <c r="D179" s="409"/>
      <c r="E179" s="851"/>
      <c r="F179" s="742"/>
      <c r="G179" s="812"/>
      <c r="H179" s="753"/>
      <c r="I179" s="812"/>
      <c r="J179" s="753"/>
      <c r="K179" s="758"/>
      <c r="L179" s="1039"/>
    </row>
    <row r="180" spans="1:12" ht="24">
      <c r="A180" s="446"/>
      <c r="B180" s="1053" t="s">
        <v>134</v>
      </c>
      <c r="C180" s="408" t="s">
        <v>1826</v>
      </c>
      <c r="D180" s="417"/>
      <c r="E180" s="851"/>
      <c r="F180" s="742"/>
      <c r="G180" s="812"/>
      <c r="H180" s="753"/>
      <c r="I180" s="812"/>
      <c r="J180" s="753"/>
      <c r="K180" s="758"/>
      <c r="L180" s="1039"/>
    </row>
    <row r="181" spans="1:12" ht="24">
      <c r="A181" s="446"/>
      <c r="B181" s="1053" t="s">
        <v>134</v>
      </c>
      <c r="C181" s="408" t="s">
        <v>1828</v>
      </c>
      <c r="D181" s="417"/>
      <c r="E181" s="851"/>
      <c r="F181" s="742"/>
      <c r="G181" s="812"/>
      <c r="H181" s="753"/>
      <c r="I181" s="812"/>
      <c r="J181" s="753"/>
      <c r="K181" s="758"/>
      <c r="L181" s="1039"/>
    </row>
    <row r="182" spans="1:12" ht="24">
      <c r="A182" s="446"/>
      <c r="B182" s="1053" t="s">
        <v>134</v>
      </c>
      <c r="C182" s="408" t="s">
        <v>1829</v>
      </c>
      <c r="D182" s="417"/>
      <c r="E182" s="851"/>
      <c r="F182" s="742"/>
      <c r="G182" s="812"/>
      <c r="H182" s="753"/>
      <c r="I182" s="812"/>
      <c r="J182" s="753"/>
      <c r="K182" s="758"/>
      <c r="L182" s="1026"/>
    </row>
    <row r="183" spans="1:12" ht="24">
      <c r="A183" s="446"/>
      <c r="B183" s="1053" t="s">
        <v>134</v>
      </c>
      <c r="C183" s="408" t="s">
        <v>1811</v>
      </c>
      <c r="D183" s="417"/>
      <c r="E183" s="851"/>
      <c r="F183" s="742"/>
      <c r="G183" s="812"/>
      <c r="H183" s="753"/>
      <c r="I183" s="812"/>
      <c r="J183" s="753"/>
      <c r="K183" s="758"/>
      <c r="L183" s="1026"/>
    </row>
    <row r="184" spans="1:12" ht="24">
      <c r="A184" s="446"/>
      <c r="B184" s="1053" t="s">
        <v>134</v>
      </c>
      <c r="C184" s="408" t="s">
        <v>1830</v>
      </c>
      <c r="D184" s="417"/>
      <c r="E184" s="851"/>
      <c r="F184" s="742"/>
      <c r="G184" s="812"/>
      <c r="H184" s="753"/>
      <c r="I184" s="812"/>
      <c r="J184" s="753"/>
      <c r="K184" s="758"/>
      <c r="L184" s="1026"/>
    </row>
    <row r="185" spans="1:12" ht="24">
      <c r="A185" s="446"/>
      <c r="B185" s="1053"/>
      <c r="C185" s="421"/>
      <c r="D185" s="417"/>
      <c r="E185" s="851"/>
      <c r="F185" s="742"/>
      <c r="G185" s="812"/>
      <c r="H185" s="753"/>
      <c r="I185" s="812"/>
      <c r="J185" s="753"/>
      <c r="K185" s="758"/>
      <c r="L185" s="1026"/>
    </row>
    <row r="186" spans="1:12" ht="24">
      <c r="A186" s="446" t="s">
        <v>1831</v>
      </c>
      <c r="B186" s="1077" t="s">
        <v>1832</v>
      </c>
      <c r="C186" s="408"/>
      <c r="D186" s="409"/>
      <c r="E186" s="851"/>
      <c r="F186" s="742"/>
      <c r="G186" s="812"/>
      <c r="H186" s="753"/>
      <c r="I186" s="812"/>
      <c r="J186" s="753"/>
      <c r="K186" s="758"/>
      <c r="L186" s="1026"/>
    </row>
    <row r="187" spans="1:12" ht="24">
      <c r="A187" s="446" t="s">
        <v>1833</v>
      </c>
      <c r="B187" s="476" t="s">
        <v>1834</v>
      </c>
      <c r="C187" s="408"/>
      <c r="D187" s="417"/>
      <c r="E187" s="851"/>
      <c r="F187" s="742"/>
      <c r="G187" s="812"/>
      <c r="H187" s="753"/>
      <c r="I187" s="812"/>
      <c r="J187" s="753"/>
      <c r="K187" s="758"/>
      <c r="L187" s="1026"/>
    </row>
    <row r="188" spans="1:12" ht="24">
      <c r="A188" s="1078"/>
      <c r="B188" s="1053" t="s">
        <v>134</v>
      </c>
      <c r="C188" s="408" t="s">
        <v>1835</v>
      </c>
      <c r="D188" s="417"/>
      <c r="E188" s="851"/>
      <c r="F188" s="742"/>
      <c r="G188" s="812"/>
      <c r="H188" s="753"/>
      <c r="I188" s="812"/>
      <c r="J188" s="753"/>
      <c r="K188" s="758"/>
      <c r="L188" s="1039"/>
    </row>
    <row r="189" spans="1:12" ht="24">
      <c r="A189" s="1078"/>
      <c r="B189" s="1053" t="s">
        <v>134</v>
      </c>
      <c r="C189" s="408" t="s">
        <v>1811</v>
      </c>
      <c r="D189" s="417"/>
      <c r="E189" s="851"/>
      <c r="F189" s="742"/>
      <c r="G189" s="812"/>
      <c r="H189" s="753"/>
      <c r="I189" s="812"/>
      <c r="J189" s="753"/>
      <c r="K189" s="758"/>
      <c r="L189" s="1026"/>
    </row>
    <row r="190" spans="1:12" ht="24.75" thickBot="1">
      <c r="A190" s="1078"/>
      <c r="B190" s="1053"/>
      <c r="C190" s="408"/>
      <c r="D190" s="417"/>
      <c r="E190" s="851"/>
      <c r="F190" s="742"/>
      <c r="G190" s="812"/>
      <c r="H190" s="753"/>
      <c r="I190" s="812"/>
      <c r="J190" s="753"/>
      <c r="K190" s="758"/>
      <c r="L190" s="1026"/>
    </row>
    <row r="191" spans="1:12" ht="24.75" thickTop="1">
      <c r="A191" s="1069"/>
      <c r="B191" s="2084" t="s">
        <v>1836</v>
      </c>
      <c r="C191" s="2085"/>
      <c r="D191" s="2086"/>
      <c r="E191" s="1070"/>
      <c r="F191" s="1071"/>
      <c r="G191" s="1072"/>
      <c r="H191" s="762"/>
      <c r="I191" s="1032"/>
      <c r="J191" s="762"/>
      <c r="K191" s="764"/>
      <c r="L191" s="1022"/>
    </row>
    <row r="192" spans="1:12" ht="24">
      <c r="A192" s="1015">
        <v>5.6</v>
      </c>
      <c r="B192" s="2101" t="s">
        <v>1837</v>
      </c>
      <c r="C192" s="2102"/>
      <c r="D192" s="2103"/>
      <c r="E192" s="1023"/>
      <c r="F192" s="1023"/>
      <c r="G192" s="812"/>
      <c r="H192" s="852"/>
      <c r="I192" s="812"/>
      <c r="J192" s="852"/>
      <c r="K192" s="1024"/>
      <c r="L192" s="1025"/>
    </row>
    <row r="193" spans="1:12" ht="24">
      <c r="A193" s="446" t="s">
        <v>1838</v>
      </c>
      <c r="B193" s="476" t="s">
        <v>1839</v>
      </c>
      <c r="C193" s="408"/>
      <c r="D193" s="417"/>
      <c r="E193" s="851"/>
      <c r="F193" s="742"/>
      <c r="G193" s="812"/>
      <c r="H193" s="753"/>
      <c r="I193" s="812"/>
      <c r="J193" s="753"/>
      <c r="K193" s="758"/>
      <c r="L193" s="1026"/>
    </row>
    <row r="194" spans="1:12" ht="24">
      <c r="A194" s="446"/>
      <c r="B194" s="1053" t="s">
        <v>134</v>
      </c>
      <c r="C194" s="408" t="s">
        <v>1840</v>
      </c>
      <c r="D194" s="417"/>
      <c r="E194" s="851"/>
      <c r="F194" s="742"/>
      <c r="G194" s="812"/>
      <c r="H194" s="753"/>
      <c r="I194" s="812"/>
      <c r="J194" s="753"/>
      <c r="K194" s="758"/>
      <c r="L194" s="1026"/>
    </row>
    <row r="195" spans="1:12" ht="24">
      <c r="A195" s="446"/>
      <c r="B195" s="1053" t="s">
        <v>134</v>
      </c>
      <c r="C195" s="408" t="s">
        <v>1841</v>
      </c>
      <c r="D195" s="417"/>
      <c r="E195" s="851"/>
      <c r="F195" s="742"/>
      <c r="G195" s="812"/>
      <c r="H195" s="753"/>
      <c r="I195" s="812"/>
      <c r="J195" s="753"/>
      <c r="K195" s="758"/>
      <c r="L195" s="1026"/>
    </row>
    <row r="196" spans="1:12" ht="24">
      <c r="A196" s="446" t="s">
        <v>1842</v>
      </c>
      <c r="B196" s="476" t="s">
        <v>1843</v>
      </c>
      <c r="C196" s="408"/>
      <c r="D196" s="417"/>
      <c r="E196" s="851"/>
      <c r="F196" s="742"/>
      <c r="G196" s="812"/>
      <c r="H196" s="753"/>
      <c r="I196" s="812"/>
      <c r="J196" s="753"/>
      <c r="K196" s="758"/>
      <c r="L196" s="1026"/>
    </row>
    <row r="197" spans="1:12" ht="24">
      <c r="A197" s="446"/>
      <c r="B197" s="1053" t="s">
        <v>134</v>
      </c>
      <c r="C197" s="408" t="s">
        <v>1844</v>
      </c>
      <c r="D197" s="417"/>
      <c r="E197" s="851"/>
      <c r="F197" s="742"/>
      <c r="G197" s="812"/>
      <c r="H197" s="753"/>
      <c r="I197" s="812"/>
      <c r="J197" s="753"/>
      <c r="K197" s="758"/>
      <c r="L197" s="1026"/>
    </row>
    <row r="198" spans="1:12" ht="24">
      <c r="A198" s="1057"/>
      <c r="B198" s="1058" t="s">
        <v>134</v>
      </c>
      <c r="C198" s="1059" t="s">
        <v>1845</v>
      </c>
      <c r="D198" s="1060"/>
      <c r="E198" s="800"/>
      <c r="F198" s="800"/>
      <c r="G198" s="802"/>
      <c r="H198" s="1046"/>
      <c r="I198" s="802"/>
      <c r="J198" s="1046"/>
      <c r="K198" s="1047"/>
      <c r="L198" s="1048"/>
    </row>
    <row r="199" spans="1:12" ht="24">
      <c r="A199" s="446"/>
      <c r="B199" s="1079" t="s">
        <v>134</v>
      </c>
      <c r="C199" s="1080" t="s">
        <v>1846</v>
      </c>
      <c r="D199" s="417"/>
      <c r="E199" s="851"/>
      <c r="F199" s="851"/>
      <c r="G199" s="812"/>
      <c r="H199" s="852"/>
      <c r="I199" s="812"/>
      <c r="J199" s="852"/>
      <c r="K199" s="1024"/>
      <c r="L199" s="1026"/>
    </row>
    <row r="200" spans="1:12" ht="24">
      <c r="A200" s="446" t="s">
        <v>1847</v>
      </c>
      <c r="B200" s="476" t="s">
        <v>1848</v>
      </c>
      <c r="C200" s="408"/>
      <c r="D200" s="417"/>
      <c r="E200" s="851"/>
      <c r="F200" s="742"/>
      <c r="G200" s="812"/>
      <c r="H200" s="753"/>
      <c r="I200" s="812"/>
      <c r="J200" s="753"/>
      <c r="K200" s="758"/>
      <c r="L200" s="1026"/>
    </row>
    <row r="201" spans="1:12" ht="24">
      <c r="A201" s="446"/>
      <c r="B201" s="1053" t="s">
        <v>134</v>
      </c>
      <c r="C201" s="408" t="s">
        <v>1849</v>
      </c>
      <c r="D201" s="417"/>
      <c r="E201" s="851"/>
      <c r="F201" s="742"/>
      <c r="G201" s="812"/>
      <c r="H201" s="753"/>
      <c r="I201" s="812"/>
      <c r="J201" s="753"/>
      <c r="K201" s="758"/>
      <c r="L201" s="1026"/>
    </row>
    <row r="202" spans="1:12" ht="24">
      <c r="A202" s="446"/>
      <c r="B202" s="1053" t="s">
        <v>134</v>
      </c>
      <c r="C202" s="408" t="s">
        <v>1850</v>
      </c>
      <c r="D202" s="417"/>
      <c r="E202" s="851"/>
      <c r="F202" s="742"/>
      <c r="G202" s="812"/>
      <c r="H202" s="753"/>
      <c r="I202" s="812"/>
      <c r="J202" s="753"/>
      <c r="K202" s="758"/>
      <c r="L202" s="1026"/>
    </row>
    <row r="203" spans="1:12" ht="24">
      <c r="A203" s="446"/>
      <c r="B203" s="1053" t="s">
        <v>134</v>
      </c>
      <c r="C203" s="408" t="s">
        <v>1851</v>
      </c>
      <c r="D203" s="417"/>
      <c r="E203" s="851"/>
      <c r="F203" s="742"/>
      <c r="G203" s="812"/>
      <c r="H203" s="753"/>
      <c r="I203" s="812"/>
      <c r="J203" s="753"/>
      <c r="K203" s="758"/>
      <c r="L203" s="1026"/>
    </row>
    <row r="204" spans="1:12" ht="24">
      <c r="A204" s="446"/>
      <c r="B204" s="1053" t="s">
        <v>134</v>
      </c>
      <c r="C204" s="408" t="s">
        <v>1852</v>
      </c>
      <c r="D204" s="417"/>
      <c r="E204" s="851"/>
      <c r="F204" s="742"/>
      <c r="G204" s="812"/>
      <c r="H204" s="753"/>
      <c r="I204" s="812"/>
      <c r="J204" s="753"/>
      <c r="K204" s="758"/>
      <c r="L204" s="1026"/>
    </row>
    <row r="205" spans="1:12" ht="24">
      <c r="A205" s="446"/>
      <c r="B205" s="1053" t="s">
        <v>134</v>
      </c>
      <c r="C205" s="408" t="s">
        <v>1853</v>
      </c>
      <c r="D205" s="417"/>
      <c r="E205" s="851"/>
      <c r="F205" s="742"/>
      <c r="G205" s="812"/>
      <c r="H205" s="753"/>
      <c r="I205" s="812"/>
      <c r="J205" s="753"/>
      <c r="K205" s="758"/>
      <c r="L205" s="1026"/>
    </row>
    <row r="206" spans="1:12" ht="24">
      <c r="A206" s="446"/>
      <c r="B206" s="1053" t="s">
        <v>134</v>
      </c>
      <c r="C206" s="408" t="s">
        <v>1854</v>
      </c>
      <c r="D206" s="417"/>
      <c r="E206" s="851"/>
      <c r="F206" s="742"/>
      <c r="G206" s="812"/>
      <c r="H206" s="753"/>
      <c r="I206" s="812"/>
      <c r="J206" s="753"/>
      <c r="K206" s="758"/>
      <c r="L206" s="1026"/>
    </row>
    <row r="207" spans="1:12" ht="24">
      <c r="A207" s="446"/>
      <c r="B207" s="1053" t="s">
        <v>134</v>
      </c>
      <c r="C207" s="408" t="s">
        <v>1855</v>
      </c>
      <c r="D207" s="417"/>
      <c r="E207" s="851"/>
      <c r="F207" s="742"/>
      <c r="G207" s="812"/>
      <c r="H207" s="753"/>
      <c r="I207" s="812"/>
      <c r="J207" s="753"/>
      <c r="K207" s="758"/>
      <c r="L207" s="1026"/>
    </row>
    <row r="208" spans="1:12" ht="24.75" thickBot="1">
      <c r="A208" s="446"/>
      <c r="B208" s="1053"/>
      <c r="C208" s="408"/>
      <c r="D208" s="417"/>
      <c r="E208" s="851"/>
      <c r="F208" s="742"/>
      <c r="G208" s="812"/>
      <c r="H208" s="753"/>
      <c r="I208" s="812"/>
      <c r="J208" s="753"/>
      <c r="K208" s="758"/>
      <c r="L208" s="1026"/>
    </row>
    <row r="209" spans="1:12" ht="24.75" thickTop="1">
      <c r="A209" s="1069"/>
      <c r="B209" s="2084" t="s">
        <v>1856</v>
      </c>
      <c r="C209" s="2085"/>
      <c r="D209" s="2086"/>
      <c r="E209" s="1070"/>
      <c r="F209" s="1071"/>
      <c r="G209" s="1072"/>
      <c r="H209" s="762"/>
      <c r="I209" s="1032"/>
      <c r="J209" s="762"/>
      <c r="K209" s="764"/>
      <c r="L209" s="1022"/>
    </row>
    <row r="210" spans="1:12" ht="24">
      <c r="A210" s="1015">
        <v>5.7</v>
      </c>
      <c r="B210" s="2101" t="s">
        <v>1857</v>
      </c>
      <c r="C210" s="2102"/>
      <c r="D210" s="2103"/>
      <c r="E210" s="1023"/>
      <c r="F210" s="1023"/>
      <c r="G210" s="812"/>
      <c r="H210" s="852"/>
      <c r="I210" s="812"/>
      <c r="J210" s="852"/>
      <c r="K210" s="1024"/>
      <c r="L210" s="1025"/>
    </row>
    <row r="211" spans="1:12" ht="24">
      <c r="A211" s="442" t="s">
        <v>1858</v>
      </c>
      <c r="B211" s="1077" t="s">
        <v>1859</v>
      </c>
      <c r="C211" s="408"/>
      <c r="D211" s="409"/>
      <c r="E211" s="851"/>
      <c r="F211" s="742"/>
      <c r="G211" s="812"/>
      <c r="H211" s="753"/>
      <c r="I211" s="812"/>
      <c r="J211" s="753"/>
      <c r="K211" s="758"/>
      <c r="L211" s="1039"/>
    </row>
    <row r="212" spans="1:12" ht="24">
      <c r="A212" s="446"/>
      <c r="B212" s="1053" t="s">
        <v>134</v>
      </c>
      <c r="C212" s="408" t="s">
        <v>1860</v>
      </c>
      <c r="D212" s="417"/>
      <c r="E212" s="851"/>
      <c r="F212" s="742"/>
      <c r="G212" s="812"/>
      <c r="H212" s="753"/>
      <c r="I212" s="812"/>
      <c r="J212" s="753"/>
      <c r="K212" s="758"/>
      <c r="L212" s="1039"/>
    </row>
    <row r="213" spans="1:12" ht="24">
      <c r="A213" s="442"/>
      <c r="B213" s="1053" t="s">
        <v>134</v>
      </c>
      <c r="C213" s="408" t="s">
        <v>1861</v>
      </c>
      <c r="D213" s="417"/>
      <c r="E213" s="851"/>
      <c r="F213" s="742"/>
      <c r="G213" s="812"/>
      <c r="H213" s="753"/>
      <c r="I213" s="812"/>
      <c r="J213" s="753"/>
      <c r="K213" s="758"/>
      <c r="L213" s="1039"/>
    </row>
    <row r="214" spans="1:12" ht="24">
      <c r="A214" s="442"/>
      <c r="B214" s="1053" t="s">
        <v>134</v>
      </c>
      <c r="C214" s="408" t="s">
        <v>1862</v>
      </c>
      <c r="D214" s="409"/>
      <c r="E214" s="851"/>
      <c r="F214" s="742"/>
      <c r="G214" s="812"/>
      <c r="H214" s="753"/>
      <c r="I214" s="812"/>
      <c r="J214" s="753"/>
      <c r="K214" s="758"/>
      <c r="L214" s="1039"/>
    </row>
    <row r="215" spans="1:12" ht="24">
      <c r="A215" s="442"/>
      <c r="B215" s="1053" t="s">
        <v>134</v>
      </c>
      <c r="C215" s="408" t="s">
        <v>1863</v>
      </c>
      <c r="D215" s="409"/>
      <c r="E215" s="851"/>
      <c r="F215" s="742"/>
      <c r="G215" s="812"/>
      <c r="H215" s="753"/>
      <c r="I215" s="812"/>
      <c r="J215" s="753"/>
      <c r="K215" s="758"/>
      <c r="L215" s="1039"/>
    </row>
    <row r="216" spans="1:12" ht="24">
      <c r="A216" s="442"/>
      <c r="B216" s="1053" t="s">
        <v>134</v>
      </c>
      <c r="C216" s="408" t="s">
        <v>1864</v>
      </c>
      <c r="D216" s="409"/>
      <c r="E216" s="851"/>
      <c r="F216" s="742"/>
      <c r="G216" s="812"/>
      <c r="H216" s="753"/>
      <c r="I216" s="812"/>
      <c r="J216" s="753"/>
      <c r="K216" s="758"/>
      <c r="L216" s="1039"/>
    </row>
    <row r="217" spans="1:12" ht="24">
      <c r="A217" s="442"/>
      <c r="B217" s="1053" t="s">
        <v>134</v>
      </c>
      <c r="C217" s="408" t="s">
        <v>1865</v>
      </c>
      <c r="D217" s="409"/>
      <c r="E217" s="851"/>
      <c r="F217" s="742"/>
      <c r="G217" s="812"/>
      <c r="H217" s="753"/>
      <c r="I217" s="812"/>
      <c r="J217" s="753"/>
      <c r="K217" s="758"/>
      <c r="L217" s="1039"/>
    </row>
    <row r="218" spans="1:12" ht="24">
      <c r="A218" s="442"/>
      <c r="B218" s="1053" t="s">
        <v>134</v>
      </c>
      <c r="C218" s="408" t="s">
        <v>1866</v>
      </c>
      <c r="D218" s="409"/>
      <c r="E218" s="851"/>
      <c r="F218" s="742"/>
      <c r="G218" s="812"/>
      <c r="H218" s="753"/>
      <c r="I218" s="812"/>
      <c r="J218" s="753"/>
      <c r="K218" s="758"/>
      <c r="L218" s="1039"/>
    </row>
    <row r="219" spans="1:12" ht="24">
      <c r="A219" s="1057"/>
      <c r="B219" s="1058" t="s">
        <v>134</v>
      </c>
      <c r="C219" s="1059" t="s">
        <v>1867</v>
      </c>
      <c r="D219" s="1060"/>
      <c r="E219" s="800"/>
      <c r="F219" s="800"/>
      <c r="G219" s="802"/>
      <c r="H219" s="1046"/>
      <c r="I219" s="802"/>
      <c r="J219" s="1046"/>
      <c r="K219" s="1047"/>
      <c r="L219" s="1048"/>
    </row>
    <row r="220" spans="1:12" ht="24">
      <c r="A220" s="446"/>
      <c r="B220" s="1079" t="s">
        <v>134</v>
      </c>
      <c r="C220" s="1080" t="s">
        <v>1868</v>
      </c>
      <c r="D220" s="417"/>
      <c r="E220" s="851"/>
      <c r="F220" s="851"/>
      <c r="G220" s="812"/>
      <c r="H220" s="852"/>
      <c r="I220" s="812"/>
      <c r="J220" s="852"/>
      <c r="K220" s="1024"/>
      <c r="L220" s="1026"/>
    </row>
    <row r="221" spans="1:12" ht="24">
      <c r="A221" s="446" t="s">
        <v>1869</v>
      </c>
      <c r="B221" s="476" t="s">
        <v>1870</v>
      </c>
      <c r="C221" s="408"/>
      <c r="D221" s="417"/>
      <c r="E221" s="851"/>
      <c r="F221" s="742"/>
      <c r="G221" s="812"/>
      <c r="H221" s="753"/>
      <c r="I221" s="812"/>
      <c r="J221" s="753"/>
      <c r="K221" s="758"/>
      <c r="L221" s="1039"/>
    </row>
    <row r="222" spans="1:12" ht="24">
      <c r="A222" s="446"/>
      <c r="B222" s="1053" t="s">
        <v>134</v>
      </c>
      <c r="C222" s="408" t="s">
        <v>1871</v>
      </c>
      <c r="D222" s="417"/>
      <c r="E222" s="851"/>
      <c r="F222" s="742"/>
      <c r="G222" s="812"/>
      <c r="H222" s="753"/>
      <c r="I222" s="812"/>
      <c r="J222" s="753"/>
      <c r="K222" s="758"/>
      <c r="L222" s="1039"/>
    </row>
    <row r="223" spans="1:12" ht="24">
      <c r="A223" s="446"/>
      <c r="B223" s="1053" t="s">
        <v>134</v>
      </c>
      <c r="C223" s="408" t="s">
        <v>1872</v>
      </c>
      <c r="D223" s="417"/>
      <c r="E223" s="851"/>
      <c r="F223" s="742"/>
      <c r="G223" s="812"/>
      <c r="H223" s="753"/>
      <c r="I223" s="812"/>
      <c r="J223" s="753"/>
      <c r="K223" s="758"/>
      <c r="L223" s="1026"/>
    </row>
    <row r="224" spans="1:12" ht="24">
      <c r="A224" s="446"/>
      <c r="B224" s="1053" t="s">
        <v>134</v>
      </c>
      <c r="C224" s="408" t="s">
        <v>1873</v>
      </c>
      <c r="D224" s="409"/>
      <c r="E224" s="851"/>
      <c r="F224" s="742"/>
      <c r="G224" s="812"/>
      <c r="H224" s="753"/>
      <c r="I224" s="812"/>
      <c r="J224" s="753"/>
      <c r="K224" s="758"/>
      <c r="L224" s="1026"/>
    </row>
    <row r="225" spans="1:12" ht="24">
      <c r="A225" s="446"/>
      <c r="B225" s="1053" t="s">
        <v>134</v>
      </c>
      <c r="C225" s="408" t="s">
        <v>1874</v>
      </c>
      <c r="D225" s="417"/>
      <c r="E225" s="851"/>
      <c r="F225" s="742"/>
      <c r="G225" s="812"/>
      <c r="H225" s="753"/>
      <c r="I225" s="812"/>
      <c r="J225" s="753"/>
      <c r="K225" s="758"/>
      <c r="L225" s="1026"/>
    </row>
    <row r="226" spans="1:12" ht="24">
      <c r="A226" s="446" t="s">
        <v>1875</v>
      </c>
      <c r="B226" s="476" t="s">
        <v>1263</v>
      </c>
      <c r="C226" s="408"/>
      <c r="D226" s="417"/>
      <c r="E226" s="851"/>
      <c r="F226" s="742"/>
      <c r="G226" s="812"/>
      <c r="H226" s="753"/>
      <c r="I226" s="812"/>
      <c r="J226" s="753"/>
      <c r="K226" s="758"/>
      <c r="L226" s="1026"/>
    </row>
    <row r="227" spans="1:12" ht="24">
      <c r="A227" s="446"/>
      <c r="B227" s="1053" t="s">
        <v>134</v>
      </c>
      <c r="C227" s="408" t="s">
        <v>1876</v>
      </c>
      <c r="D227" s="417"/>
      <c r="E227" s="851"/>
      <c r="F227" s="742"/>
      <c r="G227" s="812"/>
      <c r="H227" s="753"/>
      <c r="I227" s="812"/>
      <c r="J227" s="753"/>
      <c r="K227" s="758"/>
      <c r="L227" s="1039"/>
    </row>
    <row r="228" spans="1:12" ht="24">
      <c r="A228" s="446"/>
      <c r="B228" s="1053" t="s">
        <v>134</v>
      </c>
      <c r="C228" s="408" t="s">
        <v>1815</v>
      </c>
      <c r="D228" s="417"/>
      <c r="E228" s="851"/>
      <c r="F228" s="742"/>
      <c r="G228" s="812"/>
      <c r="H228" s="753"/>
      <c r="I228" s="812"/>
      <c r="J228" s="753"/>
      <c r="K228" s="758"/>
      <c r="L228" s="1026"/>
    </row>
    <row r="229" spans="1:12" ht="24">
      <c r="A229" s="446"/>
      <c r="B229" s="1053" t="s">
        <v>134</v>
      </c>
      <c r="C229" s="408" t="s">
        <v>1816</v>
      </c>
      <c r="D229" s="417"/>
      <c r="E229" s="851"/>
      <c r="F229" s="742"/>
      <c r="G229" s="812"/>
      <c r="H229" s="753"/>
      <c r="I229" s="812"/>
      <c r="J229" s="753"/>
      <c r="K229" s="758"/>
      <c r="L229" s="1026"/>
    </row>
    <row r="230" spans="1:12" ht="24">
      <c r="A230" s="446"/>
      <c r="B230" s="1053" t="s">
        <v>134</v>
      </c>
      <c r="C230" s="408" t="s">
        <v>1811</v>
      </c>
      <c r="D230" s="417"/>
      <c r="E230" s="851"/>
      <c r="F230" s="742"/>
      <c r="G230" s="812"/>
      <c r="H230" s="753"/>
      <c r="I230" s="812"/>
      <c r="J230" s="753"/>
      <c r="K230" s="758"/>
      <c r="L230" s="1026"/>
    </row>
    <row r="231" spans="1:12" ht="24">
      <c r="A231" s="446"/>
      <c r="B231" s="1053" t="s">
        <v>134</v>
      </c>
      <c r="C231" s="408" t="s">
        <v>1808</v>
      </c>
      <c r="D231" s="417"/>
      <c r="E231" s="851"/>
      <c r="F231" s="742"/>
      <c r="G231" s="812"/>
      <c r="H231" s="753"/>
      <c r="I231" s="812"/>
      <c r="J231" s="753"/>
      <c r="K231" s="758"/>
      <c r="L231" s="1026"/>
    </row>
    <row r="232" spans="1:12" ht="24">
      <c r="A232" s="446"/>
      <c r="B232" s="1053"/>
      <c r="C232" s="408"/>
      <c r="D232" s="417"/>
      <c r="E232" s="851"/>
      <c r="F232" s="742"/>
      <c r="G232" s="812"/>
      <c r="H232" s="753"/>
      <c r="I232" s="812"/>
      <c r="J232" s="753"/>
      <c r="K232" s="758"/>
      <c r="L232" s="1026"/>
    </row>
    <row r="233" spans="1:12" ht="24">
      <c r="A233" s="446"/>
      <c r="B233" s="1053"/>
      <c r="C233" s="408"/>
      <c r="D233" s="417"/>
      <c r="E233" s="851"/>
      <c r="F233" s="742"/>
      <c r="G233" s="812"/>
      <c r="H233" s="753"/>
      <c r="I233" s="812"/>
      <c r="J233" s="753"/>
      <c r="K233" s="758"/>
      <c r="L233" s="1026"/>
    </row>
    <row r="234" spans="1:12" ht="24">
      <c r="A234" s="446"/>
      <c r="B234" s="1053"/>
      <c r="C234" s="408"/>
      <c r="D234" s="417"/>
      <c r="E234" s="851"/>
      <c r="F234" s="742"/>
      <c r="G234" s="812"/>
      <c r="H234" s="753"/>
      <c r="I234" s="812"/>
      <c r="J234" s="753"/>
      <c r="K234" s="758"/>
      <c r="L234" s="1026"/>
    </row>
    <row r="235" spans="1:12" ht="24">
      <c r="A235" s="446"/>
      <c r="B235" s="1053"/>
      <c r="C235" s="408"/>
      <c r="D235" s="417"/>
      <c r="E235" s="851"/>
      <c r="F235" s="742"/>
      <c r="G235" s="812"/>
      <c r="H235" s="753"/>
      <c r="I235" s="812"/>
      <c r="J235" s="753"/>
      <c r="K235" s="758"/>
      <c r="L235" s="1026"/>
    </row>
    <row r="236" spans="1:12" ht="24">
      <c r="A236" s="446"/>
      <c r="B236" s="1053"/>
      <c r="C236" s="408"/>
      <c r="D236" s="417"/>
      <c r="E236" s="851"/>
      <c r="F236" s="742"/>
      <c r="G236" s="812"/>
      <c r="H236" s="753"/>
      <c r="I236" s="812"/>
      <c r="J236" s="753"/>
      <c r="K236" s="758"/>
      <c r="L236" s="1026"/>
    </row>
    <row r="237" spans="1:12" ht="24">
      <c r="A237" s="446"/>
      <c r="B237" s="1053"/>
      <c r="C237" s="421"/>
      <c r="D237" s="417"/>
      <c r="E237" s="851"/>
      <c r="F237" s="742"/>
      <c r="G237" s="812"/>
      <c r="H237" s="753"/>
      <c r="I237" s="812"/>
      <c r="J237" s="753"/>
      <c r="K237" s="758"/>
      <c r="L237" s="1026"/>
    </row>
    <row r="238" spans="1:12" ht="24">
      <c r="A238" s="446"/>
      <c r="B238" s="1053"/>
      <c r="C238" s="408"/>
      <c r="D238" s="417"/>
      <c r="E238" s="851"/>
      <c r="F238" s="742"/>
      <c r="G238" s="812"/>
      <c r="H238" s="753"/>
      <c r="I238" s="812"/>
      <c r="J238" s="753"/>
      <c r="K238" s="758"/>
      <c r="L238" s="1026"/>
    </row>
    <row r="239" spans="1:12" ht="24.75" thickBot="1">
      <c r="A239" s="446"/>
      <c r="B239" s="1053"/>
      <c r="C239" s="408"/>
      <c r="D239" s="417"/>
      <c r="E239" s="851"/>
      <c r="F239" s="742"/>
      <c r="G239" s="812"/>
      <c r="H239" s="753"/>
      <c r="I239" s="812"/>
      <c r="J239" s="753"/>
      <c r="K239" s="758"/>
      <c r="L239" s="1026"/>
    </row>
    <row r="240" spans="1:12" ht="24.75" thickTop="1">
      <c r="A240" s="1069"/>
      <c r="B240" s="2084" t="s">
        <v>1877</v>
      </c>
      <c r="C240" s="2085"/>
      <c r="D240" s="2086"/>
      <c r="E240" s="1070"/>
      <c r="F240" s="1071"/>
      <c r="G240" s="1072"/>
      <c r="H240" s="762"/>
      <c r="I240" s="1032"/>
      <c r="J240" s="762"/>
      <c r="K240" s="764"/>
      <c r="L240" s="1022"/>
    </row>
  </sheetData>
  <mergeCells count="111"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1:D31"/>
    <mergeCell ref="G34:H34"/>
    <mergeCell ref="G35:H35"/>
    <mergeCell ref="G36:H36"/>
    <mergeCell ref="K4:L4"/>
    <mergeCell ref="D6:F6"/>
    <mergeCell ref="L6:L7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9:H59"/>
    <mergeCell ref="G60:H60"/>
    <mergeCell ref="G61:H61"/>
    <mergeCell ref="G62:H62"/>
    <mergeCell ref="G63:H63"/>
    <mergeCell ref="G64:H64"/>
    <mergeCell ref="B51:D51"/>
    <mergeCell ref="G54:H54"/>
    <mergeCell ref="G55:H55"/>
    <mergeCell ref="G56:H56"/>
    <mergeCell ref="G57:H57"/>
    <mergeCell ref="G58:H58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83:H83"/>
    <mergeCell ref="G85:H85"/>
    <mergeCell ref="G86:H86"/>
    <mergeCell ref="G87:H87"/>
    <mergeCell ref="G89:H89"/>
    <mergeCell ref="G90:H90"/>
    <mergeCell ref="G77:H77"/>
    <mergeCell ref="G78:H78"/>
    <mergeCell ref="G79:H79"/>
    <mergeCell ref="G80:H80"/>
    <mergeCell ref="G81:H81"/>
    <mergeCell ref="G82:H82"/>
    <mergeCell ref="G99:H99"/>
    <mergeCell ref="G100:H100"/>
    <mergeCell ref="G101:H101"/>
    <mergeCell ref="G102:H102"/>
    <mergeCell ref="G103:H103"/>
    <mergeCell ref="G104:H104"/>
    <mergeCell ref="G91:H91"/>
    <mergeCell ref="G92:H92"/>
    <mergeCell ref="G95:H95"/>
    <mergeCell ref="G96:H96"/>
    <mergeCell ref="G97:H97"/>
    <mergeCell ref="G98:H98"/>
    <mergeCell ref="G111:H111"/>
    <mergeCell ref="G112:H112"/>
    <mergeCell ref="G113:H113"/>
    <mergeCell ref="G114:H114"/>
    <mergeCell ref="G116:H116"/>
    <mergeCell ref="G117:H117"/>
    <mergeCell ref="G105:H105"/>
    <mergeCell ref="G106:H106"/>
    <mergeCell ref="G107:H107"/>
    <mergeCell ref="G108:H108"/>
    <mergeCell ref="G109:H109"/>
    <mergeCell ref="G110:H110"/>
    <mergeCell ref="G124:H124"/>
    <mergeCell ref="G125:H125"/>
    <mergeCell ref="G126:H126"/>
    <mergeCell ref="G128:H128"/>
    <mergeCell ref="G129:H129"/>
    <mergeCell ref="G130:H130"/>
    <mergeCell ref="G118:H118"/>
    <mergeCell ref="G119:H119"/>
    <mergeCell ref="G120:H120"/>
    <mergeCell ref="G121:H121"/>
    <mergeCell ref="G122:H122"/>
    <mergeCell ref="G123:H123"/>
    <mergeCell ref="B191:D191"/>
    <mergeCell ref="B192:D192"/>
    <mergeCell ref="B209:D209"/>
    <mergeCell ref="B210:D210"/>
    <mergeCell ref="B240:D240"/>
    <mergeCell ref="G131:H131"/>
    <mergeCell ref="G133:H133"/>
    <mergeCell ref="B137:D137"/>
    <mergeCell ref="B156:D156"/>
    <mergeCell ref="B177:D177"/>
    <mergeCell ref="B178:D178"/>
  </mergeCells>
  <printOptions horizontalCentered="1"/>
  <pageMargins left="0" right="0" top="0.35433070866141736" bottom="0.39370078740157483" header="0.31496062992125984" footer="0.15748031496062992"/>
  <pageSetup paperSize="9" scale="80" orientation="landscape" r:id="rId1"/>
  <headerFooter>
    <oddHeader xml:space="preserve">&amp;Rแผ่นที่ &amp;P ใน &amp;N แผ่น               </oddHeader>
    <oddFooter xml:space="preserve">&amp;Rงานระบบปรับอากาศและระบายอากาศ - อาคารส่วนบริการและกิจกรรม           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1"/>
  <sheetViews>
    <sheetView showGridLines="0" view="pageBreakPreview" topLeftCell="A37" zoomScaleNormal="80" zoomScaleSheetLayoutView="100" workbookViewId="0">
      <selection activeCell="J20" sqref="J20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9.85546875" style="361" customWidth="1"/>
    <col min="6" max="6" width="9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4" width="9.140625" style="361"/>
    <col min="15" max="20" width="15.7109375" style="361" customWidth="1"/>
    <col min="21" max="16384" width="9.140625" style="361"/>
  </cols>
  <sheetData>
    <row r="1" spans="1:12" ht="26.25">
      <c r="E1" s="88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1878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10"/>
      <c r="L4" s="211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380" t="s">
        <v>32</v>
      </c>
      <c r="H6" s="381">
        <v>15</v>
      </c>
      <c r="I6" s="382" t="s">
        <v>33</v>
      </c>
      <c r="J6" s="383" t="s">
        <v>525</v>
      </c>
      <c r="K6" s="384" t="s">
        <v>526</v>
      </c>
      <c r="L6" s="2131" t="s">
        <v>45</v>
      </c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6</v>
      </c>
      <c r="B10" s="2025" t="s">
        <v>497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>
        <v>6.1</v>
      </c>
      <c r="B11" s="134" t="s">
        <v>1879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/>
      <c r="B12" s="61"/>
      <c r="C12" s="54"/>
      <c r="D12" s="62"/>
      <c r="E12" s="1081"/>
      <c r="F12" s="64"/>
      <c r="G12" s="113"/>
      <c r="H12" s="157"/>
      <c r="I12" s="156"/>
      <c r="J12" s="157"/>
      <c r="K12" s="159"/>
      <c r="L12" s="66"/>
    </row>
    <row r="13" spans="1:12" ht="24">
      <c r="A13" s="132"/>
      <c r="B13" s="222"/>
      <c r="C13" s="61"/>
      <c r="D13" s="62"/>
      <c r="E13" s="63"/>
      <c r="F13" s="64"/>
      <c r="G13" s="113"/>
      <c r="H13" s="157"/>
      <c r="I13" s="156"/>
      <c r="J13" s="157"/>
      <c r="K13" s="159"/>
      <c r="L13" s="66"/>
    </row>
    <row r="14" spans="1:12" ht="24">
      <c r="A14" s="132"/>
      <c r="B14" s="222"/>
      <c r="C14" s="61"/>
      <c r="D14" s="62"/>
      <c r="E14" s="63"/>
      <c r="F14" s="64"/>
      <c r="G14" s="113"/>
      <c r="H14" s="157"/>
      <c r="I14" s="156"/>
      <c r="J14" s="157"/>
      <c r="K14" s="159"/>
      <c r="L14" s="66"/>
    </row>
    <row r="15" spans="1:12" ht="24">
      <c r="A15" s="132"/>
      <c r="B15" s="222"/>
      <c r="C15" s="61"/>
      <c r="D15" s="67"/>
      <c r="E15" s="56"/>
      <c r="F15" s="57"/>
      <c r="G15" s="114"/>
      <c r="H15" s="161"/>
      <c r="I15" s="160"/>
      <c r="J15" s="161"/>
      <c r="K15" s="159"/>
      <c r="L15" s="58"/>
    </row>
    <row r="16" spans="1:12" ht="24">
      <c r="A16" s="132"/>
      <c r="B16" s="1082"/>
      <c r="C16" s="61"/>
      <c r="D16" s="67"/>
      <c r="E16" s="56"/>
      <c r="F16" s="57"/>
      <c r="G16" s="114"/>
      <c r="H16" s="161"/>
      <c r="I16" s="160"/>
      <c r="J16" s="161"/>
      <c r="K16" s="159"/>
      <c r="L16" s="58"/>
    </row>
    <row r="17" spans="1:18" ht="24">
      <c r="A17" s="132"/>
      <c r="B17" s="1082"/>
      <c r="C17" s="61"/>
      <c r="D17" s="67"/>
      <c r="E17" s="56"/>
      <c r="F17" s="57"/>
      <c r="G17" s="114"/>
      <c r="H17" s="161"/>
      <c r="I17" s="160"/>
      <c r="J17" s="161"/>
      <c r="K17" s="159"/>
      <c r="L17" s="58"/>
    </row>
    <row r="18" spans="1:18" ht="24">
      <c r="A18" s="132"/>
      <c r="B18" s="60"/>
      <c r="C18" s="61"/>
      <c r="D18" s="67"/>
      <c r="E18" s="56"/>
      <c r="F18" s="57"/>
      <c r="G18" s="114"/>
      <c r="H18" s="161"/>
      <c r="I18" s="160"/>
      <c r="J18" s="161"/>
      <c r="K18" s="159"/>
      <c r="L18" s="58"/>
    </row>
    <row r="19" spans="1:18" ht="24">
      <c r="A19" s="132"/>
      <c r="B19" s="60"/>
      <c r="C19" s="61"/>
      <c r="D19" s="67"/>
      <c r="E19" s="56"/>
      <c r="F19" s="57"/>
      <c r="G19" s="114"/>
      <c r="H19" s="161"/>
      <c r="I19" s="160"/>
      <c r="J19" s="161"/>
      <c r="K19" s="159"/>
      <c r="L19" s="58"/>
    </row>
    <row r="20" spans="1:18" ht="24">
      <c r="A20" s="132"/>
      <c r="B20" s="60"/>
      <c r="C20" s="61"/>
      <c r="D20" s="67"/>
      <c r="E20" s="56"/>
      <c r="F20" s="57"/>
      <c r="G20" s="114"/>
      <c r="H20" s="161"/>
      <c r="I20" s="160"/>
      <c r="J20" s="161"/>
      <c r="K20" s="159"/>
      <c r="L20" s="58"/>
    </row>
    <row r="21" spans="1:18" ht="24">
      <c r="A21" s="132"/>
      <c r="B21" s="60"/>
      <c r="C21" s="61"/>
      <c r="D21" s="67"/>
      <c r="E21" s="56"/>
      <c r="F21" s="57"/>
      <c r="G21" s="114"/>
      <c r="H21" s="161"/>
      <c r="I21" s="160"/>
      <c r="J21" s="161"/>
      <c r="K21" s="159"/>
      <c r="L21" s="58"/>
    </row>
    <row r="22" spans="1:18" ht="24">
      <c r="A22" s="132"/>
      <c r="B22" s="60"/>
      <c r="C22" s="61"/>
      <c r="D22" s="67"/>
      <c r="E22" s="56"/>
      <c r="F22" s="57"/>
      <c r="G22" s="114"/>
      <c r="H22" s="161"/>
      <c r="I22" s="160"/>
      <c r="J22" s="161"/>
      <c r="K22" s="159"/>
      <c r="L22" s="58"/>
    </row>
    <row r="23" spans="1:18" ht="24">
      <c r="A23" s="132"/>
      <c r="B23" s="60"/>
      <c r="C23" s="61"/>
      <c r="D23" s="67"/>
      <c r="E23" s="56"/>
      <c r="F23" s="57"/>
      <c r="G23" s="114"/>
      <c r="H23" s="161"/>
      <c r="I23" s="160"/>
      <c r="J23" s="161"/>
      <c r="K23" s="159"/>
      <c r="L23" s="58"/>
    </row>
    <row r="24" spans="1:18" ht="24">
      <c r="A24" s="132"/>
      <c r="B24" s="60"/>
      <c r="C24" s="61"/>
      <c r="D24" s="67"/>
      <c r="E24" s="56"/>
      <c r="F24" s="57"/>
      <c r="G24" s="114"/>
      <c r="H24" s="161"/>
      <c r="I24" s="160"/>
      <c r="J24" s="161"/>
      <c r="K24" s="159"/>
      <c r="L24" s="58"/>
    </row>
    <row r="25" spans="1:18" ht="24">
      <c r="A25" s="132"/>
      <c r="B25" s="60"/>
      <c r="C25" s="61"/>
      <c r="D25" s="67"/>
      <c r="E25" s="56"/>
      <c r="F25" s="57"/>
      <c r="G25" s="114"/>
      <c r="H25" s="161"/>
      <c r="I25" s="160"/>
      <c r="J25" s="161"/>
      <c r="K25" s="159"/>
      <c r="L25" s="58"/>
    </row>
    <row r="26" spans="1:18" ht="24">
      <c r="A26" s="132"/>
      <c r="B26" s="60"/>
      <c r="C26" s="61"/>
      <c r="D26" s="67"/>
      <c r="E26" s="56"/>
      <c r="F26" s="57"/>
      <c r="G26" s="114"/>
      <c r="H26" s="161"/>
      <c r="I26" s="160"/>
      <c r="J26" s="161"/>
      <c r="K26" s="159"/>
      <c r="L26" s="58"/>
    </row>
    <row r="27" spans="1:18" ht="24">
      <c r="A27" s="69"/>
      <c r="B27" s="60"/>
      <c r="C27" s="61"/>
      <c r="D27" s="67"/>
      <c r="E27" s="56"/>
      <c r="F27" s="57"/>
      <c r="G27" s="114"/>
      <c r="H27" s="161"/>
      <c r="I27" s="160"/>
      <c r="J27" s="161"/>
      <c r="K27" s="159"/>
      <c r="L27" s="58"/>
    </row>
    <row r="28" spans="1:18" ht="24">
      <c r="A28" s="69"/>
      <c r="B28" s="60"/>
      <c r="C28" s="61"/>
      <c r="D28" s="67"/>
      <c r="E28" s="56"/>
      <c r="F28" s="57"/>
      <c r="G28" s="114"/>
      <c r="H28" s="161"/>
      <c r="I28" s="160"/>
      <c r="J28" s="161"/>
      <c r="K28" s="159"/>
      <c r="L28" s="58"/>
    </row>
    <row r="29" spans="1:18" ht="24.75" thickBot="1">
      <c r="A29" s="69"/>
      <c r="B29" s="60"/>
      <c r="C29" s="61"/>
      <c r="D29" s="67"/>
      <c r="E29" s="56"/>
      <c r="F29" s="57"/>
      <c r="G29" s="114"/>
      <c r="H29" s="161"/>
      <c r="I29" s="160"/>
      <c r="J29" s="161"/>
      <c r="K29" s="159"/>
      <c r="L29" s="58"/>
      <c r="Q29" s="367"/>
      <c r="R29" s="367"/>
    </row>
    <row r="30" spans="1:18" ht="24.75" thickTop="1">
      <c r="A30" s="501"/>
      <c r="B30" s="2121" t="s">
        <v>69</v>
      </c>
      <c r="C30" s="2122"/>
      <c r="D30" s="2123"/>
      <c r="E30" s="502"/>
      <c r="F30" s="503"/>
      <c r="G30" s="504"/>
      <c r="H30" s="1083"/>
      <c r="I30" s="1084"/>
      <c r="J30" s="1083"/>
      <c r="K30" s="1085"/>
      <c r="L30" s="1086"/>
      <c r="Q30" s="367"/>
      <c r="R30" s="367"/>
    </row>
    <row r="31" spans="1:18" ht="24">
      <c r="A31" s="104">
        <v>6.1</v>
      </c>
      <c r="B31" s="2127" t="str">
        <f>B11</f>
        <v xml:space="preserve"> งานครุภัณฑ์จัดจ้างหรือสั่งทำ</v>
      </c>
      <c r="C31" s="2128"/>
      <c r="D31" s="2129"/>
      <c r="E31" s="105"/>
      <c r="F31" s="106"/>
      <c r="G31" s="111"/>
      <c r="H31" s="117"/>
      <c r="I31" s="111"/>
      <c r="J31" s="117"/>
      <c r="K31" s="63"/>
      <c r="L31" s="107"/>
    </row>
    <row r="32" spans="1:18" ht="24">
      <c r="A32" s="140" t="s">
        <v>1880</v>
      </c>
      <c r="B32" s="147" t="s">
        <v>1881</v>
      </c>
      <c r="C32" s="1087" t="s">
        <v>1882</v>
      </c>
      <c r="D32" s="1088"/>
      <c r="E32" s="1089"/>
      <c r="F32" s="159" t="s">
        <v>1109</v>
      </c>
      <c r="G32" s="156">
        <v>13426</v>
      </c>
      <c r="H32" s="161"/>
      <c r="I32" s="156"/>
      <c r="J32" s="161"/>
      <c r="K32" s="159"/>
      <c r="L32" s="510"/>
      <c r="Q32" s="367"/>
      <c r="R32" s="367"/>
    </row>
    <row r="33" spans="1:20" ht="24">
      <c r="A33" s="1090"/>
      <c r="B33" s="147"/>
      <c r="C33" s="1087" t="s">
        <v>1883</v>
      </c>
      <c r="D33" s="1088"/>
      <c r="E33" s="1089"/>
      <c r="F33" s="159"/>
      <c r="G33" s="156"/>
      <c r="H33" s="161"/>
      <c r="I33" s="156"/>
      <c r="J33" s="161"/>
      <c r="K33" s="159"/>
      <c r="L33" s="510"/>
      <c r="Q33" s="367"/>
      <c r="R33" s="367"/>
    </row>
    <row r="34" spans="1:20" ht="24">
      <c r="A34" s="1091"/>
      <c r="B34" s="1092"/>
      <c r="C34" s="1087"/>
      <c r="D34" s="1093"/>
      <c r="E34" s="1089"/>
      <c r="F34" s="159"/>
      <c r="G34" s="156"/>
      <c r="H34" s="161"/>
      <c r="I34" s="156"/>
      <c r="J34" s="161"/>
      <c r="K34" s="159"/>
      <c r="L34" s="510"/>
      <c r="Q34" s="367"/>
      <c r="R34" s="367"/>
    </row>
    <row r="35" spans="1:20" ht="24">
      <c r="A35" s="1091"/>
      <c r="B35" s="1092"/>
      <c r="C35" s="1087"/>
      <c r="D35" s="1093"/>
      <c r="E35" s="1089"/>
      <c r="F35" s="159"/>
      <c r="G35" s="156"/>
      <c r="H35" s="161"/>
      <c r="I35" s="156"/>
      <c r="J35" s="161"/>
      <c r="K35" s="159"/>
      <c r="L35" s="510"/>
    </row>
    <row r="36" spans="1:20" ht="24">
      <c r="A36" s="1091"/>
      <c r="B36" s="1092"/>
      <c r="C36" s="1087"/>
      <c r="D36" s="1093"/>
      <c r="E36" s="1089"/>
      <c r="F36" s="159"/>
      <c r="G36" s="156"/>
      <c r="H36" s="161"/>
      <c r="I36" s="156"/>
      <c r="J36" s="161"/>
      <c r="K36" s="159"/>
      <c r="L36" s="510"/>
      <c r="O36" s="1094">
        <f>40180</f>
        <v>40180</v>
      </c>
      <c r="P36" s="361" t="s">
        <v>1884</v>
      </c>
    </row>
    <row r="37" spans="1:20" ht="24">
      <c r="A37" s="1091"/>
      <c r="B37" s="1092"/>
      <c r="C37" s="1087"/>
      <c r="D37" s="1093"/>
      <c r="E37" s="1089"/>
      <c r="F37" s="159"/>
      <c r="G37" s="156"/>
      <c r="H37" s="161"/>
      <c r="I37" s="156"/>
      <c r="J37" s="161"/>
      <c r="K37" s="159"/>
      <c r="L37" s="510"/>
      <c r="O37" s="1094"/>
    </row>
    <row r="38" spans="1:20" ht="24">
      <c r="A38" s="1091"/>
      <c r="B38" s="1092"/>
      <c r="C38" s="1087"/>
      <c r="D38" s="1093"/>
      <c r="E38" s="1089"/>
      <c r="F38" s="159"/>
      <c r="G38" s="156"/>
      <c r="H38" s="161"/>
      <c r="I38" s="156"/>
      <c r="J38" s="161"/>
      <c r="K38" s="159"/>
      <c r="L38" s="510"/>
      <c r="O38" s="1094">
        <f>1.2*84*550</f>
        <v>55440</v>
      </c>
      <c r="P38" s="361" t="s">
        <v>1885</v>
      </c>
    </row>
    <row r="39" spans="1:20" ht="24">
      <c r="A39" s="1091"/>
      <c r="B39" s="1092"/>
      <c r="C39" s="1087"/>
      <c r="D39" s="1093"/>
      <c r="E39" s="1089"/>
      <c r="F39" s="159"/>
      <c r="G39" s="156"/>
      <c r="H39" s="161"/>
      <c r="I39" s="156"/>
      <c r="J39" s="161"/>
      <c r="K39" s="159"/>
      <c r="L39" s="510"/>
      <c r="O39" s="1094">
        <f>2127.75*84</f>
        <v>178731</v>
      </c>
    </row>
    <row r="40" spans="1:20" ht="24">
      <c r="A40" s="1091"/>
      <c r="B40" s="1092"/>
      <c r="C40" s="1087"/>
      <c r="D40" s="1093"/>
      <c r="E40" s="1089"/>
      <c r="F40" s="159"/>
      <c r="G40" s="156"/>
      <c r="H40" s="161"/>
      <c r="I40" s="156"/>
      <c r="J40" s="161"/>
      <c r="K40" s="159"/>
      <c r="L40" s="510"/>
      <c r="O40" s="1094">
        <f>1181.75*84</f>
        <v>99267</v>
      </c>
    </row>
    <row r="41" spans="1:20" ht="24">
      <c r="A41" s="1091"/>
      <c r="B41" s="1092"/>
      <c r="C41" s="1087"/>
      <c r="D41" s="1093"/>
      <c r="E41" s="1089"/>
      <c r="F41" s="159"/>
      <c r="G41" s="156"/>
      <c r="H41" s="161"/>
      <c r="I41" s="156"/>
      <c r="J41" s="161"/>
      <c r="K41" s="159"/>
      <c r="L41" s="510"/>
      <c r="O41" s="1094">
        <f>6721*84</f>
        <v>564564</v>
      </c>
      <c r="P41" s="361" t="s">
        <v>1886</v>
      </c>
    </row>
    <row r="42" spans="1:20" ht="24">
      <c r="A42" s="1091"/>
      <c r="B42" s="1092"/>
      <c r="C42" s="1087"/>
      <c r="D42" s="1093"/>
      <c r="E42" s="1089"/>
      <c r="F42" s="159"/>
      <c r="G42" s="156"/>
      <c r="H42" s="161"/>
      <c r="I42" s="156"/>
      <c r="J42" s="161"/>
      <c r="K42" s="159"/>
      <c r="L42" s="510"/>
      <c r="O42" s="1094">
        <f>5643*20</f>
        <v>112860</v>
      </c>
      <c r="P42" s="361" t="s">
        <v>1887</v>
      </c>
    </row>
    <row r="43" spans="1:20" ht="24">
      <c r="A43" s="1091"/>
      <c r="B43" s="1092"/>
      <c r="C43" s="1087"/>
      <c r="D43" s="1093"/>
      <c r="E43" s="1089"/>
      <c r="F43" s="159"/>
      <c r="G43" s="156"/>
      <c r="H43" s="161"/>
      <c r="I43" s="156"/>
      <c r="J43" s="161"/>
      <c r="K43" s="159"/>
      <c r="L43" s="510"/>
      <c r="O43" s="1094">
        <f>9050*7</f>
        <v>63350</v>
      </c>
      <c r="P43" s="361" t="s">
        <v>1888</v>
      </c>
    </row>
    <row r="44" spans="1:20" ht="24">
      <c r="A44" s="1091"/>
      <c r="B44" s="1092"/>
      <c r="C44" s="1087"/>
      <c r="D44" s="1093"/>
      <c r="E44" s="1089"/>
      <c r="F44" s="159"/>
      <c r="G44" s="156"/>
      <c r="H44" s="161"/>
      <c r="I44" s="156"/>
      <c r="J44" s="161"/>
      <c r="K44" s="159"/>
      <c r="L44" s="510"/>
      <c r="O44" s="1094">
        <f>SUM(O36:O43)</f>
        <v>1114392</v>
      </c>
    </row>
    <row r="45" spans="1:20" ht="24">
      <c r="A45" s="1091"/>
      <c r="B45" s="1092"/>
      <c r="C45" s="1087"/>
      <c r="D45" s="1093"/>
      <c r="E45" s="1089"/>
      <c r="F45" s="159"/>
      <c r="G45" s="156"/>
      <c r="H45" s="161"/>
      <c r="I45" s="156"/>
      <c r="J45" s="161"/>
      <c r="K45" s="159"/>
      <c r="L45" s="510"/>
      <c r="O45" s="1094">
        <f>O44/83</f>
        <v>13426.409638554216</v>
      </c>
      <c r="P45" s="1095">
        <f>O45*4</f>
        <v>53705.638554216865</v>
      </c>
      <c r="Q45" s="1096" t="s">
        <v>1889</v>
      </c>
      <c r="S45" s="1095">
        <f>O45*2.8</f>
        <v>37593.9469879518</v>
      </c>
      <c r="T45" s="1097" t="s">
        <v>1890</v>
      </c>
    </row>
    <row r="46" spans="1:20" ht="24">
      <c r="A46" s="1091"/>
      <c r="B46" s="1092"/>
      <c r="C46" s="1087"/>
      <c r="D46" s="1093"/>
      <c r="E46" s="1089"/>
      <c r="F46" s="159"/>
      <c r="G46" s="156"/>
      <c r="H46" s="161"/>
      <c r="I46" s="156"/>
      <c r="J46" s="161"/>
      <c r="K46" s="159"/>
      <c r="L46" s="510"/>
      <c r="O46" s="1094">
        <f>O45*0.3</f>
        <v>4027.9228915662648</v>
      </c>
      <c r="P46" s="1098">
        <f>O46*4</f>
        <v>16111.691566265059</v>
      </c>
      <c r="Q46" s="1099" t="s">
        <v>1891</v>
      </c>
      <c r="S46" s="1098">
        <f>O46*2.8</f>
        <v>11278.184096385541</v>
      </c>
      <c r="T46" s="1099" t="s">
        <v>1892</v>
      </c>
    </row>
    <row r="47" spans="1:20" ht="24">
      <c r="A47" s="1091"/>
      <c r="B47" s="1092"/>
      <c r="C47" s="1087"/>
      <c r="D47" s="1093"/>
      <c r="E47" s="1089"/>
      <c r="F47" s="159"/>
      <c r="G47" s="156"/>
      <c r="H47" s="161"/>
      <c r="I47" s="156"/>
      <c r="J47" s="161"/>
      <c r="K47" s="159"/>
      <c r="L47" s="510"/>
      <c r="O47" s="333"/>
      <c r="P47" s="1100">
        <f>SUM(P45:P46)</f>
        <v>69817.330120481929</v>
      </c>
      <c r="Q47" s="1101">
        <f>P47*8</f>
        <v>558538.64096385543</v>
      </c>
      <c r="S47" s="1102">
        <f>SUM(S45:S46)</f>
        <v>48872.131084337343</v>
      </c>
      <c r="T47" s="1103">
        <f>S47*18</f>
        <v>879698.35951807222</v>
      </c>
    </row>
    <row r="48" spans="1:20" ht="24">
      <c r="A48" s="1091"/>
      <c r="B48" s="1092"/>
      <c r="C48" s="61"/>
      <c r="D48" s="62"/>
      <c r="E48" s="1089"/>
      <c r="F48" s="159"/>
      <c r="G48" s="156"/>
      <c r="H48" s="161"/>
      <c r="I48" s="156"/>
      <c r="J48" s="161"/>
      <c r="K48" s="159"/>
      <c r="L48" s="510"/>
    </row>
    <row r="49" spans="1:18" ht="24">
      <c r="A49" s="1091"/>
      <c r="B49" s="1092"/>
      <c r="C49" s="61"/>
      <c r="D49" s="62"/>
      <c r="E49" s="1089"/>
      <c r="F49" s="159"/>
      <c r="G49" s="156"/>
      <c r="H49" s="161"/>
      <c r="I49" s="156"/>
      <c r="J49" s="161"/>
      <c r="K49" s="159"/>
      <c r="L49" s="510"/>
      <c r="Q49" s="367"/>
      <c r="R49" s="361">
        <f>2.8*18</f>
        <v>50.4</v>
      </c>
    </row>
    <row r="50" spans="1:18" ht="24">
      <c r="A50" s="1104"/>
      <c r="B50" s="1105"/>
      <c r="C50" s="1105"/>
      <c r="D50" s="1106"/>
      <c r="E50" s="232"/>
      <c r="F50" s="1107"/>
      <c r="G50" s="233"/>
      <c r="H50" s="1108"/>
      <c r="I50" s="233"/>
      <c r="J50" s="1108"/>
      <c r="K50" s="1107"/>
      <c r="L50" s="644"/>
      <c r="P50" s="367"/>
      <c r="Q50" s="367"/>
      <c r="R50" s="361">
        <f>32</f>
        <v>32</v>
      </c>
    </row>
    <row r="51" spans="1:18" ht="24">
      <c r="A51" s="1109"/>
      <c r="B51" s="2124" t="s">
        <v>1893</v>
      </c>
      <c r="C51" s="2125"/>
      <c r="D51" s="2126"/>
      <c r="E51" s="1110"/>
      <c r="F51" s="1110"/>
      <c r="G51" s="1111"/>
      <c r="H51" s="1112"/>
      <c r="I51" s="1111"/>
      <c r="J51" s="1112"/>
      <c r="K51" s="1110"/>
      <c r="L51" s="1113"/>
      <c r="P51" s="367"/>
      <c r="Q51" s="367"/>
      <c r="R51" s="361">
        <f>SUM(R49:R50)</f>
        <v>82.4</v>
      </c>
    </row>
  </sheetData>
  <mergeCells count="14">
    <mergeCell ref="A8:A9"/>
    <mergeCell ref="B8:D9"/>
    <mergeCell ref="E8:E9"/>
    <mergeCell ref="F8:F9"/>
    <mergeCell ref="G8:H8"/>
    <mergeCell ref="B10:D10"/>
    <mergeCell ref="B30:D30"/>
    <mergeCell ref="B31:D31"/>
    <mergeCell ref="B51:D51"/>
    <mergeCell ref="K4:L4"/>
    <mergeCell ref="D6:F6"/>
    <mergeCell ref="L6:L7"/>
    <mergeCell ref="I8:J8"/>
    <mergeCell ref="L8:L9"/>
  </mergeCells>
  <printOptions horizontalCentered="1"/>
  <pageMargins left="0" right="0" top="0.35433070866141736" bottom="0.35433070866141736" header="0.31496062992125984" footer="0.19685039370078741"/>
  <pageSetup paperSize="9" scale="80" orientation="landscape" r:id="rId1"/>
  <headerFooter>
    <oddHeader xml:space="preserve">&amp;Rแผ่นที่ &amp;P ใน &amp;N แผ่น          </oddHeader>
    <oddFooter xml:space="preserve">&amp;Rงานครุภัณฑ์จัดจ้างหรือสั่งทำ - อาคารส่วนบริการและกิจกรรม       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showGridLines="0" view="pageBreakPreview" topLeftCell="D1" zoomScaleNormal="80" zoomScaleSheetLayoutView="100" workbookViewId="0">
      <selection activeCell="D21" sqref="D21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9.85546875" style="361" customWidth="1"/>
    <col min="6" max="6" width="9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" width="9.140625" style="361"/>
    <col min="17" max="17" width="10" style="361" bestFit="1" customWidth="1"/>
    <col min="18" max="18" width="12.42578125" style="361" bestFit="1" customWidth="1"/>
    <col min="19" max="16384" width="9.140625" style="361"/>
  </cols>
  <sheetData>
    <row r="1" spans="1:12" ht="26.25">
      <c r="E1" s="88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1878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10"/>
      <c r="L4" s="211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380" t="s">
        <v>32</v>
      </c>
      <c r="H6" s="381">
        <v>15</v>
      </c>
      <c r="I6" s="382" t="s">
        <v>33</v>
      </c>
      <c r="J6" s="383" t="s">
        <v>525</v>
      </c>
      <c r="K6" s="384" t="s">
        <v>526</v>
      </c>
      <c r="L6" s="2131" t="s">
        <v>45</v>
      </c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7</v>
      </c>
      <c r="B10" s="2025" t="s">
        <v>1894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>
        <v>7.1</v>
      </c>
      <c r="B11" s="134" t="s">
        <v>1895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/>
      <c r="B12" s="61"/>
      <c r="C12" s="54"/>
      <c r="D12" s="62"/>
      <c r="E12" s="1081"/>
      <c r="F12" s="64"/>
      <c r="G12" s="113"/>
      <c r="H12" s="157"/>
      <c r="I12" s="156"/>
      <c r="J12" s="157"/>
      <c r="K12" s="159"/>
      <c r="L12" s="66"/>
    </row>
    <row r="13" spans="1:12" ht="24">
      <c r="A13" s="132"/>
      <c r="B13" s="222"/>
      <c r="C13" s="61"/>
      <c r="D13" s="62"/>
      <c r="E13" s="63"/>
      <c r="F13" s="64"/>
      <c r="G13" s="113"/>
      <c r="H13" s="157"/>
      <c r="I13" s="156"/>
      <c r="J13" s="157"/>
      <c r="K13" s="159"/>
      <c r="L13" s="66"/>
    </row>
    <row r="14" spans="1:12" ht="24">
      <c r="A14" s="132"/>
      <c r="B14" s="222"/>
      <c r="C14" s="61"/>
      <c r="D14" s="62"/>
      <c r="E14" s="63"/>
      <c r="F14" s="64"/>
      <c r="G14" s="113"/>
      <c r="H14" s="157"/>
      <c r="I14" s="156"/>
      <c r="J14" s="157"/>
      <c r="K14" s="159"/>
      <c r="L14" s="66"/>
    </row>
    <row r="15" spans="1:12" ht="24">
      <c r="A15" s="132"/>
      <c r="B15" s="222"/>
      <c r="C15" s="61"/>
      <c r="D15" s="67"/>
      <c r="E15" s="56"/>
      <c r="F15" s="57"/>
      <c r="G15" s="114"/>
      <c r="H15" s="161"/>
      <c r="I15" s="160"/>
      <c r="J15" s="161"/>
      <c r="K15" s="159"/>
      <c r="L15" s="58"/>
    </row>
    <row r="16" spans="1:12" ht="24">
      <c r="A16" s="132"/>
      <c r="B16" s="1082"/>
      <c r="C16" s="61"/>
      <c r="D16" s="67"/>
      <c r="E16" s="56"/>
      <c r="F16" s="57"/>
      <c r="G16" s="114"/>
      <c r="H16" s="161"/>
      <c r="I16" s="160"/>
      <c r="J16" s="161"/>
      <c r="K16" s="159"/>
      <c r="L16" s="58"/>
    </row>
    <row r="17" spans="1:18" ht="24">
      <c r="A17" s="132"/>
      <c r="B17" s="1082"/>
      <c r="C17" s="61"/>
      <c r="D17" s="67"/>
      <c r="E17" s="56"/>
      <c r="F17" s="57"/>
      <c r="G17" s="114"/>
      <c r="H17" s="161"/>
      <c r="I17" s="160"/>
      <c r="J17" s="161"/>
      <c r="K17" s="159"/>
      <c r="L17" s="58"/>
    </row>
    <row r="18" spans="1:18" ht="24">
      <c r="A18" s="132"/>
      <c r="B18" s="60"/>
      <c r="C18" s="61"/>
      <c r="D18" s="67"/>
      <c r="E18" s="56"/>
      <c r="F18" s="57"/>
      <c r="G18" s="114"/>
      <c r="H18" s="161"/>
      <c r="I18" s="160"/>
      <c r="J18" s="161"/>
      <c r="K18" s="159"/>
      <c r="L18" s="58"/>
    </row>
    <row r="19" spans="1:18" ht="24">
      <c r="A19" s="132"/>
      <c r="B19" s="60"/>
      <c r="C19" s="61"/>
      <c r="D19" s="67"/>
      <c r="E19" s="56"/>
      <c r="F19" s="57"/>
      <c r="G19" s="114"/>
      <c r="H19" s="161"/>
      <c r="I19" s="160"/>
      <c r="J19" s="161"/>
      <c r="K19" s="159"/>
      <c r="L19" s="58"/>
    </row>
    <row r="20" spans="1:18" ht="24">
      <c r="A20" s="132"/>
      <c r="B20" s="60"/>
      <c r="C20" s="61"/>
      <c r="D20" s="67"/>
      <c r="E20" s="56"/>
      <c r="F20" s="57"/>
      <c r="G20" s="114"/>
      <c r="H20" s="161"/>
      <c r="I20" s="160"/>
      <c r="J20" s="161"/>
      <c r="K20" s="159"/>
      <c r="L20" s="58"/>
    </row>
    <row r="21" spans="1:18" ht="24">
      <c r="A21" s="132"/>
      <c r="B21" s="60"/>
      <c r="C21" s="61"/>
      <c r="D21" s="67"/>
      <c r="E21" s="56"/>
      <c r="F21" s="57"/>
      <c r="G21" s="114"/>
      <c r="H21" s="161"/>
      <c r="I21" s="160"/>
      <c r="J21" s="161"/>
      <c r="K21" s="159"/>
      <c r="L21" s="58"/>
    </row>
    <row r="22" spans="1:18" ht="24">
      <c r="A22" s="132"/>
      <c r="B22" s="60"/>
      <c r="C22" s="61"/>
      <c r="D22" s="67"/>
      <c r="E22" s="56"/>
      <c r="F22" s="57"/>
      <c r="G22" s="114"/>
      <c r="H22" s="161"/>
      <c r="I22" s="160"/>
      <c r="J22" s="161"/>
      <c r="K22" s="159"/>
      <c r="L22" s="58"/>
    </row>
    <row r="23" spans="1:18" ht="24">
      <c r="A23" s="132"/>
      <c r="B23" s="60"/>
      <c r="C23" s="61"/>
      <c r="D23" s="67"/>
      <c r="E23" s="56"/>
      <c r="F23" s="57"/>
      <c r="G23" s="114"/>
      <c r="H23" s="161"/>
      <c r="I23" s="160"/>
      <c r="J23" s="161"/>
      <c r="K23" s="159"/>
      <c r="L23" s="58"/>
    </row>
    <row r="24" spans="1:18" ht="24">
      <c r="A24" s="132"/>
      <c r="B24" s="60"/>
      <c r="C24" s="61"/>
      <c r="D24" s="67"/>
      <c r="E24" s="56"/>
      <c r="F24" s="57"/>
      <c r="G24" s="114"/>
      <c r="H24" s="161"/>
      <c r="I24" s="160"/>
      <c r="J24" s="161"/>
      <c r="K24" s="159"/>
      <c r="L24" s="58"/>
    </row>
    <row r="25" spans="1:18" ht="24">
      <c r="A25" s="132"/>
      <c r="B25" s="60"/>
      <c r="C25" s="61"/>
      <c r="D25" s="67"/>
      <c r="E25" s="56"/>
      <c r="F25" s="57"/>
      <c r="G25" s="114"/>
      <c r="H25" s="161"/>
      <c r="I25" s="160"/>
      <c r="J25" s="161"/>
      <c r="K25" s="159"/>
      <c r="L25" s="58"/>
    </row>
    <row r="26" spans="1:18" ht="24">
      <c r="A26" s="132"/>
      <c r="B26" s="60"/>
      <c r="C26" s="61"/>
      <c r="D26" s="67"/>
      <c r="E26" s="56"/>
      <c r="F26" s="57"/>
      <c r="G26" s="114"/>
      <c r="H26" s="161"/>
      <c r="I26" s="160"/>
      <c r="J26" s="161"/>
      <c r="K26" s="159"/>
      <c r="L26" s="58"/>
    </row>
    <row r="27" spans="1:18" ht="24">
      <c r="A27" s="69"/>
      <c r="B27" s="60"/>
      <c r="C27" s="61"/>
      <c r="D27" s="67"/>
      <c r="E27" s="56"/>
      <c r="F27" s="57"/>
      <c r="G27" s="114"/>
      <c r="H27" s="161"/>
      <c r="I27" s="160"/>
      <c r="J27" s="161"/>
      <c r="K27" s="159"/>
      <c r="L27" s="58"/>
    </row>
    <row r="28" spans="1:18" ht="24">
      <c r="A28" s="69"/>
      <c r="B28" s="60"/>
      <c r="C28" s="61"/>
      <c r="D28" s="67"/>
      <c r="E28" s="56"/>
      <c r="F28" s="57"/>
      <c r="G28" s="114"/>
      <c r="H28" s="161"/>
      <c r="I28" s="160"/>
      <c r="J28" s="161"/>
      <c r="K28" s="159"/>
      <c r="L28" s="58"/>
    </row>
    <row r="29" spans="1:18" ht="24.75" thickBot="1">
      <c r="A29" s="69"/>
      <c r="B29" s="60"/>
      <c r="C29" s="61"/>
      <c r="D29" s="67"/>
      <c r="E29" s="56"/>
      <c r="F29" s="57"/>
      <c r="G29" s="114"/>
      <c r="H29" s="161"/>
      <c r="I29" s="160"/>
      <c r="J29" s="161"/>
      <c r="K29" s="159"/>
      <c r="L29" s="58"/>
    </row>
    <row r="30" spans="1:18" ht="24.75" thickTop="1">
      <c r="A30" s="501"/>
      <c r="B30" s="2121" t="s">
        <v>69</v>
      </c>
      <c r="C30" s="2122"/>
      <c r="D30" s="2123"/>
      <c r="E30" s="502"/>
      <c r="F30" s="503"/>
      <c r="G30" s="504"/>
      <c r="H30" s="1083"/>
      <c r="I30" s="1084"/>
      <c r="J30" s="1083"/>
      <c r="K30" s="1085"/>
      <c r="L30" s="1086"/>
    </row>
    <row r="31" spans="1:18" ht="24">
      <c r="A31" s="104">
        <v>7.1</v>
      </c>
      <c r="B31" s="2167" t="s">
        <v>1896</v>
      </c>
      <c r="C31" s="2168"/>
      <c r="D31" s="2169"/>
      <c r="E31" s="105"/>
      <c r="F31" s="106"/>
      <c r="G31" s="111"/>
      <c r="H31" s="117"/>
      <c r="I31" s="111"/>
      <c r="J31" s="117"/>
      <c r="K31" s="63"/>
      <c r="L31" s="107"/>
    </row>
    <row r="32" spans="1:18" ht="24">
      <c r="A32" s="140" t="s">
        <v>1897</v>
      </c>
      <c r="B32" s="147" t="s">
        <v>1006</v>
      </c>
      <c r="C32" s="1087" t="s">
        <v>1898</v>
      </c>
      <c r="D32" s="1088"/>
      <c r="E32" s="1089"/>
      <c r="F32" s="159" t="s">
        <v>1899</v>
      </c>
      <c r="G32" s="156"/>
      <c r="H32" s="161"/>
      <c r="I32" s="156"/>
      <c r="J32" s="161"/>
      <c r="K32" s="159"/>
      <c r="L32" s="510"/>
      <c r="O32" s="361" t="s">
        <v>1900</v>
      </c>
      <c r="Q32" s="150">
        <f>576*143</f>
        <v>82368</v>
      </c>
      <c r="R32" s="150">
        <f>576*143</f>
        <v>82368</v>
      </c>
    </row>
    <row r="33" spans="1:18" ht="24">
      <c r="A33" s="1091"/>
      <c r="B33" s="147"/>
      <c r="C33" s="1087" t="s">
        <v>1901</v>
      </c>
      <c r="D33" s="1088"/>
      <c r="E33" s="1089"/>
      <c r="F33" s="159"/>
      <c r="G33" s="156"/>
      <c r="H33" s="161"/>
      <c r="I33" s="156"/>
      <c r="J33" s="161"/>
      <c r="K33" s="159"/>
      <c r="L33" s="510"/>
      <c r="O33" s="361" t="s">
        <v>1902</v>
      </c>
      <c r="Q33" s="361">
        <f>30+222</f>
        <v>252</v>
      </c>
      <c r="R33" s="150">
        <f>Q33*150</f>
        <v>37800</v>
      </c>
    </row>
    <row r="34" spans="1:18" ht="24">
      <c r="A34" s="1091"/>
      <c r="B34" s="1092"/>
      <c r="C34" s="1087"/>
      <c r="D34" s="1093"/>
      <c r="E34" s="1089"/>
      <c r="F34" s="159"/>
      <c r="G34" s="156"/>
      <c r="H34" s="161"/>
      <c r="I34" s="156"/>
      <c r="J34" s="161"/>
      <c r="K34" s="159"/>
      <c r="L34" s="510"/>
      <c r="O34" s="361" t="s">
        <v>1903</v>
      </c>
      <c r="Q34" s="361">
        <f>60+148</f>
        <v>208</v>
      </c>
      <c r="R34" s="150">
        <f>Q34*170</f>
        <v>35360</v>
      </c>
    </row>
    <row r="35" spans="1:18" ht="24">
      <c r="A35" s="1091"/>
      <c r="B35" s="1092"/>
      <c r="C35" s="1087"/>
      <c r="D35" s="1093"/>
      <c r="E35" s="1089"/>
      <c r="F35" s="159"/>
      <c r="G35" s="156"/>
      <c r="H35" s="161"/>
      <c r="I35" s="156"/>
      <c r="J35" s="161"/>
      <c r="K35" s="159"/>
      <c r="L35" s="510"/>
      <c r="O35" s="361" t="s">
        <v>1904</v>
      </c>
      <c r="Q35" s="361">
        <f>60+148</f>
        <v>208</v>
      </c>
      <c r="R35" s="150">
        <f>Q35*185</f>
        <v>38480</v>
      </c>
    </row>
    <row r="36" spans="1:18" ht="24">
      <c r="A36" s="1091"/>
      <c r="B36" s="1092"/>
      <c r="C36" s="1087"/>
      <c r="D36" s="1093"/>
      <c r="E36" s="1089"/>
      <c r="F36" s="159"/>
      <c r="G36" s="156"/>
      <c r="H36" s="161"/>
      <c r="I36" s="156"/>
      <c r="J36" s="161"/>
      <c r="K36" s="159"/>
      <c r="L36" s="510"/>
      <c r="O36" s="361" t="s">
        <v>1905</v>
      </c>
      <c r="Q36" s="361">
        <f>2000+576</f>
        <v>2576</v>
      </c>
      <c r="R36" s="150">
        <f>Q36*576</f>
        <v>1483776</v>
      </c>
    </row>
    <row r="37" spans="1:18" ht="24">
      <c r="A37" s="1091"/>
      <c r="B37" s="1092"/>
      <c r="C37" s="1087"/>
      <c r="D37" s="1093"/>
      <c r="E37" s="1089"/>
      <c r="F37" s="159"/>
      <c r="G37" s="156"/>
      <c r="H37" s="161"/>
      <c r="I37" s="156"/>
      <c r="J37" s="161"/>
      <c r="K37" s="159"/>
      <c r="L37" s="510"/>
      <c r="O37" s="361" t="s">
        <v>28</v>
      </c>
      <c r="Q37" s="150">
        <f>SUM(Q32:Q36)</f>
        <v>85612</v>
      </c>
      <c r="R37" s="150">
        <f>SUM(R32:R36)</f>
        <v>1677784</v>
      </c>
    </row>
    <row r="38" spans="1:18" ht="24">
      <c r="A38" s="1091"/>
      <c r="B38" s="1092"/>
      <c r="C38" s="1087"/>
      <c r="D38" s="1093"/>
      <c r="E38" s="1089"/>
      <c r="F38" s="159"/>
      <c r="G38" s="156"/>
      <c r="H38" s="161"/>
      <c r="I38" s="156"/>
      <c r="J38" s="161"/>
      <c r="K38" s="159"/>
      <c r="L38" s="510"/>
      <c r="Q38" s="367">
        <f>Q37/576</f>
        <v>148.63194444444446</v>
      </c>
      <c r="R38" s="367">
        <f>R37/576</f>
        <v>2912.8194444444443</v>
      </c>
    </row>
    <row r="39" spans="1:18" ht="24">
      <c r="A39" s="1091"/>
      <c r="B39" s="1092"/>
      <c r="C39" s="1087"/>
      <c r="D39" s="1093"/>
      <c r="E39" s="1089"/>
      <c r="F39" s="159"/>
      <c r="G39" s="156"/>
      <c r="H39" s="161"/>
      <c r="I39" s="156"/>
      <c r="J39" s="161"/>
      <c r="K39" s="159"/>
      <c r="L39" s="510"/>
      <c r="R39" s="367">
        <f>R38*0.3</f>
        <v>873.8458333333333</v>
      </c>
    </row>
    <row r="40" spans="1:18" ht="24">
      <c r="A40" s="1091"/>
      <c r="B40" s="1092"/>
      <c r="C40" s="1087"/>
      <c r="D40" s="1093"/>
      <c r="E40" s="1089"/>
      <c r="F40" s="159"/>
      <c r="G40" s="156"/>
      <c r="H40" s="161"/>
      <c r="I40" s="156"/>
      <c r="J40" s="161"/>
      <c r="K40" s="159"/>
      <c r="L40" s="510"/>
    </row>
    <row r="41" spans="1:18" ht="24">
      <c r="A41" s="1091"/>
      <c r="B41" s="1092"/>
      <c r="C41" s="1087"/>
      <c r="D41" s="1093"/>
      <c r="E41" s="1089"/>
      <c r="F41" s="159"/>
      <c r="G41" s="156"/>
      <c r="H41" s="161"/>
      <c r="I41" s="156"/>
      <c r="J41" s="161"/>
      <c r="K41" s="159"/>
      <c r="L41" s="510"/>
    </row>
    <row r="42" spans="1:18" ht="24">
      <c r="A42" s="1091"/>
      <c r="B42" s="1092"/>
      <c r="C42" s="1087"/>
      <c r="D42" s="1093"/>
      <c r="E42" s="1089"/>
      <c r="F42" s="159"/>
      <c r="G42" s="156"/>
      <c r="H42" s="161"/>
      <c r="I42" s="156"/>
      <c r="J42" s="161"/>
      <c r="K42" s="159"/>
      <c r="L42" s="510"/>
    </row>
    <row r="43" spans="1:18" ht="24">
      <c r="A43" s="1091"/>
      <c r="B43" s="1092"/>
      <c r="C43" s="1087"/>
      <c r="D43" s="1093"/>
      <c r="E43" s="1089"/>
      <c r="F43" s="159"/>
      <c r="G43" s="156"/>
      <c r="H43" s="161"/>
      <c r="I43" s="156"/>
      <c r="J43" s="161"/>
      <c r="K43" s="159"/>
      <c r="L43" s="510"/>
    </row>
    <row r="44" spans="1:18" ht="24">
      <c r="A44" s="1091"/>
      <c r="B44" s="1092"/>
      <c r="C44" s="1087"/>
      <c r="D44" s="1093"/>
      <c r="E44" s="1089"/>
      <c r="F44" s="159"/>
      <c r="G44" s="156"/>
      <c r="H44" s="161"/>
      <c r="I44" s="156"/>
      <c r="J44" s="161"/>
      <c r="K44" s="159"/>
      <c r="L44" s="510"/>
    </row>
    <row r="45" spans="1:18" ht="24">
      <c r="A45" s="1091"/>
      <c r="B45" s="1092"/>
      <c r="C45" s="1087"/>
      <c r="D45" s="1093"/>
      <c r="E45" s="1089"/>
      <c r="F45" s="159"/>
      <c r="G45" s="156"/>
      <c r="H45" s="161"/>
      <c r="I45" s="156"/>
      <c r="J45" s="161"/>
      <c r="K45" s="159"/>
      <c r="L45" s="510"/>
    </row>
    <row r="46" spans="1:18" ht="24">
      <c r="A46" s="1091"/>
      <c r="B46" s="1092"/>
      <c r="C46" s="1087"/>
      <c r="D46" s="1093"/>
      <c r="E46" s="1089"/>
      <c r="F46" s="159"/>
      <c r="G46" s="156"/>
      <c r="H46" s="161"/>
      <c r="I46" s="156"/>
      <c r="J46" s="161"/>
      <c r="K46" s="159"/>
      <c r="L46" s="510"/>
    </row>
    <row r="47" spans="1:18" ht="24">
      <c r="A47" s="1091"/>
      <c r="B47" s="1092"/>
      <c r="C47" s="1087"/>
      <c r="D47" s="1093"/>
      <c r="E47" s="1089"/>
      <c r="F47" s="159"/>
      <c r="G47" s="156"/>
      <c r="H47" s="161"/>
      <c r="I47" s="156"/>
      <c r="J47" s="161"/>
      <c r="K47" s="159"/>
      <c r="L47" s="510"/>
    </row>
    <row r="48" spans="1:18" ht="24">
      <c r="A48" s="1091"/>
      <c r="B48" s="1092"/>
      <c r="C48" s="61"/>
      <c r="D48" s="62"/>
      <c r="E48" s="1089"/>
      <c r="F48" s="159"/>
      <c r="G48" s="156"/>
      <c r="H48" s="161"/>
      <c r="I48" s="156"/>
      <c r="J48" s="161"/>
      <c r="K48" s="159"/>
      <c r="L48" s="510"/>
    </row>
    <row r="49" spans="1:12" ht="24">
      <c r="A49" s="1091"/>
      <c r="B49" s="1092"/>
      <c r="C49" s="61"/>
      <c r="D49" s="62"/>
      <c r="E49" s="1089"/>
      <c r="F49" s="159"/>
      <c r="G49" s="156"/>
      <c r="H49" s="161"/>
      <c r="I49" s="156"/>
      <c r="J49" s="161"/>
      <c r="K49" s="159"/>
      <c r="L49" s="510"/>
    </row>
    <row r="50" spans="1:12" ht="24">
      <c r="A50" s="1104"/>
      <c r="B50" s="1105"/>
      <c r="C50" s="1105"/>
      <c r="D50" s="1106"/>
      <c r="E50" s="232"/>
      <c r="F50" s="1107"/>
      <c r="G50" s="233"/>
      <c r="H50" s="1108"/>
      <c r="I50" s="233"/>
      <c r="J50" s="1108"/>
      <c r="K50" s="1107"/>
      <c r="L50" s="644"/>
    </row>
    <row r="51" spans="1:12" ht="24">
      <c r="A51" s="1109"/>
      <c r="B51" s="2124" t="s">
        <v>1906</v>
      </c>
      <c r="C51" s="2125"/>
      <c r="D51" s="2126"/>
      <c r="E51" s="1110"/>
      <c r="F51" s="1110"/>
      <c r="G51" s="1111"/>
      <c r="H51" s="1112"/>
      <c r="I51" s="1111"/>
      <c r="J51" s="1112"/>
      <c r="K51" s="1110"/>
      <c r="L51" s="1113"/>
    </row>
  </sheetData>
  <mergeCells count="14">
    <mergeCell ref="A8:A9"/>
    <mergeCell ref="B8:D9"/>
    <mergeCell ref="E8:E9"/>
    <mergeCell ref="F8:F9"/>
    <mergeCell ref="G8:H8"/>
    <mergeCell ref="B10:D10"/>
    <mergeCell ref="B30:D30"/>
    <mergeCell ref="B31:D31"/>
    <mergeCell ref="B51:D51"/>
    <mergeCell ref="K4:L4"/>
    <mergeCell ref="D6:F6"/>
    <mergeCell ref="L6:L7"/>
    <mergeCell ref="I8:J8"/>
    <mergeCell ref="L8:L9"/>
  </mergeCells>
  <printOptions horizontalCentered="1"/>
  <pageMargins left="0" right="0" top="0.35433070866141736" bottom="0.35433070866141736" header="0.31496062992125984" footer="0.19685039370078741"/>
  <pageSetup paperSize="9" scale="80" orientation="landscape" r:id="rId1"/>
  <headerFooter>
    <oddHeader xml:space="preserve">&amp;Rแผ่นที่ &amp;P ใน &amp;N แผ่น          </oddHeader>
    <oddFooter xml:space="preserve">&amp;Rงานตกแต่งภายใน - อาคารส่วนบริการและกิจกรรม            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0"/>
  <sheetViews>
    <sheetView showGridLines="0" view="pageBreakPreview" topLeftCell="E91" zoomScaleNormal="70" zoomScaleSheetLayoutView="100" workbookViewId="0">
      <selection activeCell="L240" sqref="L240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4.42578125" style="361" customWidth="1"/>
    <col min="5" max="5" width="9.85546875" style="361" customWidth="1"/>
    <col min="6" max="6" width="9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384" width="9.140625" style="361"/>
  </cols>
  <sheetData>
    <row r="1" spans="1:12" ht="26.25">
      <c r="E1" s="88" t="s">
        <v>62</v>
      </c>
      <c r="J1" s="497" t="s">
        <v>30</v>
      </c>
    </row>
    <row r="2" spans="1:12">
      <c r="A2" s="36" t="s">
        <v>43</v>
      </c>
      <c r="B2" s="369"/>
      <c r="C2" s="38"/>
      <c r="D2" s="38" t="s">
        <v>1907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490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10"/>
      <c r="L4" s="2110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380" t="s">
        <v>32</v>
      </c>
      <c r="H6" s="381">
        <v>15</v>
      </c>
      <c r="I6" s="382" t="s">
        <v>33</v>
      </c>
      <c r="J6" s="383" t="s">
        <v>525</v>
      </c>
      <c r="K6" s="384" t="s">
        <v>526</v>
      </c>
      <c r="L6" s="2131" t="s">
        <v>45</v>
      </c>
    </row>
    <row r="7" spans="1:12" ht="18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8</v>
      </c>
      <c r="B10" s="2025" t="s">
        <v>1908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>
        <v>8.1</v>
      </c>
      <c r="B11" s="134" t="s">
        <v>1909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>
        <v>8.1999999999999993</v>
      </c>
      <c r="B12" s="61" t="s">
        <v>1910</v>
      </c>
      <c r="C12" s="54"/>
      <c r="D12" s="62"/>
      <c r="E12" s="1081"/>
      <c r="F12" s="64" t="s">
        <v>10</v>
      </c>
      <c r="G12" s="113"/>
      <c r="H12" s="161"/>
      <c r="I12" s="156"/>
      <c r="J12" s="161"/>
      <c r="K12" s="159"/>
      <c r="L12" s="66"/>
    </row>
    <row r="13" spans="1:12" ht="24">
      <c r="A13" s="132">
        <v>8.3000000000000007</v>
      </c>
      <c r="B13" s="134" t="s">
        <v>1911</v>
      </c>
      <c r="C13" s="61"/>
      <c r="D13" s="62"/>
      <c r="E13" s="1081"/>
      <c r="F13" s="64" t="s">
        <v>10</v>
      </c>
      <c r="G13" s="113"/>
      <c r="H13" s="161"/>
      <c r="I13" s="156"/>
      <c r="J13" s="161"/>
      <c r="K13" s="159"/>
      <c r="L13" s="66"/>
    </row>
    <row r="14" spans="1:12" ht="24">
      <c r="A14" s="132">
        <v>8.4</v>
      </c>
      <c r="B14" s="134" t="s">
        <v>2456</v>
      </c>
      <c r="C14" s="61"/>
      <c r="D14" s="62"/>
      <c r="E14" s="1081"/>
      <c r="F14" s="64" t="s">
        <v>10</v>
      </c>
      <c r="G14" s="113"/>
      <c r="H14" s="161"/>
      <c r="I14" s="156"/>
      <c r="J14" s="161"/>
      <c r="K14" s="159"/>
      <c r="L14" s="66"/>
    </row>
    <row r="15" spans="1:12" ht="24">
      <c r="A15" s="132">
        <v>8.5</v>
      </c>
      <c r="B15" s="134" t="s">
        <v>2467</v>
      </c>
      <c r="C15" s="61"/>
      <c r="D15" s="62"/>
      <c r="E15" s="1081"/>
      <c r="F15" s="64" t="s">
        <v>10</v>
      </c>
      <c r="G15" s="113"/>
      <c r="H15" s="161"/>
      <c r="I15" s="156"/>
      <c r="J15" s="161"/>
      <c r="K15" s="159"/>
      <c r="L15" s="58"/>
    </row>
    <row r="16" spans="1:12" ht="24">
      <c r="A16" s="132"/>
      <c r="B16" s="222"/>
      <c r="C16" s="61"/>
      <c r="D16" s="67"/>
      <c r="E16" s="56"/>
      <c r="F16" s="57"/>
      <c r="G16" s="114"/>
      <c r="H16" s="161"/>
      <c r="I16" s="160"/>
      <c r="J16" s="161"/>
      <c r="K16" s="159"/>
      <c r="L16" s="58"/>
    </row>
    <row r="17" spans="1:12" ht="24">
      <c r="A17" s="132"/>
      <c r="B17" s="1082"/>
      <c r="C17" s="61"/>
      <c r="D17" s="67"/>
      <c r="E17" s="56"/>
      <c r="F17" s="57"/>
      <c r="G17" s="114"/>
      <c r="H17" s="161"/>
      <c r="I17" s="160"/>
      <c r="J17" s="161"/>
      <c r="K17" s="159"/>
      <c r="L17" s="58"/>
    </row>
    <row r="18" spans="1:12" ht="24">
      <c r="A18" s="132"/>
      <c r="B18" s="60"/>
      <c r="C18" s="61"/>
      <c r="D18" s="67"/>
      <c r="E18" s="56"/>
      <c r="F18" s="57"/>
      <c r="G18" s="114"/>
      <c r="H18" s="161"/>
      <c r="I18" s="160"/>
      <c r="J18" s="161"/>
      <c r="K18" s="159"/>
      <c r="L18" s="58"/>
    </row>
    <row r="19" spans="1:12" ht="24">
      <c r="A19" s="132"/>
      <c r="B19" s="60"/>
      <c r="C19" s="61"/>
      <c r="D19" s="67"/>
      <c r="E19" s="56"/>
      <c r="F19" s="57"/>
      <c r="G19" s="114"/>
      <c r="H19" s="161"/>
      <c r="I19" s="160"/>
      <c r="J19" s="161"/>
      <c r="K19" s="159"/>
      <c r="L19" s="58"/>
    </row>
    <row r="20" spans="1:12" ht="24">
      <c r="A20" s="132"/>
      <c r="B20" s="60"/>
      <c r="C20" s="61"/>
      <c r="D20" s="67"/>
      <c r="E20" s="56"/>
      <c r="F20" s="57"/>
      <c r="G20" s="114"/>
      <c r="H20" s="161"/>
      <c r="I20" s="160"/>
      <c r="J20" s="161"/>
      <c r="K20" s="159"/>
      <c r="L20" s="58"/>
    </row>
    <row r="21" spans="1:12" ht="24">
      <c r="A21" s="132"/>
      <c r="B21" s="60"/>
      <c r="C21" s="61"/>
      <c r="D21" s="67"/>
      <c r="E21" s="56"/>
      <c r="F21" s="57"/>
      <c r="G21" s="114"/>
      <c r="H21" s="161"/>
      <c r="I21" s="160"/>
      <c r="J21" s="161"/>
      <c r="K21" s="159"/>
      <c r="L21" s="58"/>
    </row>
    <row r="22" spans="1:12" ht="24">
      <c r="A22" s="132"/>
      <c r="B22" s="60"/>
      <c r="C22" s="61"/>
      <c r="D22" s="67"/>
      <c r="E22" s="56"/>
      <c r="F22" s="57"/>
      <c r="G22" s="114"/>
      <c r="H22" s="161"/>
      <c r="I22" s="160"/>
      <c r="J22" s="161"/>
      <c r="K22" s="159"/>
      <c r="L22" s="58"/>
    </row>
    <row r="23" spans="1:12" ht="24">
      <c r="A23" s="132"/>
      <c r="B23" s="60"/>
      <c r="C23" s="61"/>
      <c r="D23" s="67"/>
      <c r="E23" s="56"/>
      <c r="F23" s="57"/>
      <c r="G23" s="114"/>
      <c r="H23" s="161"/>
      <c r="I23" s="160"/>
      <c r="J23" s="161"/>
      <c r="K23" s="159"/>
      <c r="L23" s="58"/>
    </row>
    <row r="24" spans="1:12" ht="24">
      <c r="A24" s="132"/>
      <c r="B24" s="60"/>
      <c r="C24" s="61"/>
      <c r="D24" s="67"/>
      <c r="E24" s="56"/>
      <c r="F24" s="57"/>
      <c r="G24" s="114"/>
      <c r="H24" s="161"/>
      <c r="I24" s="160"/>
      <c r="J24" s="161"/>
      <c r="K24" s="159"/>
      <c r="L24" s="58"/>
    </row>
    <row r="25" spans="1:12" ht="24">
      <c r="A25" s="132"/>
      <c r="B25" s="60"/>
      <c r="C25" s="61"/>
      <c r="D25" s="67"/>
      <c r="E25" s="56"/>
      <c r="F25" s="57"/>
      <c r="G25" s="114"/>
      <c r="H25" s="161"/>
      <c r="I25" s="160"/>
      <c r="J25" s="161"/>
      <c r="K25" s="159"/>
      <c r="L25" s="58"/>
    </row>
    <row r="26" spans="1:12" ht="24">
      <c r="A26" s="132"/>
      <c r="B26" s="60"/>
      <c r="C26" s="61"/>
      <c r="D26" s="67"/>
      <c r="E26" s="56"/>
      <c r="F26" s="57"/>
      <c r="G26" s="114"/>
      <c r="H26" s="161"/>
      <c r="I26" s="160"/>
      <c r="J26" s="161"/>
      <c r="K26" s="159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61"/>
      <c r="I27" s="160"/>
      <c r="J27" s="161"/>
      <c r="K27" s="159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61"/>
      <c r="I28" s="160"/>
      <c r="J28" s="161"/>
      <c r="K28" s="159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61"/>
      <c r="I29" s="160"/>
      <c r="J29" s="161"/>
      <c r="K29" s="159"/>
      <c r="L29" s="58"/>
    </row>
    <row r="30" spans="1:12" ht="24.75" thickTop="1">
      <c r="A30" s="501"/>
      <c r="B30" s="2121" t="s">
        <v>69</v>
      </c>
      <c r="C30" s="2122"/>
      <c r="D30" s="2123"/>
      <c r="E30" s="502"/>
      <c r="F30" s="503"/>
      <c r="G30" s="504"/>
      <c r="H30" s="1083"/>
      <c r="I30" s="1084"/>
      <c r="J30" s="1083"/>
      <c r="K30" s="1085"/>
      <c r="L30" s="74"/>
    </row>
    <row r="31" spans="1:12" ht="24">
      <c r="A31" s="104">
        <v>8.1</v>
      </c>
      <c r="B31" s="2127" t="str">
        <f>B11</f>
        <v>ครุภัณฑ์ - งานเฟอร์นิเจอร์ - ลอยตัว (สั่งซื้อ)</v>
      </c>
      <c r="C31" s="2128"/>
      <c r="D31" s="2129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140" t="s">
        <v>1912</v>
      </c>
      <c r="B32" s="147" t="s">
        <v>1913</v>
      </c>
      <c r="C32" s="61" t="s">
        <v>1914</v>
      </c>
      <c r="D32" s="55"/>
      <c r="E32" s="1089"/>
      <c r="F32" s="159" t="s">
        <v>185</v>
      </c>
      <c r="G32" s="549"/>
      <c r="H32" s="161"/>
      <c r="I32" s="549"/>
      <c r="J32" s="161"/>
      <c r="K32" s="159"/>
      <c r="L32" s="510"/>
    </row>
    <row r="33" spans="1:12" ht="24">
      <c r="A33" s="140"/>
      <c r="B33" s="147"/>
      <c r="C33" s="61" t="s">
        <v>1915</v>
      </c>
      <c r="D33" s="62"/>
      <c r="E33" s="1089"/>
      <c r="F33" s="159"/>
      <c r="G33" s="549"/>
      <c r="H33" s="161"/>
      <c r="I33" s="549"/>
      <c r="J33" s="161"/>
      <c r="K33" s="159"/>
      <c r="L33" s="510"/>
    </row>
    <row r="34" spans="1:12" ht="24">
      <c r="A34" s="140" t="s">
        <v>1916</v>
      </c>
      <c r="B34" s="147" t="s">
        <v>1917</v>
      </c>
      <c r="C34" s="61" t="s">
        <v>1918</v>
      </c>
      <c r="D34" s="62"/>
      <c r="E34" s="1089"/>
      <c r="F34" s="159" t="s">
        <v>185</v>
      </c>
      <c r="G34" s="549"/>
      <c r="H34" s="161"/>
      <c r="I34" s="549"/>
      <c r="J34" s="161"/>
      <c r="K34" s="159"/>
      <c r="L34" s="510"/>
    </row>
    <row r="35" spans="1:12" ht="24">
      <c r="A35" s="140"/>
      <c r="B35" s="147"/>
      <c r="C35" s="61" t="s">
        <v>1919</v>
      </c>
      <c r="D35" s="62"/>
      <c r="E35" s="1089"/>
      <c r="F35" s="159"/>
      <c r="G35" s="549"/>
      <c r="H35" s="161"/>
      <c r="I35" s="549"/>
      <c r="J35" s="161"/>
      <c r="K35" s="159"/>
      <c r="L35" s="510"/>
    </row>
    <row r="36" spans="1:12" ht="24">
      <c r="A36" s="140" t="s">
        <v>1920</v>
      </c>
      <c r="B36" s="147" t="s">
        <v>1921</v>
      </c>
      <c r="C36" s="61" t="s">
        <v>1922</v>
      </c>
      <c r="D36" s="62"/>
      <c r="E36" s="1089"/>
      <c r="F36" s="159" t="s">
        <v>185</v>
      </c>
      <c r="G36" s="549"/>
      <c r="H36" s="161"/>
      <c r="I36" s="549"/>
      <c r="J36" s="161"/>
      <c r="K36" s="159"/>
      <c r="L36" s="510"/>
    </row>
    <row r="37" spans="1:12" ht="24">
      <c r="A37" s="140"/>
      <c r="B37" s="147"/>
      <c r="C37" s="61" t="s">
        <v>1923</v>
      </c>
      <c r="D37" s="62"/>
      <c r="E37" s="1089"/>
      <c r="F37" s="159"/>
      <c r="G37" s="549"/>
      <c r="H37" s="161"/>
      <c r="I37" s="549"/>
      <c r="J37" s="161"/>
      <c r="K37" s="159"/>
      <c r="L37" s="510"/>
    </row>
    <row r="38" spans="1:12" ht="24">
      <c r="A38" s="140" t="s">
        <v>1924</v>
      </c>
      <c r="B38" s="147" t="s">
        <v>1925</v>
      </c>
      <c r="C38" s="61" t="s">
        <v>1926</v>
      </c>
      <c r="D38" s="62"/>
      <c r="E38" s="1089"/>
      <c r="F38" s="159" t="s">
        <v>185</v>
      </c>
      <c r="G38" s="549"/>
      <c r="H38" s="161"/>
      <c r="I38" s="549"/>
      <c r="J38" s="161"/>
      <c r="K38" s="159"/>
      <c r="L38" s="510"/>
    </row>
    <row r="39" spans="1:12" ht="24">
      <c r="A39" s="140" t="s">
        <v>1927</v>
      </c>
      <c r="B39" s="147" t="s">
        <v>1928</v>
      </c>
      <c r="C39" s="61" t="s">
        <v>1929</v>
      </c>
      <c r="D39" s="62"/>
      <c r="E39" s="1089"/>
      <c r="F39" s="159" t="s">
        <v>185</v>
      </c>
      <c r="G39" s="549"/>
      <c r="H39" s="161"/>
      <c r="I39" s="549"/>
      <c r="J39" s="161"/>
      <c r="K39" s="159"/>
      <c r="L39" s="520"/>
    </row>
    <row r="40" spans="1:12" ht="24">
      <c r="A40" s="140"/>
      <c r="B40" s="147"/>
      <c r="C40" s="61" t="s">
        <v>1930</v>
      </c>
      <c r="D40" s="62"/>
      <c r="E40" s="1089"/>
      <c r="F40" s="159"/>
      <c r="G40" s="549"/>
      <c r="H40" s="161"/>
      <c r="I40" s="549"/>
      <c r="J40" s="161"/>
      <c r="K40" s="159"/>
      <c r="L40" s="520"/>
    </row>
    <row r="41" spans="1:12" ht="24">
      <c r="A41" s="140" t="s">
        <v>1931</v>
      </c>
      <c r="B41" s="147" t="s">
        <v>1932</v>
      </c>
      <c r="C41" s="61" t="s">
        <v>1933</v>
      </c>
      <c r="D41" s="62"/>
      <c r="E41" s="1089"/>
      <c r="F41" s="159" t="s">
        <v>185</v>
      </c>
      <c r="G41" s="569"/>
      <c r="H41" s="161"/>
      <c r="I41" s="549"/>
      <c r="J41" s="161"/>
      <c r="K41" s="159"/>
      <c r="L41" s="520"/>
    </row>
    <row r="42" spans="1:12" ht="24">
      <c r="A42" s="140"/>
      <c r="B42" s="147"/>
      <c r="C42" s="61" t="s">
        <v>1934</v>
      </c>
      <c r="D42" s="62"/>
      <c r="E42" s="1089"/>
      <c r="F42" s="159"/>
      <c r="G42" s="569"/>
      <c r="H42" s="161"/>
      <c r="I42" s="549"/>
      <c r="J42" s="161"/>
      <c r="K42" s="159"/>
      <c r="L42" s="520"/>
    </row>
    <row r="43" spans="1:12" ht="24">
      <c r="A43" s="204" t="s">
        <v>1935</v>
      </c>
      <c r="B43" s="926" t="s">
        <v>1936</v>
      </c>
      <c r="C43" s="90" t="s">
        <v>1937</v>
      </c>
      <c r="D43" s="523"/>
      <c r="E43" s="1114"/>
      <c r="F43" s="194" t="s">
        <v>185</v>
      </c>
      <c r="G43" s="549"/>
      <c r="H43" s="699"/>
      <c r="I43" s="549"/>
      <c r="J43" s="699"/>
      <c r="K43" s="194"/>
      <c r="L43" s="520"/>
    </row>
    <row r="44" spans="1:12" ht="24">
      <c r="A44" s="204"/>
      <c r="B44" s="926"/>
      <c r="C44" s="90" t="s">
        <v>1938</v>
      </c>
      <c r="D44" s="523"/>
      <c r="E44" s="1114"/>
      <c r="F44" s="194"/>
      <c r="G44" s="549"/>
      <c r="H44" s="699"/>
      <c r="I44" s="549"/>
      <c r="J44" s="699"/>
      <c r="K44" s="194"/>
      <c r="L44" s="520"/>
    </row>
    <row r="45" spans="1:12" ht="24">
      <c r="A45" s="140" t="s">
        <v>1939</v>
      </c>
      <c r="B45" s="147" t="s">
        <v>1940</v>
      </c>
      <c r="C45" s="61" t="s">
        <v>1941</v>
      </c>
      <c r="D45" s="62"/>
      <c r="E45" s="1089"/>
      <c r="F45" s="159" t="s">
        <v>185</v>
      </c>
      <c r="G45" s="549"/>
      <c r="H45" s="161"/>
      <c r="I45" s="549"/>
      <c r="J45" s="161"/>
      <c r="K45" s="159"/>
      <c r="L45" s="520"/>
    </row>
    <row r="46" spans="1:12" ht="24">
      <c r="A46" s="140" t="s">
        <v>1942</v>
      </c>
      <c r="B46" s="147" t="s">
        <v>1943</v>
      </c>
      <c r="C46" s="61" t="s">
        <v>1937</v>
      </c>
      <c r="D46" s="62"/>
      <c r="E46" s="1089"/>
      <c r="F46" s="159" t="s">
        <v>185</v>
      </c>
      <c r="G46" s="549"/>
      <c r="H46" s="161"/>
      <c r="I46" s="549"/>
      <c r="J46" s="161"/>
      <c r="K46" s="159"/>
      <c r="L46" s="520"/>
    </row>
    <row r="47" spans="1:12" ht="24">
      <c r="A47" s="140"/>
      <c r="B47" s="147"/>
      <c r="C47" s="61" t="s">
        <v>1938</v>
      </c>
      <c r="D47" s="62"/>
      <c r="E47" s="1089"/>
      <c r="F47" s="159"/>
      <c r="G47" s="549"/>
      <c r="H47" s="161"/>
      <c r="I47" s="549"/>
      <c r="J47" s="161"/>
      <c r="K47" s="159"/>
      <c r="L47" s="520"/>
    </row>
    <row r="48" spans="1:12" ht="24">
      <c r="A48" s="140" t="s">
        <v>1944</v>
      </c>
      <c r="B48" s="147" t="s">
        <v>1945</v>
      </c>
      <c r="C48" s="61" t="s">
        <v>1946</v>
      </c>
      <c r="D48" s="62"/>
      <c r="E48" s="1089"/>
      <c r="F48" s="159" t="s">
        <v>185</v>
      </c>
      <c r="G48" s="569"/>
      <c r="H48" s="161"/>
      <c r="I48" s="549"/>
      <c r="J48" s="161"/>
      <c r="K48" s="159"/>
      <c r="L48" s="520"/>
    </row>
    <row r="49" spans="1:12" ht="24">
      <c r="A49" s="140"/>
      <c r="B49" s="147"/>
      <c r="C49" s="61" t="s">
        <v>1930</v>
      </c>
      <c r="D49" s="62"/>
      <c r="E49" s="1089"/>
      <c r="F49" s="159"/>
      <c r="G49" s="569"/>
      <c r="H49" s="161"/>
      <c r="I49" s="549"/>
      <c r="J49" s="161"/>
      <c r="K49" s="159"/>
      <c r="L49" s="520"/>
    </row>
    <row r="50" spans="1:12" s="369" customFormat="1" ht="24">
      <c r="A50" s="140" t="s">
        <v>1947</v>
      </c>
      <c r="B50" s="147" t="s">
        <v>1948</v>
      </c>
      <c r="C50" s="61" t="s">
        <v>1946</v>
      </c>
      <c r="D50" s="62"/>
      <c r="E50" s="1089"/>
      <c r="F50" s="159" t="s">
        <v>185</v>
      </c>
      <c r="G50" s="569"/>
      <c r="H50" s="161"/>
      <c r="I50" s="549"/>
      <c r="J50" s="161"/>
      <c r="K50" s="159"/>
      <c r="L50" s="520"/>
    </row>
    <row r="51" spans="1:12" s="369" customFormat="1" ht="24">
      <c r="A51" s="1115"/>
      <c r="B51" s="1116"/>
      <c r="C51" s="1117" t="s">
        <v>1919</v>
      </c>
      <c r="D51" s="1118"/>
      <c r="E51" s="1119"/>
      <c r="F51" s="534"/>
      <c r="G51" s="576"/>
      <c r="H51" s="533"/>
      <c r="I51" s="588"/>
      <c r="J51" s="533"/>
      <c r="K51" s="534"/>
      <c r="L51" s="577"/>
    </row>
    <row r="52" spans="1:12" s="369" customFormat="1" ht="24">
      <c r="A52" s="1091" t="s">
        <v>1949</v>
      </c>
      <c r="B52" s="1120" t="s">
        <v>1950</v>
      </c>
      <c r="C52" s="1121" t="s">
        <v>1951</v>
      </c>
      <c r="D52" s="62"/>
      <c r="E52" s="1089"/>
      <c r="F52" s="158" t="s">
        <v>185</v>
      </c>
      <c r="G52" s="582"/>
      <c r="H52" s="157"/>
      <c r="I52" s="589"/>
      <c r="J52" s="157"/>
      <c r="K52" s="158"/>
      <c r="L52" s="520"/>
    </row>
    <row r="53" spans="1:12" s="369" customFormat="1" ht="24">
      <c r="A53" s="140"/>
      <c r="B53" s="147"/>
      <c r="C53" s="61" t="s">
        <v>1952</v>
      </c>
      <c r="D53" s="62"/>
      <c r="E53" s="1089"/>
      <c r="F53" s="159"/>
      <c r="G53" s="569"/>
      <c r="H53" s="161"/>
      <c r="I53" s="549"/>
      <c r="J53" s="161"/>
      <c r="K53" s="159"/>
      <c r="L53" s="520"/>
    </row>
    <row r="54" spans="1:12" s="369" customFormat="1" ht="24">
      <c r="A54" s="140" t="s">
        <v>2502</v>
      </c>
      <c r="B54" s="1484" t="s">
        <v>2503</v>
      </c>
      <c r="C54" s="61"/>
      <c r="D54" s="62"/>
      <c r="E54" s="1089"/>
      <c r="F54" s="159" t="s">
        <v>185</v>
      </c>
      <c r="G54" s="1122"/>
      <c r="H54" s="161"/>
      <c r="I54" s="1123"/>
      <c r="J54" s="161"/>
      <c r="K54" s="159"/>
      <c r="L54" s="520"/>
    </row>
    <row r="55" spans="1:12" s="369" customFormat="1" ht="24">
      <c r="A55" s="140" t="s">
        <v>2504</v>
      </c>
      <c r="B55" s="1484" t="s">
        <v>2505</v>
      </c>
      <c r="C55" s="61"/>
      <c r="D55" s="62"/>
      <c r="E55" s="1089"/>
      <c r="F55" s="159" t="s">
        <v>185</v>
      </c>
      <c r="G55" s="1122"/>
      <c r="H55" s="161"/>
      <c r="I55" s="1123"/>
      <c r="J55" s="161"/>
      <c r="K55" s="159"/>
      <c r="L55" s="520"/>
    </row>
    <row r="56" spans="1:12" s="369" customFormat="1" ht="24">
      <c r="A56" s="140" t="s">
        <v>2506</v>
      </c>
      <c r="B56" s="1484" t="s">
        <v>2507</v>
      </c>
      <c r="C56" s="61"/>
      <c r="D56" s="62"/>
      <c r="E56" s="1089"/>
      <c r="F56" s="159" t="s">
        <v>185</v>
      </c>
      <c r="G56" s="1122"/>
      <c r="H56" s="161"/>
      <c r="I56" s="1123"/>
      <c r="J56" s="161"/>
      <c r="K56" s="159"/>
      <c r="L56" s="520"/>
    </row>
    <row r="57" spans="1:12" s="369" customFormat="1" ht="24">
      <c r="A57" s="140"/>
      <c r="B57" s="1484" t="s">
        <v>2508</v>
      </c>
      <c r="C57" s="61"/>
      <c r="D57" s="62"/>
      <c r="E57" s="1089"/>
      <c r="F57" s="159"/>
      <c r="G57" s="1122"/>
      <c r="H57" s="161"/>
      <c r="I57" s="1123"/>
      <c r="J57" s="161"/>
      <c r="K57" s="159"/>
      <c r="L57" s="520"/>
    </row>
    <row r="58" spans="1:12" s="369" customFormat="1" ht="24">
      <c r="A58" s="140" t="s">
        <v>2513</v>
      </c>
      <c r="B58" s="1484" t="s">
        <v>2514</v>
      </c>
      <c r="C58" s="61"/>
      <c r="D58" s="62"/>
      <c r="E58" s="1089"/>
      <c r="F58" s="159" t="s">
        <v>185</v>
      </c>
      <c r="G58" s="1122"/>
      <c r="H58" s="161"/>
      <c r="I58" s="1123"/>
      <c r="J58" s="161"/>
      <c r="K58" s="159"/>
      <c r="L58" s="520"/>
    </row>
    <row r="59" spans="1:12" s="369" customFormat="1" ht="24">
      <c r="A59" s="140"/>
      <c r="B59" s="147"/>
      <c r="C59" s="61"/>
      <c r="D59" s="62"/>
      <c r="E59" s="1089"/>
      <c r="F59" s="159"/>
      <c r="G59" s="1122"/>
      <c r="H59" s="161"/>
      <c r="I59" s="1123"/>
      <c r="J59" s="161"/>
      <c r="K59" s="159"/>
      <c r="L59" s="520"/>
    </row>
    <row r="60" spans="1:12" s="369" customFormat="1" ht="24">
      <c r="A60" s="140"/>
      <c r="B60" s="147"/>
      <c r="C60" s="61"/>
      <c r="D60" s="62"/>
      <c r="E60" s="1089"/>
      <c r="F60" s="159"/>
      <c r="G60" s="1122"/>
      <c r="H60" s="161"/>
      <c r="I60" s="1123"/>
      <c r="J60" s="161"/>
      <c r="K60" s="159"/>
      <c r="L60" s="520"/>
    </row>
    <row r="61" spans="1:12" s="369" customFormat="1" ht="24">
      <c r="A61" s="140"/>
      <c r="B61" s="147"/>
      <c r="C61" s="61"/>
      <c r="D61" s="62"/>
      <c r="E61" s="1089"/>
      <c r="F61" s="159"/>
      <c r="G61" s="1122"/>
      <c r="H61" s="161"/>
      <c r="I61" s="1123"/>
      <c r="J61" s="161"/>
      <c r="K61" s="159"/>
      <c r="L61" s="520"/>
    </row>
    <row r="62" spans="1:12" s="369" customFormat="1" ht="24">
      <c r="A62" s="140"/>
      <c r="B62" s="147"/>
      <c r="C62" s="61"/>
      <c r="D62" s="62"/>
      <c r="E62" s="1089"/>
      <c r="F62" s="159"/>
      <c r="G62" s="1122"/>
      <c r="H62" s="161"/>
      <c r="I62" s="1123"/>
      <c r="J62" s="161"/>
      <c r="K62" s="159"/>
      <c r="L62" s="520"/>
    </row>
    <row r="63" spans="1:12" s="369" customFormat="1" ht="24">
      <c r="A63" s="140"/>
      <c r="B63" s="147"/>
      <c r="C63" s="61"/>
      <c r="D63" s="62"/>
      <c r="E63" s="1089"/>
      <c r="F63" s="159"/>
      <c r="G63" s="1122"/>
      <c r="H63" s="161"/>
      <c r="I63" s="1123"/>
      <c r="J63" s="161"/>
      <c r="K63" s="159"/>
      <c r="L63" s="520"/>
    </row>
    <row r="64" spans="1:12" s="369" customFormat="1" ht="24">
      <c r="A64" s="140"/>
      <c r="B64" s="147"/>
      <c r="C64" s="61"/>
      <c r="D64" s="62"/>
      <c r="E64" s="1089"/>
      <c r="F64" s="159"/>
      <c r="G64" s="1122"/>
      <c r="H64" s="161"/>
      <c r="I64" s="1123"/>
      <c r="J64" s="161"/>
      <c r="K64" s="159"/>
      <c r="L64" s="520"/>
    </row>
    <row r="65" spans="1:12" s="369" customFormat="1" ht="24">
      <c r="A65" s="140"/>
      <c r="B65" s="147"/>
      <c r="C65" s="61"/>
      <c r="D65" s="62"/>
      <c r="E65" s="1089"/>
      <c r="F65" s="159"/>
      <c r="G65" s="1122"/>
      <c r="H65" s="161"/>
      <c r="I65" s="1123"/>
      <c r="J65" s="161"/>
      <c r="K65" s="159"/>
      <c r="L65" s="520"/>
    </row>
    <row r="66" spans="1:12" s="369" customFormat="1" ht="24">
      <c r="A66" s="140"/>
      <c r="B66" s="147"/>
      <c r="C66" s="61"/>
      <c r="D66" s="62"/>
      <c r="E66" s="1089"/>
      <c r="F66" s="159"/>
      <c r="G66" s="1122"/>
      <c r="H66" s="161"/>
      <c r="I66" s="1123"/>
      <c r="J66" s="161"/>
      <c r="K66" s="159"/>
      <c r="L66" s="520"/>
    </row>
    <row r="67" spans="1:12" s="369" customFormat="1" ht="24">
      <c r="A67" s="140"/>
      <c r="B67" s="147"/>
      <c r="C67" s="61"/>
      <c r="D67" s="62"/>
      <c r="E67" s="1089"/>
      <c r="F67" s="159"/>
      <c r="G67" s="1122"/>
      <c r="H67" s="161"/>
      <c r="I67" s="1123"/>
      <c r="J67" s="161"/>
      <c r="K67" s="159"/>
      <c r="L67" s="520"/>
    </row>
    <row r="68" spans="1:12" s="369" customFormat="1" ht="24">
      <c r="A68" s="140"/>
      <c r="B68" s="147"/>
      <c r="C68" s="61"/>
      <c r="D68" s="62"/>
      <c r="E68" s="1089"/>
      <c r="F68" s="159"/>
      <c r="G68" s="1122"/>
      <c r="H68" s="161"/>
      <c r="I68" s="1123"/>
      <c r="J68" s="161"/>
      <c r="K68" s="159"/>
      <c r="L68" s="520"/>
    </row>
    <row r="69" spans="1:12" s="369" customFormat="1" ht="24">
      <c r="A69" s="140"/>
      <c r="B69" s="147"/>
      <c r="C69" s="61"/>
      <c r="D69" s="62"/>
      <c r="E69" s="1089"/>
      <c r="F69" s="159"/>
      <c r="G69" s="1122"/>
      <c r="H69" s="161"/>
      <c r="I69" s="1123"/>
      <c r="J69" s="161"/>
      <c r="K69" s="159"/>
      <c r="L69" s="520"/>
    </row>
    <row r="70" spans="1:12" s="369" customFormat="1" ht="24">
      <c r="A70" s="140"/>
      <c r="B70" s="147"/>
      <c r="C70" s="61"/>
      <c r="D70" s="62"/>
      <c r="E70" s="1089"/>
      <c r="F70" s="159"/>
      <c r="G70" s="1122"/>
      <c r="H70" s="161"/>
      <c r="I70" s="1123"/>
      <c r="J70" s="161"/>
      <c r="K70" s="159"/>
      <c r="L70" s="520"/>
    </row>
    <row r="71" spans="1:12" s="1128" customFormat="1" ht="24">
      <c r="A71" s="1104"/>
      <c r="B71" s="1124"/>
      <c r="C71" s="215"/>
      <c r="D71" s="1106"/>
      <c r="E71" s="1125"/>
      <c r="F71" s="232"/>
      <c r="G71" s="1126"/>
      <c r="H71" s="234"/>
      <c r="I71" s="1127"/>
      <c r="J71" s="234"/>
      <c r="K71" s="232"/>
      <c r="L71" s="644"/>
    </row>
    <row r="72" spans="1:12" ht="24">
      <c r="A72" s="1109"/>
      <c r="B72" s="2124" t="s">
        <v>1953</v>
      </c>
      <c r="C72" s="2125"/>
      <c r="D72" s="2126"/>
      <c r="E72" s="1110"/>
      <c r="F72" s="1110"/>
      <c r="G72" s="1111"/>
      <c r="H72" s="1112"/>
      <c r="I72" s="1111"/>
      <c r="J72" s="1112"/>
      <c r="K72" s="1110"/>
      <c r="L72" s="1129"/>
    </row>
    <row r="73" spans="1:12" ht="24">
      <c r="A73" s="104">
        <v>8.1999999999999993</v>
      </c>
      <c r="B73" s="1130" t="str">
        <f>B12</f>
        <v>ครุภัณฑ์ - งานระบบสุขาภิบาล</v>
      </c>
      <c r="C73" s="1131"/>
      <c r="D73" s="1131"/>
      <c r="E73" s="1132"/>
      <c r="F73" s="106"/>
      <c r="G73" s="111"/>
      <c r="H73" s="117"/>
      <c r="I73" s="111"/>
      <c r="J73" s="117"/>
      <c r="K73" s="63"/>
      <c r="L73" s="107"/>
    </row>
    <row r="74" spans="1:12" ht="24">
      <c r="A74" s="1133" t="s">
        <v>1954</v>
      </c>
      <c r="B74" s="767" t="s">
        <v>1096</v>
      </c>
      <c r="C74" s="61"/>
      <c r="D74" s="55"/>
      <c r="E74" s="1089"/>
      <c r="F74" s="159"/>
      <c r="G74" s="156"/>
      <c r="H74" s="161"/>
      <c r="I74" s="156"/>
      <c r="J74" s="161"/>
      <c r="K74" s="159"/>
      <c r="L74" s="510"/>
    </row>
    <row r="75" spans="1:12" ht="24">
      <c r="A75" s="1091" t="s">
        <v>1955</v>
      </c>
      <c r="B75" s="773" t="s">
        <v>1098</v>
      </c>
      <c r="C75" s="61"/>
      <c r="D75" s="62"/>
      <c r="E75" s="1089"/>
      <c r="F75" s="159"/>
      <c r="G75" s="156"/>
      <c r="H75" s="161"/>
      <c r="I75" s="156"/>
      <c r="J75" s="161"/>
      <c r="K75" s="159"/>
      <c r="L75" s="510"/>
    </row>
    <row r="76" spans="1:12" ht="24">
      <c r="A76" s="1091"/>
      <c r="B76" s="773" t="s">
        <v>1099</v>
      </c>
      <c r="C76" s="61"/>
      <c r="D76" s="62"/>
      <c r="E76" s="776"/>
      <c r="F76" s="781" t="s">
        <v>185</v>
      </c>
      <c r="G76" s="183"/>
      <c r="H76" s="744"/>
      <c r="I76" s="156"/>
      <c r="J76" s="777"/>
      <c r="K76" s="779"/>
      <c r="L76" s="510"/>
    </row>
    <row r="77" spans="1:12" ht="24">
      <c r="A77" s="1091" t="s">
        <v>1956</v>
      </c>
      <c r="B77" s="773" t="s">
        <v>1101</v>
      </c>
      <c r="C77" s="61"/>
      <c r="D77" s="62"/>
      <c r="E77" s="776"/>
      <c r="F77" s="776"/>
      <c r="G77" s="183"/>
      <c r="H77" s="744"/>
      <c r="I77" s="156"/>
      <c r="J77" s="161"/>
      <c r="K77" s="159"/>
      <c r="L77" s="510"/>
    </row>
    <row r="78" spans="1:12" ht="24">
      <c r="A78" s="1091"/>
      <c r="B78" s="773" t="s">
        <v>1102</v>
      </c>
      <c r="C78" s="61"/>
      <c r="D78" s="62"/>
      <c r="E78" s="776"/>
      <c r="F78" s="781" t="s">
        <v>185</v>
      </c>
      <c r="G78" s="183"/>
      <c r="H78" s="744"/>
      <c r="I78" s="156"/>
      <c r="J78" s="777"/>
      <c r="K78" s="779"/>
      <c r="L78" s="510"/>
    </row>
    <row r="79" spans="1:12" ht="24">
      <c r="A79" s="1090" t="s">
        <v>1957</v>
      </c>
      <c r="B79" s="1134" t="s">
        <v>1092</v>
      </c>
      <c r="C79" s="61"/>
      <c r="D79" s="62"/>
      <c r="E79" s="1135"/>
      <c r="F79" s="742"/>
      <c r="G79" s="743"/>
      <c r="H79" s="744"/>
      <c r="I79" s="156"/>
      <c r="J79" s="161"/>
      <c r="K79" s="159"/>
      <c r="L79" s="510"/>
    </row>
    <row r="80" spans="1:12" ht="24">
      <c r="A80" s="1091"/>
      <c r="B80" s="61" t="s">
        <v>1093</v>
      </c>
      <c r="C80" s="61"/>
      <c r="D80" s="62"/>
      <c r="E80" s="1089"/>
      <c r="F80" s="159"/>
      <c r="G80" s="156"/>
      <c r="H80" s="161"/>
      <c r="I80" s="156"/>
      <c r="J80" s="161"/>
      <c r="K80" s="159"/>
      <c r="L80" s="510"/>
    </row>
    <row r="81" spans="1:12" ht="24">
      <c r="A81" s="1091" t="s">
        <v>1958</v>
      </c>
      <c r="B81" s="773" t="s">
        <v>1159</v>
      </c>
      <c r="C81" s="816"/>
      <c r="D81" s="817"/>
      <c r="E81" s="1136"/>
      <c r="F81" s="789"/>
      <c r="G81" s="790"/>
      <c r="H81" s="744"/>
      <c r="I81" s="156"/>
      <c r="J81" s="161"/>
      <c r="K81" s="159"/>
      <c r="L81" s="510"/>
    </row>
    <row r="82" spans="1:12" ht="24">
      <c r="A82" s="1091"/>
      <c r="B82" s="773" t="s">
        <v>1160</v>
      </c>
      <c r="C82" s="816"/>
      <c r="D82" s="817"/>
      <c r="E82" s="1137"/>
      <c r="F82" s="781" t="s">
        <v>185</v>
      </c>
      <c r="G82" s="819"/>
      <c r="H82" s="744"/>
      <c r="I82" s="156"/>
      <c r="J82" s="777"/>
      <c r="K82" s="779"/>
      <c r="L82" s="159"/>
    </row>
    <row r="83" spans="1:12" ht="24">
      <c r="A83" s="1090" t="s">
        <v>1959</v>
      </c>
      <c r="B83" s="1134" t="s">
        <v>1960</v>
      </c>
      <c r="C83" s="61"/>
      <c r="D83" s="62"/>
      <c r="E83" s="1089"/>
      <c r="F83" s="159"/>
      <c r="G83" s="156"/>
      <c r="H83" s="161"/>
      <c r="I83" s="156"/>
      <c r="J83" s="161"/>
      <c r="K83" s="159"/>
      <c r="L83" s="510"/>
    </row>
    <row r="84" spans="1:12" ht="24">
      <c r="A84" s="1091"/>
      <c r="B84" s="61" t="s">
        <v>1961</v>
      </c>
      <c r="C84" s="61"/>
      <c r="D84" s="62"/>
      <c r="E84" s="757"/>
      <c r="F84" s="742"/>
      <c r="G84" s="790"/>
      <c r="H84" s="744"/>
      <c r="I84" s="791"/>
      <c r="J84" s="744"/>
      <c r="K84" s="746"/>
      <c r="L84" s="510"/>
    </row>
    <row r="85" spans="1:12" ht="24">
      <c r="A85" s="1091" t="s">
        <v>1962</v>
      </c>
      <c r="B85" s="749" t="s">
        <v>1214</v>
      </c>
      <c r="C85" s="61"/>
      <c r="D85" s="62"/>
      <c r="E85" s="1089"/>
      <c r="F85" s="159"/>
      <c r="G85" s="156"/>
      <c r="H85" s="161"/>
      <c r="I85" s="156"/>
      <c r="J85" s="161"/>
      <c r="K85" s="159"/>
      <c r="L85" s="510"/>
    </row>
    <row r="86" spans="1:12" ht="24">
      <c r="A86" s="1091"/>
      <c r="B86" s="749" t="s">
        <v>1215</v>
      </c>
      <c r="C86" s="61"/>
      <c r="D86" s="62"/>
      <c r="E86" s="742"/>
      <c r="F86" s="742" t="s">
        <v>185</v>
      </c>
      <c r="G86" s="790"/>
      <c r="H86" s="744"/>
      <c r="I86" s="156"/>
      <c r="J86" s="777"/>
      <c r="K86" s="779"/>
      <c r="L86" s="510"/>
    </row>
    <row r="87" spans="1:12" ht="24">
      <c r="A87" s="1091"/>
      <c r="B87" s="749" t="s">
        <v>1216</v>
      </c>
      <c r="C87" s="61"/>
      <c r="D87" s="62"/>
      <c r="E87" s="742"/>
      <c r="F87" s="742" t="s">
        <v>185</v>
      </c>
      <c r="G87" s="790"/>
      <c r="H87" s="744"/>
      <c r="I87" s="156"/>
      <c r="J87" s="777"/>
      <c r="K87" s="779"/>
      <c r="L87" s="510"/>
    </row>
    <row r="88" spans="1:12" ht="24">
      <c r="A88" s="1091" t="s">
        <v>1963</v>
      </c>
      <c r="B88" s="749" t="s">
        <v>1211</v>
      </c>
      <c r="C88" s="749"/>
      <c r="D88" s="752"/>
      <c r="E88" s="742"/>
      <c r="F88" s="742"/>
      <c r="G88" s="790"/>
      <c r="H88" s="744"/>
      <c r="I88" s="156"/>
      <c r="J88" s="161"/>
      <c r="K88" s="159"/>
      <c r="L88" s="510"/>
    </row>
    <row r="89" spans="1:12" ht="24">
      <c r="A89" s="1091"/>
      <c r="B89" s="749" t="s">
        <v>1212</v>
      </c>
      <c r="C89" s="749"/>
      <c r="D89" s="752"/>
      <c r="E89" s="742"/>
      <c r="F89" s="742" t="s">
        <v>185</v>
      </c>
      <c r="G89" s="790"/>
      <c r="H89" s="744"/>
      <c r="I89" s="156"/>
      <c r="J89" s="777"/>
      <c r="K89" s="779"/>
      <c r="L89" s="510"/>
    </row>
    <row r="90" spans="1:12" ht="24">
      <c r="A90" s="1091"/>
      <c r="B90" s="749"/>
      <c r="C90" s="749"/>
      <c r="D90" s="752"/>
      <c r="E90" s="742"/>
      <c r="F90" s="742"/>
      <c r="G90" s="790"/>
      <c r="H90" s="744"/>
      <c r="I90" s="156"/>
      <c r="J90" s="161"/>
      <c r="K90" s="159"/>
      <c r="L90" s="510"/>
    </row>
    <row r="91" spans="1:12" ht="24">
      <c r="A91" s="1091"/>
      <c r="B91" s="749"/>
      <c r="C91" s="749"/>
      <c r="D91" s="752"/>
      <c r="E91" s="742"/>
      <c r="F91" s="742"/>
      <c r="G91" s="790"/>
      <c r="H91" s="744"/>
      <c r="I91" s="156"/>
      <c r="J91" s="777"/>
      <c r="K91" s="779"/>
      <c r="L91" s="510"/>
    </row>
    <row r="92" spans="1:12" ht="24">
      <c r="A92" s="1091"/>
      <c r="B92" s="61"/>
      <c r="C92" s="61"/>
      <c r="D92" s="62"/>
      <c r="E92" s="1089"/>
      <c r="F92" s="159"/>
      <c r="G92" s="156"/>
      <c r="H92" s="161"/>
      <c r="I92" s="156"/>
      <c r="J92" s="161"/>
      <c r="K92" s="159"/>
      <c r="L92" s="510"/>
    </row>
    <row r="93" spans="1:12" ht="24">
      <c r="A93" s="1091"/>
      <c r="B93" s="511"/>
      <c r="C93" s="61"/>
      <c r="D93" s="62"/>
      <c r="E93" s="158"/>
      <c r="F93" s="159"/>
      <c r="G93" s="156"/>
      <c r="H93" s="161"/>
      <c r="I93" s="156"/>
      <c r="J93" s="161"/>
      <c r="K93" s="159"/>
      <c r="L93" s="510"/>
    </row>
    <row r="94" spans="1:12" ht="24">
      <c r="A94" s="1133" t="s">
        <v>2485</v>
      </c>
      <c r="B94" s="767" t="s">
        <v>2474</v>
      </c>
      <c r="C94" s="61"/>
      <c r="D94" s="55"/>
      <c r="E94" s="1089"/>
      <c r="F94" s="159"/>
      <c r="G94" s="156"/>
      <c r="H94" s="161"/>
      <c r="I94" s="156"/>
      <c r="J94" s="161"/>
      <c r="K94" s="159"/>
      <c r="L94" s="510"/>
    </row>
    <row r="95" spans="1:12" ht="24">
      <c r="A95" s="1090" t="s">
        <v>2486</v>
      </c>
      <c r="B95" s="773" t="s">
        <v>2500</v>
      </c>
      <c r="C95" s="61"/>
      <c r="D95" s="62"/>
      <c r="E95" s="1089"/>
      <c r="F95" s="1294" t="s">
        <v>185</v>
      </c>
      <c r="G95" s="156"/>
      <c r="H95" s="744"/>
      <c r="I95" s="156"/>
      <c r="J95" s="777"/>
      <c r="K95" s="779"/>
      <c r="L95" s="510"/>
    </row>
    <row r="96" spans="1:12" ht="24">
      <c r="A96" s="1090" t="s">
        <v>2487</v>
      </c>
      <c r="B96" s="773" t="s">
        <v>2475</v>
      </c>
      <c r="C96" s="61"/>
      <c r="D96" s="62"/>
      <c r="E96" s="1901"/>
      <c r="F96" s="1279" t="s">
        <v>185</v>
      </c>
      <c r="G96" s="183"/>
      <c r="H96" s="744"/>
      <c r="I96" s="156"/>
      <c r="J96" s="777"/>
      <c r="K96" s="779"/>
      <c r="L96" s="510"/>
    </row>
    <row r="97" spans="1:12" ht="24">
      <c r="A97" s="1090" t="s">
        <v>2488</v>
      </c>
      <c r="B97" s="773" t="s">
        <v>2476</v>
      </c>
      <c r="C97" s="61"/>
      <c r="D97" s="62"/>
      <c r="E97" s="1901"/>
      <c r="F97" s="1901" t="s">
        <v>185</v>
      </c>
      <c r="G97" s="183"/>
      <c r="H97" s="744"/>
      <c r="I97" s="156"/>
      <c r="J97" s="777"/>
      <c r="K97" s="779"/>
      <c r="L97" s="510"/>
    </row>
    <row r="98" spans="1:12" ht="24">
      <c r="A98" s="1090" t="s">
        <v>2489</v>
      </c>
      <c r="B98" s="773" t="s">
        <v>2477</v>
      </c>
      <c r="C98" s="61"/>
      <c r="D98" s="62"/>
      <c r="E98" s="1901"/>
      <c r="F98" s="1279" t="s">
        <v>185</v>
      </c>
      <c r="G98" s="183"/>
      <c r="H98" s="744"/>
      <c r="I98" s="156"/>
      <c r="J98" s="777"/>
      <c r="K98" s="779"/>
      <c r="L98" s="510"/>
    </row>
    <row r="99" spans="1:12" ht="24">
      <c r="A99" s="1090" t="s">
        <v>2490</v>
      </c>
      <c r="B99" s="61" t="s">
        <v>2478</v>
      </c>
      <c r="C99" s="61"/>
      <c r="D99" s="62"/>
      <c r="E99" s="1902"/>
      <c r="F99" s="1903" t="s">
        <v>185</v>
      </c>
      <c r="G99" s="743"/>
      <c r="H99" s="744"/>
      <c r="I99" s="156"/>
      <c r="J99" s="777"/>
      <c r="K99" s="779"/>
      <c r="L99" s="510"/>
    </row>
    <row r="100" spans="1:12" ht="24">
      <c r="A100" s="1090" t="s">
        <v>2491</v>
      </c>
      <c r="B100" s="61" t="s">
        <v>2501</v>
      </c>
      <c r="C100" s="61"/>
      <c r="D100" s="62"/>
      <c r="E100" s="1089"/>
      <c r="F100" s="1294" t="s">
        <v>185</v>
      </c>
      <c r="G100" s="156"/>
      <c r="H100" s="744"/>
      <c r="I100" s="156"/>
      <c r="J100" s="777"/>
      <c r="K100" s="779"/>
      <c r="L100" s="510"/>
    </row>
    <row r="101" spans="1:12" ht="24">
      <c r="A101" s="1090" t="s">
        <v>2492</v>
      </c>
      <c r="B101" s="773" t="s">
        <v>2479</v>
      </c>
      <c r="C101" s="816"/>
      <c r="D101" s="817"/>
      <c r="E101" s="1904"/>
      <c r="F101" s="1905" t="s">
        <v>185</v>
      </c>
      <c r="G101" s="790"/>
      <c r="H101" s="744"/>
      <c r="I101" s="156"/>
      <c r="J101" s="777"/>
      <c r="K101" s="779"/>
      <c r="L101" s="510"/>
    </row>
    <row r="102" spans="1:12" ht="24">
      <c r="A102" s="1090" t="s">
        <v>2493</v>
      </c>
      <c r="B102" s="773" t="s">
        <v>2480</v>
      </c>
      <c r="C102" s="816"/>
      <c r="D102" s="817"/>
      <c r="E102" s="1906"/>
      <c r="F102" s="1279" t="s">
        <v>185</v>
      </c>
      <c r="G102" s="819"/>
      <c r="H102" s="744"/>
      <c r="I102" s="156"/>
      <c r="J102" s="777"/>
      <c r="K102" s="779"/>
      <c r="L102" s="159"/>
    </row>
    <row r="103" spans="1:12" ht="24">
      <c r="A103" s="1090" t="s">
        <v>2494</v>
      </c>
      <c r="B103" s="61" t="s">
        <v>2481</v>
      </c>
      <c r="C103" s="61"/>
      <c r="D103" s="62"/>
      <c r="E103" s="1089"/>
      <c r="F103" s="1294" t="s">
        <v>185</v>
      </c>
      <c r="G103" s="156"/>
      <c r="H103" s="744"/>
      <c r="I103" s="156"/>
      <c r="J103" s="777"/>
      <c r="K103" s="779"/>
      <c r="L103" s="510"/>
    </row>
    <row r="104" spans="1:12" ht="24">
      <c r="A104" s="1090" t="s">
        <v>2495</v>
      </c>
      <c r="B104" s="61" t="s">
        <v>2482</v>
      </c>
      <c r="C104" s="61"/>
      <c r="D104" s="62"/>
      <c r="E104" s="1903"/>
      <c r="F104" s="1903" t="s">
        <v>185</v>
      </c>
      <c r="G104" s="790"/>
      <c r="H104" s="744"/>
      <c r="I104" s="156"/>
      <c r="J104" s="777"/>
      <c r="K104" s="779"/>
      <c r="L104" s="510"/>
    </row>
    <row r="105" spans="1:12" ht="24">
      <c r="A105" s="1090" t="s">
        <v>2496</v>
      </c>
      <c r="B105" s="749" t="s">
        <v>2483</v>
      </c>
      <c r="C105" s="61"/>
      <c r="D105" s="62"/>
      <c r="E105" s="1089"/>
      <c r="F105" s="1294" t="s">
        <v>185</v>
      </c>
      <c r="G105" s="156"/>
      <c r="H105" s="744"/>
      <c r="I105" s="156"/>
      <c r="J105" s="777"/>
      <c r="K105" s="779"/>
      <c r="L105" s="510"/>
    </row>
    <row r="106" spans="1:12" ht="24">
      <c r="A106" s="1090" t="s">
        <v>2497</v>
      </c>
      <c r="B106" s="749" t="s">
        <v>2484</v>
      </c>
      <c r="C106" s="61"/>
      <c r="D106" s="62"/>
      <c r="E106" s="1903"/>
      <c r="F106" s="1903" t="s">
        <v>1112</v>
      </c>
      <c r="G106" s="790"/>
      <c r="H106" s="744"/>
      <c r="I106" s="156"/>
      <c r="J106" s="777"/>
      <c r="K106" s="779"/>
      <c r="L106" s="510"/>
    </row>
    <row r="107" spans="1:12" ht="24">
      <c r="A107" s="1091"/>
      <c r="B107" s="749"/>
      <c r="C107" s="61"/>
      <c r="D107" s="62"/>
      <c r="E107" s="742"/>
      <c r="F107" s="742"/>
      <c r="G107" s="790"/>
      <c r="H107" s="744"/>
      <c r="I107" s="156"/>
      <c r="J107" s="777"/>
      <c r="K107" s="779"/>
      <c r="L107" s="510"/>
    </row>
    <row r="108" spans="1:12" ht="24">
      <c r="A108" s="1091"/>
      <c r="B108" s="749"/>
      <c r="C108" s="749"/>
      <c r="D108" s="752"/>
      <c r="E108" s="742"/>
      <c r="F108" s="742"/>
      <c r="G108" s="790"/>
      <c r="H108" s="744"/>
      <c r="I108" s="156"/>
      <c r="J108" s="161"/>
      <c r="K108" s="159"/>
      <c r="L108" s="510"/>
    </row>
    <row r="109" spans="1:12" ht="24">
      <c r="A109" s="1091"/>
      <c r="B109" s="749"/>
      <c r="C109" s="749"/>
      <c r="D109" s="752"/>
      <c r="E109" s="742"/>
      <c r="F109" s="742"/>
      <c r="G109" s="790"/>
      <c r="H109" s="744"/>
      <c r="I109" s="156"/>
      <c r="J109" s="777"/>
      <c r="K109" s="779"/>
      <c r="L109" s="510"/>
    </row>
    <row r="110" spans="1:12" ht="24">
      <c r="A110" s="1091"/>
      <c r="B110" s="61"/>
      <c r="C110" s="61"/>
      <c r="D110" s="62"/>
      <c r="E110" s="1089"/>
      <c r="F110" s="159"/>
      <c r="G110" s="156"/>
      <c r="H110" s="161"/>
      <c r="I110" s="156"/>
      <c r="J110" s="161"/>
      <c r="K110" s="159"/>
      <c r="L110" s="510"/>
    </row>
    <row r="111" spans="1:12" ht="24">
      <c r="A111" s="1091"/>
      <c r="B111" s="61"/>
      <c r="C111" s="61"/>
      <c r="D111" s="62"/>
      <c r="E111" s="1089"/>
      <c r="F111" s="159"/>
      <c r="G111" s="156"/>
      <c r="H111" s="161"/>
      <c r="I111" s="156"/>
      <c r="J111" s="161"/>
      <c r="K111" s="159"/>
      <c r="L111" s="510"/>
    </row>
    <row r="112" spans="1:12" ht="24">
      <c r="A112" s="1091"/>
      <c r="B112" s="511"/>
      <c r="C112" s="61"/>
      <c r="D112" s="62"/>
      <c r="E112" s="158"/>
      <c r="F112" s="159"/>
      <c r="G112" s="156"/>
      <c r="H112" s="161"/>
      <c r="I112" s="156"/>
      <c r="J112" s="161"/>
      <c r="K112" s="159"/>
      <c r="L112" s="510"/>
    </row>
    <row r="113" spans="1:14" ht="24.75" thickBot="1">
      <c r="A113" s="1091"/>
      <c r="B113" s="1138"/>
      <c r="C113" s="985"/>
      <c r="D113" s="995"/>
      <c r="E113" s="742"/>
      <c r="F113" s="742"/>
      <c r="G113" s="819"/>
      <c r="H113" s="777"/>
      <c r="I113" s="1139"/>
      <c r="J113" s="1140"/>
      <c r="K113" s="779"/>
      <c r="L113" s="520"/>
    </row>
    <row r="114" spans="1:14" ht="24.75" thickTop="1">
      <c r="A114" s="607"/>
      <c r="B114" s="2121" t="s">
        <v>1964</v>
      </c>
      <c r="C114" s="2122"/>
      <c r="D114" s="2123"/>
      <c r="E114" s="1141"/>
      <c r="F114" s="609"/>
      <c r="G114" s="610"/>
      <c r="H114" s="518"/>
      <c r="I114" s="611"/>
      <c r="J114" s="518"/>
      <c r="K114" s="518"/>
      <c r="L114" s="74"/>
    </row>
    <row r="115" spans="1:14" ht="24">
      <c r="A115" s="59">
        <v>8.3000000000000007</v>
      </c>
      <c r="B115" s="1142" t="str">
        <f>B13</f>
        <v>ครุภัณฑ์ - งานระบบปรับอากาศ และระบายอากาศ</v>
      </c>
      <c r="C115" s="1143"/>
      <c r="D115" s="1144"/>
      <c r="E115" s="56"/>
      <c r="F115" s="57"/>
      <c r="G115" s="114"/>
      <c r="H115" s="396"/>
      <c r="I115" s="160"/>
      <c r="J115" s="161"/>
      <c r="K115" s="159"/>
      <c r="L115" s="520"/>
    </row>
    <row r="116" spans="1:14" ht="24">
      <c r="A116" s="1090" t="s">
        <v>1965</v>
      </c>
      <c r="B116" s="2170" t="s">
        <v>1688</v>
      </c>
      <c r="C116" s="2171"/>
      <c r="D116" s="2172"/>
      <c r="E116" s="158"/>
      <c r="F116" s="159"/>
      <c r="G116" s="156"/>
      <c r="H116" s="161"/>
      <c r="I116" s="156"/>
      <c r="J116" s="161"/>
      <c r="K116" s="159"/>
      <c r="L116" s="520"/>
    </row>
    <row r="117" spans="1:14" ht="24">
      <c r="A117" s="1091" t="s">
        <v>1966</v>
      </c>
      <c r="B117" s="476" t="s">
        <v>1690</v>
      </c>
      <c r="C117" s="408"/>
      <c r="D117" s="417"/>
      <c r="E117" s="158"/>
      <c r="F117" s="159"/>
      <c r="G117" s="156"/>
      <c r="H117" s="161"/>
      <c r="I117" s="156"/>
      <c r="J117" s="161"/>
      <c r="K117" s="159"/>
      <c r="L117" s="520"/>
    </row>
    <row r="118" spans="1:14" ht="24">
      <c r="A118" s="1091"/>
      <c r="B118" s="1028" t="s">
        <v>1692</v>
      </c>
      <c r="C118" s="90"/>
      <c r="D118" s="62"/>
      <c r="E118" s="158"/>
      <c r="F118" s="159"/>
      <c r="G118" s="156"/>
      <c r="H118" s="161"/>
      <c r="I118" s="156"/>
      <c r="J118" s="161"/>
      <c r="K118" s="159"/>
      <c r="L118" s="520"/>
    </row>
    <row r="119" spans="1:14" ht="24">
      <c r="A119" s="1091"/>
      <c r="B119" s="1029" t="s">
        <v>134</v>
      </c>
      <c r="C119" s="90" t="s">
        <v>1967</v>
      </c>
      <c r="D119" s="62"/>
      <c r="E119" s="1146"/>
      <c r="F119" s="781" t="s">
        <v>185</v>
      </c>
      <c r="G119" s="919"/>
      <c r="H119" s="777"/>
      <c r="I119" s="819"/>
      <c r="J119" s="777"/>
      <c r="K119" s="779"/>
      <c r="L119" s="1030"/>
      <c r="N119" s="1031">
        <v>1</v>
      </c>
    </row>
    <row r="120" spans="1:14" ht="24">
      <c r="A120" s="1091"/>
      <c r="B120" s="1029" t="s">
        <v>134</v>
      </c>
      <c r="C120" s="90" t="s">
        <v>1968</v>
      </c>
      <c r="D120" s="62"/>
      <c r="E120" s="1146"/>
      <c r="F120" s="781" t="s">
        <v>185</v>
      </c>
      <c r="G120" s="919"/>
      <c r="H120" s="777"/>
      <c r="I120" s="819"/>
      <c r="J120" s="777"/>
      <c r="K120" s="779"/>
      <c r="L120" s="1030"/>
      <c r="N120" s="1031">
        <v>2</v>
      </c>
    </row>
    <row r="121" spans="1:14" ht="24">
      <c r="A121" s="1091"/>
      <c r="B121" s="1029" t="s">
        <v>134</v>
      </c>
      <c r="C121" s="90" t="s">
        <v>1969</v>
      </c>
      <c r="D121" s="62"/>
      <c r="E121" s="1146"/>
      <c r="F121" s="781" t="s">
        <v>185</v>
      </c>
      <c r="G121" s="919"/>
      <c r="H121" s="777"/>
      <c r="I121" s="819"/>
      <c r="J121" s="777"/>
      <c r="K121" s="779"/>
      <c r="L121" s="1030"/>
      <c r="N121" s="1031">
        <v>2</v>
      </c>
    </row>
    <row r="122" spans="1:14" ht="24">
      <c r="A122" s="1091"/>
      <c r="B122" s="1029" t="s">
        <v>134</v>
      </c>
      <c r="C122" s="90" t="s">
        <v>1970</v>
      </c>
      <c r="D122" s="62"/>
      <c r="E122" s="1146"/>
      <c r="F122" s="781" t="s">
        <v>185</v>
      </c>
      <c r="G122" s="919"/>
      <c r="H122" s="777"/>
      <c r="I122" s="819"/>
      <c r="J122" s="777"/>
      <c r="K122" s="779"/>
      <c r="L122" s="1030"/>
      <c r="N122" s="1031">
        <v>2</v>
      </c>
    </row>
    <row r="123" spans="1:14" ht="24">
      <c r="A123" s="1091"/>
      <c r="B123" s="1029" t="s">
        <v>134</v>
      </c>
      <c r="C123" s="90" t="s">
        <v>1971</v>
      </c>
      <c r="D123" s="62"/>
      <c r="E123" s="1146"/>
      <c r="F123" s="781" t="s">
        <v>185</v>
      </c>
      <c r="G123" s="919"/>
      <c r="H123" s="777"/>
      <c r="I123" s="819"/>
      <c r="J123" s="777"/>
      <c r="K123" s="779"/>
      <c r="L123" s="1030"/>
      <c r="N123" s="1031">
        <v>2</v>
      </c>
    </row>
    <row r="124" spans="1:14" ht="24">
      <c r="A124" s="1091"/>
      <c r="B124" s="1029" t="s">
        <v>134</v>
      </c>
      <c r="C124" s="90" t="s">
        <v>1972</v>
      </c>
      <c r="D124" s="62"/>
      <c r="E124" s="1146"/>
      <c r="F124" s="781" t="s">
        <v>185</v>
      </c>
      <c r="G124" s="919"/>
      <c r="H124" s="777"/>
      <c r="I124" s="819"/>
      <c r="J124" s="777"/>
      <c r="K124" s="779"/>
      <c r="L124" s="1030"/>
      <c r="N124" s="1031">
        <v>2</v>
      </c>
    </row>
    <row r="125" spans="1:14" ht="24">
      <c r="A125" s="1091"/>
      <c r="B125" s="1029" t="s">
        <v>134</v>
      </c>
      <c r="C125" s="90" t="s">
        <v>1973</v>
      </c>
      <c r="D125" s="62"/>
      <c r="E125" s="1146"/>
      <c r="F125" s="781" t="s">
        <v>185</v>
      </c>
      <c r="G125" s="919"/>
      <c r="H125" s="777"/>
      <c r="I125" s="819"/>
      <c r="J125" s="777"/>
      <c r="K125" s="779"/>
      <c r="L125" s="1030"/>
      <c r="N125" s="1031">
        <v>2</v>
      </c>
    </row>
    <row r="126" spans="1:14" ht="24">
      <c r="A126" s="1091"/>
      <c r="B126" s="1029" t="s">
        <v>134</v>
      </c>
      <c r="C126" s="90" t="s">
        <v>1974</v>
      </c>
      <c r="D126" s="62"/>
      <c r="E126" s="1146"/>
      <c r="F126" s="781" t="s">
        <v>185</v>
      </c>
      <c r="G126" s="919"/>
      <c r="H126" s="777"/>
      <c r="I126" s="819"/>
      <c r="J126" s="777"/>
      <c r="K126" s="779"/>
      <c r="L126" s="1030"/>
      <c r="N126" s="1031">
        <v>2</v>
      </c>
    </row>
    <row r="127" spans="1:14" ht="24">
      <c r="A127" s="1091"/>
      <c r="B127" s="1029" t="s">
        <v>134</v>
      </c>
      <c r="C127" s="90" t="s">
        <v>1975</v>
      </c>
      <c r="D127" s="62"/>
      <c r="E127" s="1146"/>
      <c r="F127" s="781" t="s">
        <v>185</v>
      </c>
      <c r="G127" s="919"/>
      <c r="H127" s="777"/>
      <c r="I127" s="819"/>
      <c r="J127" s="777"/>
      <c r="K127" s="779"/>
      <c r="L127" s="1030"/>
      <c r="N127" s="1031">
        <v>2</v>
      </c>
    </row>
    <row r="128" spans="1:14" ht="24">
      <c r="A128" s="1091"/>
      <c r="B128" s="1029" t="s">
        <v>134</v>
      </c>
      <c r="C128" s="90" t="s">
        <v>1976</v>
      </c>
      <c r="D128" s="62"/>
      <c r="E128" s="1146"/>
      <c r="F128" s="781" t="s">
        <v>185</v>
      </c>
      <c r="G128" s="919"/>
      <c r="H128" s="777"/>
      <c r="I128" s="819"/>
      <c r="J128" s="777"/>
      <c r="K128" s="779"/>
      <c r="L128" s="1030"/>
      <c r="N128" s="1031">
        <v>2</v>
      </c>
    </row>
    <row r="129" spans="1:14" ht="24">
      <c r="A129" s="1091"/>
      <c r="B129" s="1029" t="s">
        <v>134</v>
      </c>
      <c r="C129" s="90" t="s">
        <v>1977</v>
      </c>
      <c r="D129" s="62"/>
      <c r="E129" s="1146"/>
      <c r="F129" s="781" t="s">
        <v>185</v>
      </c>
      <c r="G129" s="919"/>
      <c r="H129" s="777"/>
      <c r="I129" s="819"/>
      <c r="J129" s="777"/>
      <c r="K129" s="779"/>
      <c r="L129" s="520"/>
      <c r="N129" s="1031">
        <v>2</v>
      </c>
    </row>
    <row r="130" spans="1:14" ht="24">
      <c r="A130" s="1091"/>
      <c r="B130" s="1029" t="s">
        <v>134</v>
      </c>
      <c r="C130" s="90" t="s">
        <v>1978</v>
      </c>
      <c r="D130" s="62"/>
      <c r="E130" s="1146"/>
      <c r="F130" s="781" t="s">
        <v>185</v>
      </c>
      <c r="G130" s="919"/>
      <c r="H130" s="777"/>
      <c r="I130" s="819"/>
      <c r="J130" s="777"/>
      <c r="K130" s="779"/>
      <c r="L130" s="1030"/>
      <c r="N130" s="1031">
        <v>2</v>
      </c>
    </row>
    <row r="131" spans="1:14" ht="24">
      <c r="A131" s="1091"/>
      <c r="B131" s="1029" t="s">
        <v>134</v>
      </c>
      <c r="C131" s="90" t="s">
        <v>1979</v>
      </c>
      <c r="D131" s="62"/>
      <c r="E131" s="1146"/>
      <c r="F131" s="781" t="s">
        <v>185</v>
      </c>
      <c r="G131" s="919"/>
      <c r="H131" s="777"/>
      <c r="I131" s="819"/>
      <c r="J131" s="777"/>
      <c r="K131" s="779"/>
      <c r="L131" s="1030"/>
      <c r="N131" s="1031">
        <v>2</v>
      </c>
    </row>
    <row r="132" spans="1:14" ht="24">
      <c r="A132" s="1091"/>
      <c r="B132" s="1029" t="s">
        <v>134</v>
      </c>
      <c r="C132" s="90" t="s">
        <v>1980</v>
      </c>
      <c r="D132" s="62"/>
      <c r="E132" s="1146"/>
      <c r="F132" s="781" t="s">
        <v>185</v>
      </c>
      <c r="G132" s="919"/>
      <c r="H132" s="777"/>
      <c r="I132" s="819"/>
      <c r="J132" s="777"/>
      <c r="K132" s="779"/>
      <c r="L132" s="520"/>
      <c r="N132" s="1031">
        <v>4</v>
      </c>
    </row>
    <row r="133" spans="1:14" ht="24">
      <c r="A133" s="1091"/>
      <c r="B133" s="1029" t="s">
        <v>134</v>
      </c>
      <c r="C133" s="90" t="s">
        <v>1981</v>
      </c>
      <c r="D133" s="62"/>
      <c r="E133" s="1146"/>
      <c r="F133" s="781" t="s">
        <v>185</v>
      </c>
      <c r="G133" s="919"/>
      <c r="H133" s="777"/>
      <c r="I133" s="819"/>
      <c r="J133" s="777"/>
      <c r="K133" s="779"/>
      <c r="L133" s="520"/>
      <c r="N133" s="1031">
        <v>4</v>
      </c>
    </row>
    <row r="134" spans="1:14" ht="24.75" thickBot="1">
      <c r="A134" s="1091"/>
      <c r="B134" s="1029"/>
      <c r="C134" s="90"/>
      <c r="D134" s="62"/>
      <c r="E134" s="158"/>
      <c r="F134" s="159"/>
      <c r="G134" s="156"/>
      <c r="H134" s="161"/>
      <c r="I134" s="156"/>
      <c r="J134" s="161"/>
      <c r="K134" s="159"/>
      <c r="L134" s="520"/>
    </row>
    <row r="135" spans="1:14" ht="24.75" thickTop="1">
      <c r="A135" s="607"/>
      <c r="B135" s="2121" t="s">
        <v>1982</v>
      </c>
      <c r="C135" s="2122"/>
      <c r="D135" s="2123"/>
      <c r="E135" s="1141"/>
      <c r="F135" s="609"/>
      <c r="G135" s="610"/>
      <c r="H135" s="518"/>
      <c r="I135" s="611"/>
      <c r="J135" s="518"/>
      <c r="K135" s="553"/>
      <c r="L135" s="74"/>
    </row>
    <row r="136" spans="1:14" ht="24">
      <c r="A136" s="1090" t="s">
        <v>1983</v>
      </c>
      <c r="B136" s="1033" t="s">
        <v>1710</v>
      </c>
      <c r="C136" s="90"/>
      <c r="D136" s="62"/>
      <c r="E136" s="158"/>
      <c r="F136" s="159"/>
      <c r="G136" s="156"/>
      <c r="H136" s="161"/>
      <c r="I136" s="156"/>
      <c r="J136" s="161"/>
      <c r="K136" s="159"/>
      <c r="L136" s="520"/>
    </row>
    <row r="137" spans="1:14" ht="24">
      <c r="A137" s="1091" t="s">
        <v>1984</v>
      </c>
      <c r="B137" s="943" t="s">
        <v>1712</v>
      </c>
      <c r="C137" s="90"/>
      <c r="D137" s="62"/>
      <c r="E137" s="158"/>
      <c r="F137" s="159"/>
      <c r="G137" s="156"/>
      <c r="H137" s="161"/>
      <c r="I137" s="156"/>
      <c r="J137" s="161"/>
      <c r="K137" s="159"/>
      <c r="L137" s="520"/>
    </row>
    <row r="138" spans="1:14" ht="24">
      <c r="A138" s="1091"/>
      <c r="B138" s="1040" t="s">
        <v>134</v>
      </c>
      <c r="C138" s="90" t="s">
        <v>1713</v>
      </c>
      <c r="D138" s="62"/>
      <c r="E138" s="963"/>
      <c r="F138" s="781" t="s">
        <v>185</v>
      </c>
      <c r="G138" s="919"/>
      <c r="H138" s="777"/>
      <c r="I138" s="819"/>
      <c r="J138" s="777"/>
      <c r="K138" s="779"/>
      <c r="L138" s="520"/>
    </row>
    <row r="139" spans="1:14" ht="24">
      <c r="A139" s="1091"/>
      <c r="B139" s="1040" t="s">
        <v>134</v>
      </c>
      <c r="C139" s="90" t="s">
        <v>1714</v>
      </c>
      <c r="D139" s="62"/>
      <c r="E139" s="963"/>
      <c r="F139" s="781" t="s">
        <v>185</v>
      </c>
      <c r="G139" s="919"/>
      <c r="H139" s="777"/>
      <c r="I139" s="819"/>
      <c r="J139" s="777"/>
      <c r="K139" s="779"/>
      <c r="L139" s="520"/>
    </row>
    <row r="140" spans="1:14" ht="24">
      <c r="A140" s="1091"/>
      <c r="B140" s="1040" t="s">
        <v>134</v>
      </c>
      <c r="C140" s="90" t="s">
        <v>1715</v>
      </c>
      <c r="D140" s="62"/>
      <c r="E140" s="963"/>
      <c r="F140" s="781" t="s">
        <v>185</v>
      </c>
      <c r="G140" s="919"/>
      <c r="H140" s="777"/>
      <c r="I140" s="819"/>
      <c r="J140" s="777"/>
      <c r="K140" s="779"/>
      <c r="L140" s="520"/>
    </row>
    <row r="141" spans="1:14" ht="24">
      <c r="A141" s="1091"/>
      <c r="B141" s="1040" t="s">
        <v>134</v>
      </c>
      <c r="C141" s="90" t="s">
        <v>1716</v>
      </c>
      <c r="D141" s="62"/>
      <c r="E141" s="963"/>
      <c r="F141" s="781" t="s">
        <v>185</v>
      </c>
      <c r="G141" s="919"/>
      <c r="H141" s="777"/>
      <c r="I141" s="819"/>
      <c r="J141" s="777"/>
      <c r="K141" s="779"/>
      <c r="L141" s="520"/>
    </row>
    <row r="142" spans="1:14" ht="24">
      <c r="A142" s="1091"/>
      <c r="B142" s="1040" t="s">
        <v>134</v>
      </c>
      <c r="C142" s="90" t="s">
        <v>1717</v>
      </c>
      <c r="D142" s="62"/>
      <c r="E142" s="963"/>
      <c r="F142" s="781" t="s">
        <v>185</v>
      </c>
      <c r="G142" s="919"/>
      <c r="H142" s="777"/>
      <c r="I142" s="819"/>
      <c r="J142" s="777"/>
      <c r="K142" s="779"/>
      <c r="L142" s="520"/>
    </row>
    <row r="143" spans="1:14" ht="24">
      <c r="A143" s="1091"/>
      <c r="B143" s="1040" t="s">
        <v>134</v>
      </c>
      <c r="C143" s="90" t="s">
        <v>1718</v>
      </c>
      <c r="D143" s="62"/>
      <c r="E143" s="963"/>
      <c r="F143" s="781" t="s">
        <v>185</v>
      </c>
      <c r="G143" s="919"/>
      <c r="H143" s="777"/>
      <c r="I143" s="819"/>
      <c r="J143" s="777"/>
      <c r="K143" s="779"/>
      <c r="L143" s="520"/>
    </row>
    <row r="144" spans="1:14" ht="24">
      <c r="A144" s="1091"/>
      <c r="B144" s="1040" t="s">
        <v>134</v>
      </c>
      <c r="C144" s="90" t="s">
        <v>1719</v>
      </c>
      <c r="D144" s="62"/>
      <c r="E144" s="963"/>
      <c r="F144" s="781" t="s">
        <v>185</v>
      </c>
      <c r="G144" s="919"/>
      <c r="H144" s="777"/>
      <c r="I144" s="819"/>
      <c r="J144" s="777"/>
      <c r="K144" s="779"/>
      <c r="L144" s="520"/>
    </row>
    <row r="145" spans="1:12" ht="24">
      <c r="A145" s="1091"/>
      <c r="B145" s="1040" t="s">
        <v>134</v>
      </c>
      <c r="C145" s="90" t="s">
        <v>1720</v>
      </c>
      <c r="D145" s="62"/>
      <c r="E145" s="963"/>
      <c r="F145" s="781" t="s">
        <v>185</v>
      </c>
      <c r="G145" s="919"/>
      <c r="H145" s="777"/>
      <c r="I145" s="819"/>
      <c r="J145" s="777"/>
      <c r="K145" s="779"/>
      <c r="L145" s="520"/>
    </row>
    <row r="146" spans="1:12" ht="24">
      <c r="A146" s="1091"/>
      <c r="B146" s="1040" t="s">
        <v>134</v>
      </c>
      <c r="C146" s="90" t="s">
        <v>1721</v>
      </c>
      <c r="D146" s="62"/>
      <c r="E146" s="963"/>
      <c r="F146" s="781" t="s">
        <v>185</v>
      </c>
      <c r="G146" s="919"/>
      <c r="H146" s="777"/>
      <c r="I146" s="819"/>
      <c r="J146" s="777"/>
      <c r="K146" s="779"/>
      <c r="L146" s="520"/>
    </row>
    <row r="147" spans="1:12" ht="24">
      <c r="A147" s="1091"/>
      <c r="B147" s="1040" t="s">
        <v>134</v>
      </c>
      <c r="C147" s="90" t="s">
        <v>1722</v>
      </c>
      <c r="D147" s="62"/>
      <c r="E147" s="963"/>
      <c r="F147" s="781" t="s">
        <v>185</v>
      </c>
      <c r="G147" s="919"/>
      <c r="H147" s="777"/>
      <c r="I147" s="819"/>
      <c r="J147" s="777"/>
      <c r="K147" s="779"/>
      <c r="L147" s="520"/>
    </row>
    <row r="148" spans="1:12" ht="24">
      <c r="A148" s="1091"/>
      <c r="B148" s="1040" t="s">
        <v>134</v>
      </c>
      <c r="C148" s="90" t="s">
        <v>1723</v>
      </c>
      <c r="D148" s="62"/>
      <c r="E148" s="963"/>
      <c r="F148" s="781" t="s">
        <v>185</v>
      </c>
      <c r="G148" s="919"/>
      <c r="H148" s="777"/>
      <c r="I148" s="819"/>
      <c r="J148" s="777"/>
      <c r="K148" s="779"/>
      <c r="L148" s="520"/>
    </row>
    <row r="149" spans="1:12" ht="24">
      <c r="A149" s="1091"/>
      <c r="B149" s="1040" t="s">
        <v>134</v>
      </c>
      <c r="C149" s="90" t="s">
        <v>1724</v>
      </c>
      <c r="D149" s="62"/>
      <c r="E149" s="963"/>
      <c r="F149" s="781" t="s">
        <v>185</v>
      </c>
      <c r="G149" s="919"/>
      <c r="H149" s="777"/>
      <c r="I149" s="819"/>
      <c r="J149" s="777"/>
      <c r="K149" s="779"/>
      <c r="L149" s="520"/>
    </row>
    <row r="150" spans="1:12" ht="24">
      <c r="A150" s="1091"/>
      <c r="B150" s="1040" t="s">
        <v>134</v>
      </c>
      <c r="C150" s="90" t="s">
        <v>1725</v>
      </c>
      <c r="D150" s="62"/>
      <c r="E150" s="963"/>
      <c r="F150" s="781" t="s">
        <v>185</v>
      </c>
      <c r="G150" s="919"/>
      <c r="H150" s="777"/>
      <c r="I150" s="819"/>
      <c r="J150" s="777"/>
      <c r="K150" s="779"/>
      <c r="L150" s="520"/>
    </row>
    <row r="151" spans="1:12" ht="24">
      <c r="A151" s="1091"/>
      <c r="B151" s="1040" t="s">
        <v>134</v>
      </c>
      <c r="C151" s="90" t="s">
        <v>1726</v>
      </c>
      <c r="D151" s="62"/>
      <c r="E151" s="963"/>
      <c r="F151" s="781" t="s">
        <v>185</v>
      </c>
      <c r="G151" s="919"/>
      <c r="H151" s="777"/>
      <c r="I151" s="819"/>
      <c r="J151" s="777"/>
      <c r="K151" s="779"/>
      <c r="L151" s="520"/>
    </row>
    <row r="152" spans="1:12" ht="24">
      <c r="A152" s="1091"/>
      <c r="B152" s="1040" t="s">
        <v>134</v>
      </c>
      <c r="C152" s="90" t="s">
        <v>1727</v>
      </c>
      <c r="D152" s="62"/>
      <c r="E152" s="963"/>
      <c r="F152" s="781" t="s">
        <v>185</v>
      </c>
      <c r="G152" s="919"/>
      <c r="H152" s="777"/>
      <c r="I152" s="819"/>
      <c r="J152" s="777"/>
      <c r="K152" s="779"/>
      <c r="L152" s="520"/>
    </row>
    <row r="153" spans="1:12" ht="24">
      <c r="A153" s="1091"/>
      <c r="B153" s="1040" t="s">
        <v>134</v>
      </c>
      <c r="C153" s="90" t="s">
        <v>1728</v>
      </c>
      <c r="D153" s="62"/>
      <c r="E153" s="963"/>
      <c r="F153" s="781" t="s">
        <v>185</v>
      </c>
      <c r="G153" s="919"/>
      <c r="H153" s="777"/>
      <c r="I153" s="819"/>
      <c r="J153" s="777"/>
      <c r="K153" s="779"/>
      <c r="L153" s="520"/>
    </row>
    <row r="154" spans="1:12" ht="24">
      <c r="A154" s="1091"/>
      <c r="B154" s="1040" t="s">
        <v>134</v>
      </c>
      <c r="C154" s="90" t="s">
        <v>1729</v>
      </c>
      <c r="D154" s="62"/>
      <c r="E154" s="963"/>
      <c r="F154" s="781" t="s">
        <v>185</v>
      </c>
      <c r="G154" s="919"/>
      <c r="H154" s="777"/>
      <c r="I154" s="819"/>
      <c r="J154" s="777"/>
      <c r="K154" s="779"/>
      <c r="L154" s="520"/>
    </row>
    <row r="155" spans="1:12" ht="24">
      <c r="A155" s="1091"/>
      <c r="B155" s="1040" t="s">
        <v>134</v>
      </c>
      <c r="C155" s="90" t="s">
        <v>1730</v>
      </c>
      <c r="D155" s="62"/>
      <c r="E155" s="963"/>
      <c r="F155" s="781" t="s">
        <v>185</v>
      </c>
      <c r="G155" s="919"/>
      <c r="H155" s="777"/>
      <c r="I155" s="819"/>
      <c r="J155" s="777"/>
      <c r="K155" s="779"/>
      <c r="L155" s="520"/>
    </row>
    <row r="156" spans="1:12" ht="24">
      <c r="A156" s="1115"/>
      <c r="B156" s="1044" t="s">
        <v>134</v>
      </c>
      <c r="C156" s="528" t="s">
        <v>1731</v>
      </c>
      <c r="D156" s="1118"/>
      <c r="E156" s="961"/>
      <c r="F156" s="961" t="s">
        <v>185</v>
      </c>
      <c r="G156" s="919"/>
      <c r="H156" s="1051"/>
      <c r="I156" s="957"/>
      <c r="J156" s="1051"/>
      <c r="K156" s="1147"/>
      <c r="L156" s="577"/>
    </row>
    <row r="157" spans="1:12" ht="24">
      <c r="A157" s="1091"/>
      <c r="B157" s="1049" t="s">
        <v>134</v>
      </c>
      <c r="C157" s="537" t="s">
        <v>1732</v>
      </c>
      <c r="D157" s="62"/>
      <c r="E157" s="963"/>
      <c r="F157" s="963" t="s">
        <v>185</v>
      </c>
      <c r="G157" s="919"/>
      <c r="H157" s="1037"/>
      <c r="I157" s="919"/>
      <c r="J157" s="1037"/>
      <c r="K157" s="1145"/>
      <c r="L157" s="520"/>
    </row>
    <row r="158" spans="1:12" ht="24">
      <c r="A158" s="1091"/>
      <c r="B158" s="1040" t="s">
        <v>134</v>
      </c>
      <c r="C158" s="90" t="s">
        <v>1733</v>
      </c>
      <c r="D158" s="62"/>
      <c r="E158" s="963"/>
      <c r="F158" s="781" t="s">
        <v>185</v>
      </c>
      <c r="G158" s="919"/>
      <c r="H158" s="777"/>
      <c r="I158" s="819"/>
      <c r="J158" s="777"/>
      <c r="K158" s="779"/>
      <c r="L158" s="520"/>
    </row>
    <row r="159" spans="1:12" ht="24">
      <c r="A159" s="1091"/>
      <c r="B159" s="1040" t="s">
        <v>134</v>
      </c>
      <c r="C159" s="90" t="s">
        <v>1734</v>
      </c>
      <c r="D159" s="62"/>
      <c r="E159" s="963"/>
      <c r="F159" s="781" t="s">
        <v>185</v>
      </c>
      <c r="G159" s="919"/>
      <c r="H159" s="777"/>
      <c r="I159" s="819"/>
      <c r="J159" s="777"/>
      <c r="K159" s="779"/>
      <c r="L159" s="520"/>
    </row>
    <row r="160" spans="1:12" ht="24">
      <c r="A160" s="1091"/>
      <c r="B160" s="1040" t="s">
        <v>134</v>
      </c>
      <c r="C160" s="90" t="s">
        <v>1735</v>
      </c>
      <c r="D160" s="62"/>
      <c r="E160" s="963"/>
      <c r="F160" s="781" t="s">
        <v>185</v>
      </c>
      <c r="G160" s="919"/>
      <c r="H160" s="777"/>
      <c r="I160" s="819"/>
      <c r="J160" s="777"/>
      <c r="K160" s="779"/>
      <c r="L160" s="520"/>
    </row>
    <row r="161" spans="1:12" ht="24">
      <c r="A161" s="1091"/>
      <c r="B161" s="1040" t="s">
        <v>134</v>
      </c>
      <c r="C161" s="90" t="s">
        <v>1736</v>
      </c>
      <c r="D161" s="62"/>
      <c r="E161" s="963"/>
      <c r="F161" s="781" t="s">
        <v>185</v>
      </c>
      <c r="G161" s="919"/>
      <c r="H161" s="777"/>
      <c r="I161" s="819"/>
      <c r="J161" s="777"/>
      <c r="K161" s="779"/>
      <c r="L161" s="520"/>
    </row>
    <row r="162" spans="1:12" ht="24">
      <c r="A162" s="1091"/>
      <c r="B162" s="1040" t="s">
        <v>134</v>
      </c>
      <c r="C162" s="90" t="s">
        <v>1737</v>
      </c>
      <c r="D162" s="62"/>
      <c r="E162" s="963"/>
      <c r="F162" s="781" t="s">
        <v>185</v>
      </c>
      <c r="G162" s="919"/>
      <c r="H162" s="777"/>
      <c r="I162" s="819"/>
      <c r="J162" s="777"/>
      <c r="K162" s="779"/>
      <c r="L162" s="520"/>
    </row>
    <row r="163" spans="1:12" ht="24">
      <c r="A163" s="1091"/>
      <c r="B163" s="1040" t="s">
        <v>134</v>
      </c>
      <c r="C163" s="90" t="s">
        <v>1738</v>
      </c>
      <c r="D163" s="62"/>
      <c r="E163" s="963"/>
      <c r="F163" s="781" t="s">
        <v>185</v>
      </c>
      <c r="G163" s="919"/>
      <c r="H163" s="777"/>
      <c r="I163" s="819"/>
      <c r="J163" s="777"/>
      <c r="K163" s="779"/>
      <c r="L163" s="520"/>
    </row>
    <row r="164" spans="1:12" ht="24">
      <c r="A164" s="1091"/>
      <c r="B164" s="1040" t="s">
        <v>134</v>
      </c>
      <c r="C164" s="90" t="s">
        <v>1739</v>
      </c>
      <c r="D164" s="62"/>
      <c r="E164" s="963"/>
      <c r="F164" s="781" t="s">
        <v>185</v>
      </c>
      <c r="G164" s="919"/>
      <c r="H164" s="777"/>
      <c r="I164" s="819"/>
      <c r="J164" s="777"/>
      <c r="K164" s="779"/>
      <c r="L164" s="520"/>
    </row>
    <row r="165" spans="1:12" ht="24">
      <c r="A165" s="1091"/>
      <c r="B165" s="1040" t="s">
        <v>134</v>
      </c>
      <c r="C165" s="90" t="s">
        <v>1740</v>
      </c>
      <c r="D165" s="62"/>
      <c r="E165" s="963"/>
      <c r="F165" s="781" t="s">
        <v>185</v>
      </c>
      <c r="G165" s="919"/>
      <c r="H165" s="777"/>
      <c r="I165" s="819"/>
      <c r="J165" s="777"/>
      <c r="K165" s="779"/>
      <c r="L165" s="520"/>
    </row>
    <row r="166" spans="1:12" ht="24">
      <c r="A166" s="1091"/>
      <c r="B166" s="1040" t="s">
        <v>134</v>
      </c>
      <c r="C166" s="90" t="s">
        <v>1741</v>
      </c>
      <c r="D166" s="62"/>
      <c r="E166" s="963"/>
      <c r="F166" s="781" t="s">
        <v>185</v>
      </c>
      <c r="G166" s="919"/>
      <c r="H166" s="777"/>
      <c r="I166" s="819"/>
      <c r="J166" s="777"/>
      <c r="K166" s="779"/>
      <c r="L166" s="520"/>
    </row>
    <row r="167" spans="1:12" ht="24">
      <c r="A167" s="1091"/>
      <c r="B167" s="1040" t="s">
        <v>134</v>
      </c>
      <c r="C167" s="90" t="s">
        <v>1742</v>
      </c>
      <c r="D167" s="62"/>
      <c r="E167" s="963"/>
      <c r="F167" s="781" t="s">
        <v>185</v>
      </c>
      <c r="G167" s="919"/>
      <c r="H167" s="777"/>
      <c r="I167" s="819"/>
      <c r="J167" s="777"/>
      <c r="K167" s="779"/>
      <c r="L167" s="520"/>
    </row>
    <row r="168" spans="1:12" ht="24">
      <c r="A168" s="1091" t="s">
        <v>1985</v>
      </c>
      <c r="B168" s="943" t="s">
        <v>1744</v>
      </c>
      <c r="C168" s="90"/>
      <c r="D168" s="62"/>
      <c r="E168" s="963"/>
      <c r="F168" s="781"/>
      <c r="G168" s="919"/>
      <c r="H168" s="777"/>
      <c r="I168" s="156"/>
      <c r="J168" s="161"/>
      <c r="K168" s="159"/>
      <c r="L168" s="520"/>
    </row>
    <row r="169" spans="1:12" ht="24">
      <c r="A169" s="1091"/>
      <c r="B169" s="1040" t="s">
        <v>134</v>
      </c>
      <c r="C169" s="90" t="s">
        <v>1745</v>
      </c>
      <c r="D169" s="62"/>
      <c r="E169" s="963"/>
      <c r="F169" s="781" t="s">
        <v>185</v>
      </c>
      <c r="G169" s="919"/>
      <c r="H169" s="777"/>
      <c r="I169" s="819"/>
      <c r="J169" s="777"/>
      <c r="K169" s="779"/>
      <c r="L169" s="520"/>
    </row>
    <row r="170" spans="1:12" ht="24">
      <c r="A170" s="1091"/>
      <c r="B170" s="1040" t="s">
        <v>134</v>
      </c>
      <c r="C170" s="90" t="s">
        <v>1746</v>
      </c>
      <c r="D170" s="62"/>
      <c r="E170" s="963"/>
      <c r="F170" s="781" t="s">
        <v>185</v>
      </c>
      <c r="G170" s="919"/>
      <c r="H170" s="777"/>
      <c r="I170" s="819"/>
      <c r="J170" s="777"/>
      <c r="K170" s="779"/>
      <c r="L170" s="520"/>
    </row>
    <row r="171" spans="1:12" ht="24">
      <c r="A171" s="1091"/>
      <c r="B171" s="1040" t="s">
        <v>134</v>
      </c>
      <c r="C171" s="90" t="s">
        <v>1747</v>
      </c>
      <c r="D171" s="62"/>
      <c r="E171" s="963"/>
      <c r="F171" s="781" t="s">
        <v>185</v>
      </c>
      <c r="G171" s="919"/>
      <c r="H171" s="777"/>
      <c r="I171" s="819"/>
      <c r="J171" s="777"/>
      <c r="K171" s="779"/>
      <c r="L171" s="520"/>
    </row>
    <row r="172" spans="1:12" ht="24">
      <c r="A172" s="1091" t="s">
        <v>1986</v>
      </c>
      <c r="B172" s="943" t="s">
        <v>1749</v>
      </c>
      <c r="C172" s="90"/>
      <c r="D172" s="62"/>
      <c r="E172" s="963"/>
      <c r="F172" s="781"/>
      <c r="G172" s="919"/>
      <c r="H172" s="777"/>
      <c r="I172" s="156"/>
      <c r="J172" s="161"/>
      <c r="K172" s="159"/>
      <c r="L172" s="520"/>
    </row>
    <row r="173" spans="1:12" ht="24">
      <c r="A173" s="1091"/>
      <c r="B173" s="1040" t="s">
        <v>134</v>
      </c>
      <c r="C173" s="90" t="s">
        <v>1750</v>
      </c>
      <c r="D173" s="62"/>
      <c r="E173" s="963"/>
      <c r="F173" s="781" t="s">
        <v>185</v>
      </c>
      <c r="G173" s="919"/>
      <c r="H173" s="777"/>
      <c r="I173" s="819"/>
      <c r="J173" s="777"/>
      <c r="K173" s="779"/>
      <c r="L173" s="520"/>
    </row>
    <row r="174" spans="1:12" ht="24">
      <c r="A174" s="1091"/>
      <c r="B174" s="1040" t="s">
        <v>134</v>
      </c>
      <c r="C174" s="90" t="s">
        <v>1751</v>
      </c>
      <c r="D174" s="62"/>
      <c r="E174" s="963"/>
      <c r="F174" s="781" t="s">
        <v>185</v>
      </c>
      <c r="G174" s="919"/>
      <c r="H174" s="777"/>
      <c r="I174" s="819"/>
      <c r="J174" s="777"/>
      <c r="K174" s="779"/>
      <c r="L174" s="520"/>
    </row>
    <row r="175" spans="1:12" ht="24">
      <c r="A175" s="1091"/>
      <c r="B175" s="1040" t="s">
        <v>134</v>
      </c>
      <c r="C175" s="90" t="s">
        <v>1752</v>
      </c>
      <c r="D175" s="62"/>
      <c r="E175" s="963"/>
      <c r="F175" s="781" t="s">
        <v>185</v>
      </c>
      <c r="G175" s="919"/>
      <c r="H175" s="777"/>
      <c r="I175" s="819"/>
      <c r="J175" s="777"/>
      <c r="K175" s="779"/>
      <c r="L175" s="520"/>
    </row>
    <row r="176" spans="1:12" ht="24">
      <c r="A176" s="1091"/>
      <c r="B176" s="1040" t="s">
        <v>134</v>
      </c>
      <c r="C176" s="90" t="s">
        <v>1753</v>
      </c>
      <c r="D176" s="62"/>
      <c r="E176" s="963"/>
      <c r="F176" s="781" t="s">
        <v>185</v>
      </c>
      <c r="G176" s="919"/>
      <c r="H176" s="777"/>
      <c r="I176" s="819"/>
      <c r="J176" s="777"/>
      <c r="K176" s="779"/>
      <c r="L176" s="520"/>
    </row>
    <row r="177" spans="1:12" ht="24">
      <c r="A177" s="1115"/>
      <c r="B177" s="1052"/>
      <c r="C177" s="528"/>
      <c r="D177" s="1118"/>
      <c r="E177" s="534"/>
      <c r="F177" s="534"/>
      <c r="G177" s="532"/>
      <c r="H177" s="533"/>
      <c r="I177" s="532"/>
      <c r="J177" s="533"/>
      <c r="K177" s="534"/>
      <c r="L177" s="577"/>
    </row>
    <row r="178" spans="1:12" ht="24">
      <c r="A178" s="1091" t="s">
        <v>1987</v>
      </c>
      <c r="B178" s="969" t="s">
        <v>1755</v>
      </c>
      <c r="C178" s="537"/>
      <c r="D178" s="62"/>
      <c r="E178" s="158"/>
      <c r="F178" s="158"/>
      <c r="G178" s="156"/>
      <c r="H178" s="157"/>
      <c r="I178" s="156"/>
      <c r="J178" s="157"/>
      <c r="K178" s="158"/>
      <c r="L178" s="520"/>
    </row>
    <row r="179" spans="1:12" ht="24">
      <c r="A179" s="1091"/>
      <c r="B179" s="1040" t="s">
        <v>134</v>
      </c>
      <c r="C179" s="90" t="s">
        <v>1756</v>
      </c>
      <c r="D179" s="62"/>
      <c r="E179" s="963"/>
      <c r="F179" s="781" t="s">
        <v>185</v>
      </c>
      <c r="G179" s="919"/>
      <c r="H179" s="777"/>
      <c r="I179" s="819"/>
      <c r="J179" s="777"/>
      <c r="K179" s="779"/>
      <c r="L179" s="520"/>
    </row>
    <row r="180" spans="1:12" ht="24">
      <c r="A180" s="1091"/>
      <c r="B180" s="1040" t="s">
        <v>134</v>
      </c>
      <c r="C180" s="90" t="s">
        <v>1757</v>
      </c>
      <c r="D180" s="62"/>
      <c r="E180" s="963"/>
      <c r="F180" s="781" t="s">
        <v>185</v>
      </c>
      <c r="G180" s="919"/>
      <c r="H180" s="777"/>
      <c r="I180" s="819"/>
      <c r="J180" s="777"/>
      <c r="K180" s="779"/>
      <c r="L180" s="520"/>
    </row>
    <row r="181" spans="1:12" ht="24">
      <c r="A181" s="1091"/>
      <c r="B181" s="1040" t="s">
        <v>134</v>
      </c>
      <c r="C181" s="90" t="s">
        <v>1758</v>
      </c>
      <c r="D181" s="62"/>
      <c r="E181" s="963"/>
      <c r="F181" s="781" t="s">
        <v>185</v>
      </c>
      <c r="G181" s="919"/>
      <c r="H181" s="777"/>
      <c r="I181" s="819"/>
      <c r="J181" s="777"/>
      <c r="K181" s="779"/>
      <c r="L181" s="520"/>
    </row>
    <row r="182" spans="1:12" ht="24">
      <c r="A182" s="1091"/>
      <c r="B182" s="1040" t="s">
        <v>134</v>
      </c>
      <c r="C182" s="90" t="s">
        <v>1759</v>
      </c>
      <c r="D182" s="62"/>
      <c r="E182" s="963"/>
      <c r="F182" s="781" t="s">
        <v>185</v>
      </c>
      <c r="G182" s="919"/>
      <c r="H182" s="777"/>
      <c r="I182" s="819"/>
      <c r="J182" s="777"/>
      <c r="K182" s="779"/>
      <c r="L182" s="520"/>
    </row>
    <row r="183" spans="1:12" ht="24">
      <c r="A183" s="1091"/>
      <c r="B183" s="1040" t="s">
        <v>134</v>
      </c>
      <c r="C183" s="90" t="s">
        <v>1760</v>
      </c>
      <c r="D183" s="62"/>
      <c r="E183" s="963"/>
      <c r="F183" s="781" t="s">
        <v>185</v>
      </c>
      <c r="G183" s="919"/>
      <c r="H183" s="777"/>
      <c r="I183" s="819"/>
      <c r="J183" s="777"/>
      <c r="K183" s="779"/>
      <c r="L183" s="520"/>
    </row>
    <row r="184" spans="1:12" ht="24">
      <c r="A184" s="1091"/>
      <c r="B184" s="1040" t="s">
        <v>134</v>
      </c>
      <c r="C184" s="90" t="s">
        <v>1761</v>
      </c>
      <c r="D184" s="62"/>
      <c r="E184" s="963"/>
      <c r="F184" s="781" t="s">
        <v>185</v>
      </c>
      <c r="G184" s="919"/>
      <c r="H184" s="777"/>
      <c r="I184" s="819"/>
      <c r="J184" s="777"/>
      <c r="K184" s="779"/>
      <c r="L184" s="520"/>
    </row>
    <row r="185" spans="1:12" ht="24">
      <c r="A185" s="1091"/>
      <c r="B185" s="1040" t="s">
        <v>134</v>
      </c>
      <c r="C185" s="90" t="s">
        <v>1762</v>
      </c>
      <c r="D185" s="62"/>
      <c r="E185" s="963"/>
      <c r="F185" s="781" t="s">
        <v>185</v>
      </c>
      <c r="G185" s="919"/>
      <c r="H185" s="777"/>
      <c r="I185" s="819"/>
      <c r="J185" s="777"/>
      <c r="K185" s="779"/>
      <c r="L185" s="520"/>
    </row>
    <row r="186" spans="1:12" ht="24">
      <c r="A186" s="1091"/>
      <c r="B186" s="1040" t="s">
        <v>134</v>
      </c>
      <c r="C186" s="90" t="s">
        <v>1763</v>
      </c>
      <c r="D186" s="62"/>
      <c r="E186" s="963"/>
      <c r="F186" s="781" t="s">
        <v>185</v>
      </c>
      <c r="G186" s="919"/>
      <c r="H186" s="777"/>
      <c r="I186" s="819"/>
      <c r="J186" s="777"/>
      <c r="K186" s="779"/>
      <c r="L186" s="520"/>
    </row>
    <row r="187" spans="1:12" ht="24">
      <c r="A187" s="1091"/>
      <c r="B187" s="1040" t="s">
        <v>134</v>
      </c>
      <c r="C187" s="90" t="s">
        <v>1764</v>
      </c>
      <c r="D187" s="62"/>
      <c r="E187" s="963"/>
      <c r="F187" s="781" t="s">
        <v>185</v>
      </c>
      <c r="G187" s="919"/>
      <c r="H187" s="777"/>
      <c r="I187" s="819"/>
      <c r="J187" s="777"/>
      <c r="K187" s="779"/>
      <c r="L187" s="520"/>
    </row>
    <row r="188" spans="1:12" ht="24">
      <c r="A188" s="1091"/>
      <c r="B188" s="1040" t="s">
        <v>134</v>
      </c>
      <c r="C188" s="90" t="s">
        <v>1765</v>
      </c>
      <c r="D188" s="62"/>
      <c r="E188" s="963"/>
      <c r="F188" s="781" t="s">
        <v>185</v>
      </c>
      <c r="G188" s="919"/>
      <c r="H188" s="777"/>
      <c r="I188" s="819"/>
      <c r="J188" s="777"/>
      <c r="K188" s="779"/>
      <c r="L188" s="520"/>
    </row>
    <row r="189" spans="1:12" ht="24">
      <c r="A189" s="1091"/>
      <c r="B189" s="1040" t="s">
        <v>134</v>
      </c>
      <c r="C189" s="90" t="s">
        <v>1766</v>
      </c>
      <c r="D189" s="62"/>
      <c r="E189" s="963"/>
      <c r="F189" s="781" t="s">
        <v>185</v>
      </c>
      <c r="G189" s="919"/>
      <c r="H189" s="777"/>
      <c r="I189" s="819"/>
      <c r="J189" s="777"/>
      <c r="K189" s="779"/>
      <c r="L189" s="520"/>
    </row>
    <row r="190" spans="1:12" ht="24">
      <c r="A190" s="1091"/>
      <c r="B190" s="1040" t="s">
        <v>134</v>
      </c>
      <c r="C190" s="90" t="s">
        <v>1767</v>
      </c>
      <c r="D190" s="62"/>
      <c r="E190" s="963"/>
      <c r="F190" s="781" t="s">
        <v>185</v>
      </c>
      <c r="G190" s="919"/>
      <c r="H190" s="777"/>
      <c r="I190" s="819"/>
      <c r="J190" s="777"/>
      <c r="K190" s="779"/>
      <c r="L190" s="520"/>
    </row>
    <row r="191" spans="1:12" ht="24">
      <c r="A191" s="1091"/>
      <c r="B191" s="1029" t="s">
        <v>134</v>
      </c>
      <c r="C191" s="90" t="s">
        <v>1768</v>
      </c>
      <c r="D191" s="62"/>
      <c r="E191" s="963"/>
      <c r="F191" s="781" t="s">
        <v>185</v>
      </c>
      <c r="G191" s="919"/>
      <c r="H191" s="777"/>
      <c r="I191" s="819"/>
      <c r="J191" s="777"/>
      <c r="K191" s="779"/>
      <c r="L191" s="520"/>
    </row>
    <row r="192" spans="1:12" ht="24">
      <c r="A192" s="1091"/>
      <c r="B192" s="1029" t="s">
        <v>134</v>
      </c>
      <c r="C192" s="90" t="s">
        <v>1769</v>
      </c>
      <c r="D192" s="62"/>
      <c r="E192" s="963"/>
      <c r="F192" s="781" t="s">
        <v>185</v>
      </c>
      <c r="G192" s="919"/>
      <c r="H192" s="777"/>
      <c r="I192" s="819"/>
      <c r="J192" s="777"/>
      <c r="K192" s="779"/>
      <c r="L192" s="520"/>
    </row>
    <row r="193" spans="1:12" ht="24">
      <c r="A193" s="1091"/>
      <c r="B193" s="1029" t="s">
        <v>134</v>
      </c>
      <c r="C193" s="90" t="s">
        <v>1770</v>
      </c>
      <c r="D193" s="62"/>
      <c r="E193" s="963"/>
      <c r="F193" s="781" t="s">
        <v>185</v>
      </c>
      <c r="G193" s="919"/>
      <c r="H193" s="777"/>
      <c r="I193" s="819"/>
      <c r="J193" s="777"/>
      <c r="K193" s="779"/>
      <c r="L193" s="520"/>
    </row>
    <row r="194" spans="1:12" ht="24">
      <c r="A194" s="1091"/>
      <c r="B194" s="1029" t="s">
        <v>134</v>
      </c>
      <c r="C194" s="90" t="s">
        <v>1771</v>
      </c>
      <c r="D194" s="62"/>
      <c r="E194" s="963"/>
      <c r="F194" s="781" t="s">
        <v>185</v>
      </c>
      <c r="G194" s="919"/>
      <c r="H194" s="777"/>
      <c r="I194" s="819"/>
      <c r="J194" s="777"/>
      <c r="K194" s="779"/>
      <c r="L194" s="520"/>
    </row>
    <row r="195" spans="1:12" ht="24">
      <c r="A195" s="1091"/>
      <c r="B195" s="1029" t="s">
        <v>134</v>
      </c>
      <c r="C195" s="90" t="s">
        <v>1772</v>
      </c>
      <c r="D195" s="62"/>
      <c r="E195" s="963"/>
      <c r="F195" s="781" t="s">
        <v>185</v>
      </c>
      <c r="G195" s="919"/>
      <c r="H195" s="777"/>
      <c r="I195" s="819"/>
      <c r="J195" s="777"/>
      <c r="K195" s="779"/>
      <c r="L195" s="520"/>
    </row>
    <row r="196" spans="1:12" ht="24">
      <c r="A196" s="1091"/>
      <c r="B196" s="1029" t="s">
        <v>134</v>
      </c>
      <c r="C196" s="90" t="s">
        <v>1773</v>
      </c>
      <c r="D196" s="62"/>
      <c r="E196" s="963"/>
      <c r="F196" s="781" t="s">
        <v>185</v>
      </c>
      <c r="G196" s="919"/>
      <c r="H196" s="777"/>
      <c r="I196" s="819"/>
      <c r="J196" s="777"/>
      <c r="K196" s="779"/>
      <c r="L196" s="520"/>
    </row>
    <row r="197" spans="1:12" ht="24">
      <c r="A197" s="1091"/>
      <c r="B197" s="1029" t="s">
        <v>134</v>
      </c>
      <c r="C197" s="90" t="s">
        <v>1774</v>
      </c>
      <c r="D197" s="62"/>
      <c r="E197" s="963"/>
      <c r="F197" s="781" t="s">
        <v>185</v>
      </c>
      <c r="G197" s="919"/>
      <c r="H197" s="777"/>
      <c r="I197" s="819"/>
      <c r="J197" s="777"/>
      <c r="K197" s="779"/>
      <c r="L197" s="520"/>
    </row>
    <row r="198" spans="1:12" ht="24">
      <c r="A198" s="1115"/>
      <c r="B198" s="1052" t="s">
        <v>134</v>
      </c>
      <c r="C198" s="528" t="s">
        <v>1775</v>
      </c>
      <c r="D198" s="1118"/>
      <c r="E198" s="961"/>
      <c r="F198" s="961" t="s">
        <v>185</v>
      </c>
      <c r="G198" s="919"/>
      <c r="H198" s="1051"/>
      <c r="I198" s="957"/>
      <c r="J198" s="1051"/>
      <c r="K198" s="1147"/>
      <c r="L198" s="577"/>
    </row>
    <row r="199" spans="1:12" ht="24">
      <c r="A199" s="1091" t="s">
        <v>1988</v>
      </c>
      <c r="B199" s="943" t="s">
        <v>1777</v>
      </c>
      <c r="C199" s="90"/>
      <c r="D199" s="62"/>
      <c r="E199" s="963"/>
      <c r="F199" s="781"/>
      <c r="G199" s="919"/>
      <c r="H199" s="777"/>
      <c r="I199" s="156"/>
      <c r="J199" s="161"/>
      <c r="K199" s="159"/>
      <c r="L199" s="520"/>
    </row>
    <row r="200" spans="1:12" ht="24">
      <c r="A200" s="1091"/>
      <c r="B200" s="1029" t="s">
        <v>134</v>
      </c>
      <c r="C200" s="90" t="s">
        <v>1778</v>
      </c>
      <c r="D200" s="62"/>
      <c r="E200" s="963"/>
      <c r="F200" s="781" t="s">
        <v>185</v>
      </c>
      <c r="G200" s="919"/>
      <c r="H200" s="777"/>
      <c r="I200" s="819"/>
      <c r="J200" s="777"/>
      <c r="K200" s="779"/>
      <c r="L200" s="520"/>
    </row>
    <row r="201" spans="1:12" ht="24">
      <c r="A201" s="1091"/>
      <c r="B201" s="1029" t="s">
        <v>134</v>
      </c>
      <c r="C201" s="90" t="s">
        <v>1779</v>
      </c>
      <c r="D201" s="62"/>
      <c r="E201" s="963"/>
      <c r="F201" s="781" t="s">
        <v>185</v>
      </c>
      <c r="G201" s="919"/>
      <c r="H201" s="777"/>
      <c r="I201" s="819"/>
      <c r="J201" s="777"/>
      <c r="K201" s="779"/>
      <c r="L201" s="520"/>
    </row>
    <row r="202" spans="1:12" ht="24">
      <c r="A202" s="1091"/>
      <c r="B202" s="1029" t="s">
        <v>134</v>
      </c>
      <c r="C202" s="90" t="s">
        <v>1780</v>
      </c>
      <c r="D202" s="62"/>
      <c r="E202" s="963"/>
      <c r="F202" s="781" t="s">
        <v>185</v>
      </c>
      <c r="G202" s="919"/>
      <c r="H202" s="777"/>
      <c r="I202" s="819"/>
      <c r="J202" s="777"/>
      <c r="K202" s="779"/>
      <c r="L202" s="520"/>
    </row>
    <row r="203" spans="1:12" ht="24">
      <c r="A203" s="1091"/>
      <c r="B203" s="1029" t="s">
        <v>134</v>
      </c>
      <c r="C203" s="90" t="s">
        <v>1781</v>
      </c>
      <c r="D203" s="62"/>
      <c r="E203" s="963"/>
      <c r="F203" s="781" t="s">
        <v>185</v>
      </c>
      <c r="G203" s="919"/>
      <c r="H203" s="777"/>
      <c r="I203" s="819"/>
      <c r="J203" s="777"/>
      <c r="K203" s="779"/>
      <c r="L203" s="520"/>
    </row>
    <row r="204" spans="1:12" ht="24">
      <c r="A204" s="1091"/>
      <c r="B204" s="1029" t="s">
        <v>134</v>
      </c>
      <c r="C204" s="90" t="s">
        <v>1782</v>
      </c>
      <c r="D204" s="62"/>
      <c r="E204" s="963"/>
      <c r="F204" s="781" t="s">
        <v>185</v>
      </c>
      <c r="G204" s="919"/>
      <c r="H204" s="777"/>
      <c r="I204" s="819"/>
      <c r="J204" s="777"/>
      <c r="K204" s="779"/>
      <c r="L204" s="520"/>
    </row>
    <row r="205" spans="1:12" ht="24">
      <c r="A205" s="1091"/>
      <c r="B205" s="1029" t="s">
        <v>134</v>
      </c>
      <c r="C205" s="90" t="s">
        <v>1783</v>
      </c>
      <c r="D205" s="62"/>
      <c r="E205" s="963"/>
      <c r="F205" s="781" t="s">
        <v>185</v>
      </c>
      <c r="G205" s="919"/>
      <c r="H205" s="777"/>
      <c r="I205" s="819"/>
      <c r="J205" s="777"/>
      <c r="K205" s="779"/>
      <c r="L205" s="520"/>
    </row>
    <row r="206" spans="1:12" ht="24">
      <c r="A206" s="1091"/>
      <c r="B206" s="1029" t="s">
        <v>134</v>
      </c>
      <c r="C206" s="90" t="s">
        <v>1784</v>
      </c>
      <c r="D206" s="62"/>
      <c r="E206" s="963"/>
      <c r="F206" s="781" t="s">
        <v>185</v>
      </c>
      <c r="G206" s="919"/>
      <c r="H206" s="777"/>
      <c r="I206" s="819"/>
      <c r="J206" s="777"/>
      <c r="K206" s="779"/>
      <c r="L206" s="520"/>
    </row>
    <row r="207" spans="1:12" ht="24">
      <c r="A207" s="1091"/>
      <c r="B207" s="1029" t="s">
        <v>134</v>
      </c>
      <c r="C207" s="90" t="s">
        <v>1785</v>
      </c>
      <c r="D207" s="62"/>
      <c r="E207" s="963"/>
      <c r="F207" s="781" t="s">
        <v>185</v>
      </c>
      <c r="G207" s="919"/>
      <c r="H207" s="777"/>
      <c r="I207" s="819"/>
      <c r="J207" s="777"/>
      <c r="K207" s="779"/>
      <c r="L207" s="520"/>
    </row>
    <row r="208" spans="1:12" ht="24">
      <c r="A208" s="1091"/>
      <c r="B208" s="1040" t="s">
        <v>134</v>
      </c>
      <c r="C208" s="90" t="s">
        <v>1786</v>
      </c>
      <c r="D208" s="62"/>
      <c r="E208" s="963"/>
      <c r="F208" s="781" t="s">
        <v>185</v>
      </c>
      <c r="G208" s="919"/>
      <c r="H208" s="777"/>
      <c r="I208" s="819"/>
      <c r="J208" s="777"/>
      <c r="K208" s="779"/>
      <c r="L208" s="520"/>
    </row>
    <row r="209" spans="1:12" ht="24">
      <c r="A209" s="1091"/>
      <c r="B209" s="1040" t="s">
        <v>134</v>
      </c>
      <c r="C209" s="90" t="s">
        <v>1787</v>
      </c>
      <c r="D209" s="62"/>
      <c r="E209" s="963"/>
      <c r="F209" s="781" t="s">
        <v>185</v>
      </c>
      <c r="G209" s="919"/>
      <c r="H209" s="777"/>
      <c r="I209" s="819"/>
      <c r="J209" s="777"/>
      <c r="K209" s="779"/>
      <c r="L209" s="520"/>
    </row>
    <row r="210" spans="1:12" ht="24">
      <c r="A210" s="1091"/>
      <c r="B210" s="1053" t="s">
        <v>134</v>
      </c>
      <c r="C210" s="408" t="s">
        <v>1788</v>
      </c>
      <c r="D210" s="417"/>
      <c r="E210" s="851"/>
      <c r="F210" s="742" t="s">
        <v>185</v>
      </c>
      <c r="G210" s="919"/>
      <c r="H210" s="753"/>
      <c r="I210" s="812"/>
      <c r="J210" s="753"/>
      <c r="K210" s="758"/>
      <c r="L210" s="520"/>
    </row>
    <row r="211" spans="1:12" ht="24">
      <c r="A211" s="1091" t="s">
        <v>1989</v>
      </c>
      <c r="B211" s="1054" t="s">
        <v>1790</v>
      </c>
      <c r="C211" s="90"/>
      <c r="D211" s="62"/>
      <c r="E211" s="158"/>
      <c r="F211" s="159"/>
      <c r="G211" s="156"/>
      <c r="H211" s="161"/>
      <c r="I211" s="156"/>
      <c r="J211" s="161"/>
      <c r="K211" s="159"/>
      <c r="L211" s="520"/>
    </row>
    <row r="212" spans="1:12" ht="24">
      <c r="A212" s="1091"/>
      <c r="B212" s="1053" t="s">
        <v>134</v>
      </c>
      <c r="C212" s="408" t="s">
        <v>1791</v>
      </c>
      <c r="D212" s="417"/>
      <c r="E212" s="851"/>
      <c r="F212" s="742" t="s">
        <v>185</v>
      </c>
      <c r="G212" s="812"/>
      <c r="H212" s="753"/>
      <c r="I212" s="812"/>
      <c r="J212" s="753"/>
      <c r="K212" s="758"/>
      <c r="L212" s="520"/>
    </row>
    <row r="213" spans="1:12" ht="24">
      <c r="A213" s="1091"/>
      <c r="B213" s="1029" t="s">
        <v>134</v>
      </c>
      <c r="C213" s="90" t="s">
        <v>1792</v>
      </c>
      <c r="D213" s="62"/>
      <c r="E213" s="963"/>
      <c r="F213" s="781" t="s">
        <v>185</v>
      </c>
      <c r="G213" s="919"/>
      <c r="H213" s="777"/>
      <c r="I213" s="819"/>
      <c r="J213" s="777"/>
      <c r="K213" s="779"/>
      <c r="L213" s="520"/>
    </row>
    <row r="214" spans="1:12" ht="24">
      <c r="A214" s="1091"/>
      <c r="B214" s="1053" t="s">
        <v>134</v>
      </c>
      <c r="C214" s="408" t="s">
        <v>1793</v>
      </c>
      <c r="D214" s="417"/>
      <c r="E214" s="851"/>
      <c r="F214" s="742" t="s">
        <v>185</v>
      </c>
      <c r="G214" s="812"/>
      <c r="H214" s="753"/>
      <c r="I214" s="812"/>
      <c r="J214" s="753"/>
      <c r="K214" s="758"/>
      <c r="L214" s="520"/>
    </row>
    <row r="215" spans="1:12" ht="24">
      <c r="A215" s="1091"/>
      <c r="B215" s="1053" t="s">
        <v>134</v>
      </c>
      <c r="C215" s="408" t="s">
        <v>1794</v>
      </c>
      <c r="D215" s="417"/>
      <c r="E215" s="851"/>
      <c r="F215" s="742" t="s">
        <v>185</v>
      </c>
      <c r="G215" s="812"/>
      <c r="H215" s="753"/>
      <c r="I215" s="812"/>
      <c r="J215" s="753"/>
      <c r="K215" s="758"/>
      <c r="L215" s="520"/>
    </row>
    <row r="216" spans="1:12" ht="24">
      <c r="A216" s="1091" t="s">
        <v>1990</v>
      </c>
      <c r="B216" s="1054" t="s">
        <v>1796</v>
      </c>
      <c r="C216" s="90"/>
      <c r="D216" s="62"/>
      <c r="E216" s="963"/>
      <c r="F216" s="781"/>
      <c r="G216" s="919"/>
      <c r="H216" s="777"/>
      <c r="I216" s="156"/>
      <c r="J216" s="161"/>
      <c r="K216" s="159"/>
      <c r="L216" s="520"/>
    </row>
    <row r="217" spans="1:12" ht="24.75" thickBot="1">
      <c r="A217" s="1091"/>
      <c r="B217" s="1029" t="s">
        <v>134</v>
      </c>
      <c r="C217" s="90" t="s">
        <v>1797</v>
      </c>
      <c r="D217" s="62"/>
      <c r="E217" s="963"/>
      <c r="F217" s="781" t="s">
        <v>185</v>
      </c>
      <c r="G217" s="919"/>
      <c r="H217" s="777"/>
      <c r="I217" s="819"/>
      <c r="J217" s="777"/>
      <c r="K217" s="779"/>
      <c r="L217" s="520"/>
    </row>
    <row r="218" spans="1:12" ht="25.5" thickTop="1" thickBot="1">
      <c r="A218" s="607"/>
      <c r="B218" s="2121" t="s">
        <v>1991</v>
      </c>
      <c r="C218" s="2122"/>
      <c r="D218" s="2123"/>
      <c r="E218" s="1141"/>
      <c r="F218" s="609"/>
      <c r="G218" s="610"/>
      <c r="H218" s="518"/>
      <c r="I218" s="611"/>
      <c r="J218" s="518"/>
      <c r="K218" s="518"/>
      <c r="L218" s="74"/>
    </row>
    <row r="219" spans="1:12" ht="24.75" thickTop="1">
      <c r="A219" s="607"/>
      <c r="B219" s="2121" t="s">
        <v>1992</v>
      </c>
      <c r="C219" s="2122"/>
      <c r="D219" s="2123"/>
      <c r="E219" s="1141"/>
      <c r="F219" s="609"/>
      <c r="G219" s="610"/>
      <c r="H219" s="518"/>
      <c r="I219" s="611"/>
      <c r="J219" s="518"/>
      <c r="K219" s="518"/>
      <c r="L219" s="74"/>
    </row>
    <row r="220" spans="1:12" ht="24">
      <c r="A220" s="1000">
        <v>8.4</v>
      </c>
      <c r="B220" s="931" t="s">
        <v>2456</v>
      </c>
      <c r="C220" s="899"/>
      <c r="D220" s="794"/>
      <c r="E220" s="789"/>
      <c r="F220" s="1653"/>
      <c r="G220" s="1656"/>
      <c r="H220" s="1657"/>
      <c r="I220" s="1656"/>
      <c r="J220" s="1658"/>
      <c r="K220" s="1654"/>
      <c r="L220" s="1655"/>
    </row>
    <row r="221" spans="1:12" ht="24">
      <c r="A221" s="1000" t="s">
        <v>2454</v>
      </c>
      <c r="B221" s="932" t="s">
        <v>2458</v>
      </c>
      <c r="C221" s="899"/>
      <c r="D221" s="794"/>
      <c r="E221" s="789"/>
      <c r="F221" s="1653"/>
      <c r="G221" s="1656"/>
      <c r="H221" s="1657"/>
      <c r="I221" s="1656"/>
      <c r="J221" s="1658"/>
      <c r="K221" s="1654"/>
      <c r="L221" s="1655"/>
    </row>
    <row r="222" spans="1:12" ht="24">
      <c r="A222" s="883" t="s">
        <v>2459</v>
      </c>
      <c r="B222" s="932" t="s">
        <v>1339</v>
      </c>
      <c r="C222" s="89"/>
      <c r="D222" s="1393"/>
      <c r="E222" s="742"/>
      <c r="F222" s="787"/>
      <c r="G222" s="778"/>
      <c r="H222" s="900"/>
      <c r="I222" s="778"/>
      <c r="J222" s="900"/>
      <c r="K222" s="901"/>
      <c r="L222" s="933"/>
    </row>
    <row r="223" spans="1:12" ht="24">
      <c r="A223" s="883"/>
      <c r="B223" s="932" t="s">
        <v>1340</v>
      </c>
      <c r="C223" s="89"/>
      <c r="D223" s="742"/>
      <c r="E223" s="742"/>
      <c r="F223" s="787" t="s">
        <v>185</v>
      </c>
      <c r="G223" s="778"/>
      <c r="H223" s="900"/>
      <c r="I223" s="778"/>
      <c r="J223" s="900"/>
      <c r="K223" s="901"/>
      <c r="L223" s="933"/>
    </row>
    <row r="224" spans="1:12" ht="24">
      <c r="A224" s="883" t="s">
        <v>2460</v>
      </c>
      <c r="B224" s="932" t="s">
        <v>1342</v>
      </c>
      <c r="C224" s="89"/>
      <c r="D224" s="742"/>
      <c r="E224" s="742"/>
      <c r="F224" s="787" t="s">
        <v>185</v>
      </c>
      <c r="G224" s="778"/>
      <c r="H224" s="900"/>
      <c r="I224" s="778"/>
      <c r="J224" s="900"/>
      <c r="K224" s="901"/>
      <c r="L224" s="934"/>
    </row>
    <row r="225" spans="1:12" ht="24">
      <c r="A225" s="883" t="s">
        <v>2461</v>
      </c>
      <c r="B225" s="932" t="s">
        <v>1344</v>
      </c>
      <c r="C225" s="89"/>
      <c r="D225" s="742"/>
      <c r="E225" s="742"/>
      <c r="F225" s="787" t="s">
        <v>1112</v>
      </c>
      <c r="G225" s="778"/>
      <c r="H225" s="900"/>
      <c r="I225" s="778"/>
      <c r="J225" s="900"/>
      <c r="K225" s="901"/>
      <c r="L225" s="934"/>
    </row>
    <row r="226" spans="1:12" ht="24">
      <c r="A226" s="883" t="s">
        <v>2462</v>
      </c>
      <c r="B226" s="932" t="s">
        <v>1346</v>
      </c>
      <c r="C226" s="89"/>
      <c r="D226" s="742"/>
      <c r="E226" s="742"/>
      <c r="F226" s="787"/>
      <c r="G226" s="778"/>
      <c r="H226" s="900"/>
      <c r="I226" s="778"/>
      <c r="J226" s="900"/>
      <c r="K226" s="901"/>
      <c r="L226" s="934"/>
    </row>
    <row r="227" spans="1:12" ht="24">
      <c r="A227" s="883" t="s">
        <v>2463</v>
      </c>
      <c r="B227" s="935" t="s">
        <v>2453</v>
      </c>
      <c r="C227" s="89"/>
      <c r="D227" s="742"/>
      <c r="E227" s="742"/>
      <c r="F227" s="787"/>
      <c r="G227" s="778"/>
      <c r="H227" s="900"/>
      <c r="I227" s="778"/>
      <c r="J227" s="900"/>
      <c r="K227" s="901"/>
      <c r="L227" s="934"/>
    </row>
    <row r="228" spans="1:12" ht="24">
      <c r="A228" s="883"/>
      <c r="B228" s="932" t="s">
        <v>1349</v>
      </c>
      <c r="C228" s="89"/>
      <c r="D228" s="742"/>
      <c r="E228" s="742"/>
      <c r="F228" s="787" t="s">
        <v>185</v>
      </c>
      <c r="G228" s="778"/>
      <c r="H228" s="900"/>
      <c r="I228" s="1659"/>
      <c r="J228" s="900"/>
      <c r="K228" s="901"/>
      <c r="L228" s="905"/>
    </row>
    <row r="229" spans="1:12" ht="24">
      <c r="A229" s="883" t="s">
        <v>2464</v>
      </c>
      <c r="B229" s="935" t="s">
        <v>1234</v>
      </c>
      <c r="C229" s="89"/>
      <c r="D229" s="742"/>
      <c r="E229" s="742"/>
      <c r="F229" s="787" t="s">
        <v>1112</v>
      </c>
      <c r="G229" s="819"/>
      <c r="H229" s="900"/>
      <c r="I229" s="778"/>
      <c r="J229" s="900"/>
      <c r="K229" s="901"/>
      <c r="L229" s="934"/>
    </row>
    <row r="230" spans="1:12" ht="24">
      <c r="A230" s="883" t="s">
        <v>2465</v>
      </c>
      <c r="B230" s="935" t="s">
        <v>1352</v>
      </c>
      <c r="C230" s="89"/>
      <c r="D230" s="742"/>
      <c r="E230" s="742"/>
      <c r="F230" s="787" t="s">
        <v>1112</v>
      </c>
      <c r="G230" s="778"/>
      <c r="H230" s="900"/>
      <c r="I230" s="778"/>
      <c r="J230" s="900"/>
      <c r="K230" s="901"/>
      <c r="L230" s="934"/>
    </row>
    <row r="231" spans="1:12" ht="24">
      <c r="A231" s="785" t="s">
        <v>2509</v>
      </c>
      <c r="B231" s="935" t="s">
        <v>2510</v>
      </c>
      <c r="C231" s="89"/>
      <c r="D231" s="742"/>
      <c r="E231" s="742"/>
      <c r="F231" s="1908" t="s">
        <v>185</v>
      </c>
      <c r="G231" s="790"/>
      <c r="H231" s="900"/>
      <c r="I231" s="778"/>
      <c r="J231" s="900"/>
      <c r="K231" s="901"/>
      <c r="L231" s="934"/>
    </row>
    <row r="232" spans="1:12" ht="24">
      <c r="A232" s="785"/>
      <c r="B232" s="935" t="s">
        <v>2511</v>
      </c>
      <c r="C232" s="1909"/>
      <c r="D232" s="1910"/>
      <c r="E232" s="1910"/>
      <c r="F232" s="1911"/>
      <c r="G232" s="879"/>
      <c r="H232" s="1912"/>
      <c r="I232" s="1913"/>
      <c r="J232" s="1912"/>
      <c r="K232" s="1914"/>
      <c r="L232" s="1915"/>
    </row>
    <row r="233" spans="1:12" ht="24">
      <c r="A233" s="785"/>
      <c r="B233" s="935" t="s">
        <v>2512</v>
      </c>
      <c r="C233" s="1909"/>
      <c r="D233" s="1910"/>
      <c r="E233" s="1910"/>
      <c r="F233" s="1911"/>
      <c r="G233" s="879"/>
      <c r="H233" s="1912"/>
      <c r="I233" s="1913"/>
      <c r="J233" s="1912"/>
      <c r="K233" s="1914"/>
      <c r="L233" s="1915"/>
    </row>
    <row r="234" spans="1:12" ht="24">
      <c r="A234" s="785"/>
      <c r="B234" s="935"/>
      <c r="C234" s="1909"/>
      <c r="D234" s="1910"/>
      <c r="E234" s="1910"/>
      <c r="F234" s="1911"/>
      <c r="G234" s="879"/>
      <c r="H234" s="1912"/>
      <c r="I234" s="1913"/>
      <c r="J234" s="1912"/>
      <c r="K234" s="1914"/>
      <c r="L234" s="1915"/>
    </row>
    <row r="235" spans="1:12" ht="24">
      <c r="A235" s="785"/>
      <c r="B235" s="935"/>
      <c r="C235" s="1909"/>
      <c r="D235" s="1910"/>
      <c r="E235" s="1910"/>
      <c r="F235" s="1911"/>
      <c r="G235" s="879"/>
      <c r="H235" s="1912"/>
      <c r="I235" s="1913"/>
      <c r="J235" s="1912"/>
      <c r="K235" s="1914"/>
      <c r="L235" s="1915"/>
    </row>
    <row r="236" spans="1:12" ht="24.75" thickBot="1">
      <c r="A236" s="883"/>
      <c r="B236" s="898"/>
      <c r="C236" s="1651"/>
      <c r="D236" s="1652"/>
      <c r="E236" s="1662"/>
      <c r="F236" s="1663"/>
      <c r="G236" s="885"/>
      <c r="H236" s="1664"/>
      <c r="I236" s="885"/>
      <c r="J236" s="1665"/>
      <c r="K236" s="1666"/>
      <c r="L236" s="1666"/>
    </row>
    <row r="237" spans="1:12" ht="24.75" thickTop="1">
      <c r="A237" s="607"/>
      <c r="B237" s="2121" t="s">
        <v>2455</v>
      </c>
      <c r="C237" s="2122"/>
      <c r="D237" s="2123"/>
      <c r="E237" s="1332"/>
      <c r="F237" s="657"/>
      <c r="G237" s="610"/>
      <c r="H237" s="518"/>
      <c r="I237" s="1141"/>
      <c r="J237" s="1671"/>
      <c r="K237" s="1660"/>
      <c r="L237" s="1661"/>
    </row>
    <row r="238" spans="1:12" ht="24">
      <c r="A238" s="104">
        <v>8.5</v>
      </c>
      <c r="B238" s="2127" t="s">
        <v>2467</v>
      </c>
      <c r="C238" s="2128"/>
      <c r="D238" s="2129"/>
      <c r="E238" s="105"/>
      <c r="F238" s="106"/>
      <c r="G238" s="1670"/>
      <c r="H238" s="117"/>
      <c r="I238" s="1672"/>
      <c r="J238" s="1673"/>
      <c r="K238" s="63"/>
      <c r="L238" s="107"/>
    </row>
    <row r="239" spans="1:12" ht="24.75" thickBot="1">
      <c r="A239" s="140" t="s">
        <v>2466</v>
      </c>
      <c r="B239" s="1484" t="s">
        <v>2468</v>
      </c>
      <c r="C239" s="61"/>
      <c r="D239" s="55"/>
      <c r="E239" s="1669"/>
      <c r="F239" s="605" t="s">
        <v>185</v>
      </c>
      <c r="G239" s="602"/>
      <c r="H239" s="603"/>
      <c r="I239" s="1674"/>
      <c r="J239" s="214"/>
      <c r="K239" s="605"/>
      <c r="L239" s="606"/>
    </row>
    <row r="240" spans="1:12" ht="24.75" thickTop="1">
      <c r="A240" s="607"/>
      <c r="B240" s="2121" t="s">
        <v>2469</v>
      </c>
      <c r="C240" s="2122"/>
      <c r="D240" s="2123"/>
      <c r="E240" s="1332"/>
      <c r="F240" s="657"/>
      <c r="G240" s="658"/>
      <c r="H240" s="1660"/>
      <c r="I240" s="1332"/>
      <c r="J240" s="1660"/>
      <c r="K240" s="1660"/>
      <c r="L240" s="1661"/>
    </row>
  </sheetData>
  <mergeCells count="22">
    <mergeCell ref="B116:D116"/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1:D31"/>
    <mergeCell ref="B72:D72"/>
    <mergeCell ref="B114:D114"/>
    <mergeCell ref="B240:D240"/>
    <mergeCell ref="B237:D237"/>
    <mergeCell ref="B238:D238"/>
    <mergeCell ref="B135:D135"/>
    <mergeCell ref="B218:D218"/>
    <mergeCell ref="B219:D219"/>
  </mergeCells>
  <printOptions horizontalCentered="1"/>
  <pageMargins left="0" right="0" top="0.35433070866141736" bottom="0.35433070866141736" header="0.31496062992125984" footer="0.19685039370078741"/>
  <pageSetup paperSize="9" scale="80" orientation="landscape" r:id="rId1"/>
  <headerFooter>
    <oddHeader xml:space="preserve">&amp;Rแผ่นที่ &amp;P ใน &amp;N แผ่น                 </oddHeader>
    <oddFooter xml:space="preserve">&amp;Rงานครุภัณฑ์จัดซื้อหรือสั่งซื้อ - อาคารส่วนบริการและกิจกรรม             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AR53"/>
  <sheetViews>
    <sheetView showGridLines="0" view="pageBreakPreview" topLeftCell="B1" zoomScaleNormal="90" zoomScaleSheetLayoutView="100" workbookViewId="0">
      <selection activeCell="F18" sqref="F18"/>
    </sheetView>
  </sheetViews>
  <sheetFormatPr defaultRowHeight="24"/>
  <cols>
    <col min="1" max="1" width="16.28515625" style="1579" customWidth="1"/>
    <col min="2" max="2" width="7.140625" style="1579" customWidth="1"/>
    <col min="3" max="3" width="17.42578125" style="1579" customWidth="1"/>
    <col min="4" max="4" width="78.42578125" style="1579" customWidth="1"/>
    <col min="5" max="5" width="32.85546875" style="1579" customWidth="1"/>
    <col min="6" max="42" width="28" style="1579" customWidth="1"/>
    <col min="43" max="43" width="0" style="1579" hidden="1" customWidth="1"/>
    <col min="44" max="44" width="10.7109375" style="1579" hidden="1" customWidth="1"/>
    <col min="45" max="16384" width="9.140625" style="1579"/>
  </cols>
  <sheetData>
    <row r="1" spans="1:44">
      <c r="A1" s="1759"/>
      <c r="B1" s="1760"/>
      <c r="C1" s="1759"/>
      <c r="D1" s="1759"/>
      <c r="E1" s="1892" t="s">
        <v>61</v>
      </c>
      <c r="F1" s="1893" t="s">
        <v>489</v>
      </c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  <c r="AP1" s="1893"/>
    </row>
    <row r="2" spans="1:44">
      <c r="A2" s="1943" t="s">
        <v>56</v>
      </c>
      <c r="B2" s="1943"/>
      <c r="C2" s="1943"/>
      <c r="D2" s="1943"/>
      <c r="E2" s="1943"/>
      <c r="F2" s="1943"/>
      <c r="G2" s="1747"/>
      <c r="H2" s="1747"/>
      <c r="I2" s="1747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747"/>
      <c r="V2" s="1747"/>
      <c r="W2" s="1747"/>
      <c r="X2" s="1747"/>
      <c r="Y2" s="1747"/>
      <c r="Z2" s="1747"/>
      <c r="AA2" s="1747"/>
      <c r="AB2" s="1747"/>
      <c r="AC2" s="1747"/>
      <c r="AD2" s="1747"/>
      <c r="AE2" s="1747"/>
      <c r="AF2" s="1747"/>
      <c r="AG2" s="1747"/>
      <c r="AH2" s="1747"/>
      <c r="AI2" s="1747"/>
      <c r="AJ2" s="1747"/>
      <c r="AK2" s="1747"/>
      <c r="AL2" s="1747"/>
      <c r="AM2" s="1747"/>
      <c r="AN2" s="1747"/>
      <c r="AO2" s="1747"/>
      <c r="AP2" s="1747"/>
    </row>
    <row r="3" spans="1:44">
      <c r="A3" s="1716" t="s">
        <v>57</v>
      </c>
      <c r="B3" s="1763"/>
      <c r="C3" s="1749"/>
      <c r="D3" s="1749" t="s">
        <v>484</v>
      </c>
      <c r="E3" s="1764"/>
      <c r="F3" s="1764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5"/>
      <c r="AM3" s="1765"/>
      <c r="AN3" s="1765"/>
      <c r="AO3" s="1765"/>
      <c r="AP3" s="1765"/>
    </row>
    <row r="4" spans="1:44">
      <c r="A4" s="1696" t="s">
        <v>5</v>
      </c>
      <c r="B4" s="1766"/>
      <c r="C4" s="1641"/>
      <c r="D4" s="1641" t="s">
        <v>478</v>
      </c>
      <c r="E4" s="1767"/>
      <c r="F4" s="1768" t="s">
        <v>1993</v>
      </c>
      <c r="G4" s="1769"/>
      <c r="H4" s="1769"/>
      <c r="I4" s="1769"/>
      <c r="J4" s="1769"/>
      <c r="K4" s="1769"/>
      <c r="L4" s="1769"/>
      <c r="M4" s="1769"/>
      <c r="N4" s="1769"/>
      <c r="O4" s="1769"/>
      <c r="P4" s="1769"/>
      <c r="Q4" s="1769"/>
      <c r="R4" s="1769"/>
      <c r="S4" s="1769"/>
      <c r="T4" s="1769"/>
      <c r="U4" s="1769"/>
      <c r="V4" s="1769"/>
      <c r="W4" s="1769"/>
      <c r="X4" s="1769"/>
      <c r="Y4" s="1769"/>
      <c r="Z4" s="1769"/>
      <c r="AA4" s="1769"/>
      <c r="AB4" s="1769"/>
      <c r="AC4" s="1769"/>
      <c r="AD4" s="1769"/>
      <c r="AE4" s="1769"/>
      <c r="AF4" s="1769"/>
      <c r="AG4" s="1769"/>
      <c r="AH4" s="1769"/>
      <c r="AI4" s="1769"/>
      <c r="AJ4" s="1769"/>
      <c r="AK4" s="1769"/>
      <c r="AL4" s="1769"/>
      <c r="AM4" s="1769"/>
      <c r="AN4" s="1769"/>
      <c r="AO4" s="1769"/>
      <c r="AP4" s="1769"/>
    </row>
    <row r="5" spans="1:44">
      <c r="A5" s="1696" t="s">
        <v>6</v>
      </c>
      <c r="B5" s="1766"/>
      <c r="C5" s="1696"/>
      <c r="D5" s="1696" t="s">
        <v>476</v>
      </c>
      <c r="E5" s="1771"/>
      <c r="F5" s="1894"/>
      <c r="G5" s="1833"/>
      <c r="H5" s="1833"/>
      <c r="I5" s="1833"/>
      <c r="J5" s="1833"/>
      <c r="K5" s="1833"/>
      <c r="L5" s="1833"/>
      <c r="M5" s="1833"/>
      <c r="N5" s="1833"/>
      <c r="O5" s="1833"/>
      <c r="P5" s="1833"/>
      <c r="Q5" s="1833"/>
      <c r="R5" s="1833"/>
      <c r="S5" s="1833"/>
      <c r="T5" s="1833"/>
      <c r="U5" s="1833"/>
      <c r="V5" s="1833"/>
      <c r="W5" s="1833"/>
      <c r="X5" s="1833"/>
      <c r="Y5" s="1833"/>
      <c r="Z5" s="1833"/>
      <c r="AA5" s="1833"/>
      <c r="AB5" s="1833"/>
      <c r="AC5" s="1833"/>
      <c r="AD5" s="1833"/>
      <c r="AE5" s="1833"/>
      <c r="AF5" s="1833"/>
      <c r="AG5" s="1833"/>
      <c r="AH5" s="1833"/>
      <c r="AI5" s="1833"/>
      <c r="AJ5" s="1833"/>
      <c r="AK5" s="1833"/>
      <c r="AL5" s="1833"/>
      <c r="AM5" s="1833"/>
      <c r="AN5" s="1833"/>
      <c r="AO5" s="1833"/>
      <c r="AP5" s="1833"/>
    </row>
    <row r="6" spans="1:44">
      <c r="A6" s="1696" t="s">
        <v>7</v>
      </c>
      <c r="B6" s="1766"/>
      <c r="C6" s="1696"/>
      <c r="D6" s="1754" t="s">
        <v>479</v>
      </c>
      <c r="E6" s="1767"/>
      <c r="F6" s="1767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5"/>
      <c r="S6" s="1765"/>
      <c r="T6" s="1765"/>
      <c r="U6" s="1765"/>
      <c r="V6" s="1765"/>
      <c r="W6" s="1765"/>
      <c r="X6" s="1765"/>
      <c r="Y6" s="1765"/>
      <c r="Z6" s="1765"/>
      <c r="AA6" s="1765"/>
      <c r="AB6" s="1765"/>
      <c r="AC6" s="1765"/>
      <c r="AD6" s="1765"/>
      <c r="AE6" s="1765"/>
      <c r="AF6" s="1765"/>
      <c r="AG6" s="1765"/>
      <c r="AH6" s="1765"/>
      <c r="AI6" s="1765"/>
      <c r="AJ6" s="1765"/>
      <c r="AK6" s="1765"/>
      <c r="AL6" s="1765"/>
      <c r="AM6" s="1765"/>
      <c r="AN6" s="1765"/>
      <c r="AO6" s="1765"/>
      <c r="AP6" s="1765"/>
    </row>
    <row r="7" spans="1:44">
      <c r="A7" s="1696" t="s">
        <v>475</v>
      </c>
      <c r="B7" s="1766"/>
      <c r="C7" s="1775"/>
      <c r="D7" s="1776" t="s">
        <v>185</v>
      </c>
      <c r="E7" s="1767"/>
      <c r="F7" s="1767"/>
      <c r="G7" s="1765"/>
      <c r="H7" s="1765"/>
      <c r="I7" s="1765"/>
      <c r="J7" s="1765"/>
      <c r="K7" s="1765"/>
      <c r="L7" s="1765"/>
      <c r="M7" s="1765"/>
      <c r="N7" s="1765"/>
      <c r="O7" s="1765"/>
      <c r="P7" s="1765"/>
      <c r="Q7" s="1765"/>
      <c r="R7" s="1765"/>
      <c r="S7" s="1765"/>
      <c r="T7" s="1765"/>
      <c r="U7" s="1765"/>
      <c r="V7" s="1765"/>
      <c r="W7" s="1765"/>
      <c r="X7" s="1765"/>
      <c r="Y7" s="1765"/>
      <c r="Z7" s="1765"/>
      <c r="AA7" s="1765"/>
      <c r="AB7" s="1765"/>
      <c r="AC7" s="1765"/>
      <c r="AD7" s="1765"/>
      <c r="AE7" s="1765"/>
      <c r="AF7" s="1765"/>
      <c r="AG7" s="1765"/>
      <c r="AH7" s="1765"/>
      <c r="AI7" s="1765"/>
      <c r="AJ7" s="1765"/>
      <c r="AK7" s="1765"/>
      <c r="AL7" s="1765"/>
      <c r="AM7" s="1765"/>
      <c r="AN7" s="1765"/>
      <c r="AO7" s="1765"/>
      <c r="AP7" s="1765"/>
    </row>
    <row r="8" spans="1:44">
      <c r="A8" s="1641" t="s">
        <v>455</v>
      </c>
      <c r="B8" s="1641"/>
      <c r="C8" s="1777"/>
      <c r="D8" s="1777" t="s">
        <v>486</v>
      </c>
      <c r="E8" s="1767"/>
      <c r="F8" s="2062" t="s">
        <v>491</v>
      </c>
      <c r="G8" s="1778"/>
      <c r="H8" s="1778"/>
      <c r="I8" s="1778"/>
      <c r="J8" s="1778"/>
      <c r="K8" s="1778"/>
      <c r="L8" s="1778"/>
      <c r="M8" s="1778"/>
      <c r="N8" s="1778"/>
      <c r="O8" s="1778"/>
      <c r="P8" s="1778"/>
      <c r="Q8" s="1778"/>
      <c r="R8" s="1778"/>
      <c r="S8" s="1778"/>
      <c r="T8" s="1778"/>
      <c r="U8" s="1778"/>
      <c r="V8" s="1778"/>
      <c r="W8" s="1778"/>
      <c r="X8" s="1778"/>
      <c r="Y8" s="1778"/>
      <c r="Z8" s="1778"/>
      <c r="AA8" s="1778"/>
      <c r="AB8" s="1778"/>
      <c r="AC8" s="1778"/>
      <c r="AD8" s="1778"/>
      <c r="AE8" s="1778"/>
      <c r="AF8" s="1778"/>
      <c r="AG8" s="1778"/>
      <c r="AH8" s="1778"/>
      <c r="AI8" s="1778"/>
      <c r="AJ8" s="1778"/>
      <c r="AK8" s="1778"/>
      <c r="AL8" s="1778"/>
      <c r="AM8" s="1778"/>
      <c r="AN8" s="1778"/>
      <c r="AO8" s="1778"/>
      <c r="AP8" s="1778"/>
    </row>
    <row r="9" spans="1:44" ht="9.75" customHeight="1" thickBot="1">
      <c r="A9" s="1570"/>
      <c r="B9" s="1779"/>
      <c r="C9" s="1780"/>
      <c r="D9" s="1781"/>
      <c r="E9" s="1782"/>
      <c r="F9" s="2063"/>
      <c r="G9" s="1778"/>
      <c r="H9" s="1778"/>
      <c r="I9" s="1778"/>
      <c r="J9" s="1778"/>
      <c r="K9" s="1778"/>
      <c r="L9" s="1778"/>
      <c r="M9" s="1778"/>
      <c r="N9" s="1778"/>
      <c r="O9" s="1778"/>
      <c r="P9" s="1778"/>
      <c r="Q9" s="1778"/>
      <c r="R9" s="1778"/>
      <c r="S9" s="1778"/>
      <c r="T9" s="1778"/>
      <c r="U9" s="1778"/>
      <c r="V9" s="1778"/>
      <c r="W9" s="1778"/>
      <c r="X9" s="1778"/>
      <c r="Y9" s="1778"/>
      <c r="Z9" s="1778"/>
      <c r="AA9" s="1778"/>
      <c r="AB9" s="1778"/>
      <c r="AC9" s="1778"/>
      <c r="AD9" s="1778"/>
      <c r="AE9" s="1778"/>
      <c r="AF9" s="1778"/>
      <c r="AG9" s="1778"/>
      <c r="AH9" s="1778"/>
      <c r="AI9" s="1778"/>
      <c r="AJ9" s="1778"/>
      <c r="AK9" s="1778"/>
      <c r="AL9" s="1778"/>
      <c r="AM9" s="1778"/>
      <c r="AN9" s="1778"/>
      <c r="AO9" s="1778"/>
      <c r="AP9" s="1778"/>
    </row>
    <row r="10" spans="1:44" ht="15" customHeight="1" thickTop="1">
      <c r="A10" s="1945" t="s">
        <v>9</v>
      </c>
      <c r="B10" s="1947" t="s">
        <v>10</v>
      </c>
      <c r="C10" s="1948"/>
      <c r="D10" s="1949"/>
      <c r="E10" s="1953" t="s">
        <v>12</v>
      </c>
      <c r="F10" s="1953" t="s">
        <v>13</v>
      </c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8"/>
      <c r="V10" s="1748"/>
      <c r="W10" s="1748"/>
      <c r="X10" s="1748"/>
      <c r="Y10" s="1748"/>
      <c r="Z10" s="1748"/>
      <c r="AA10" s="1748"/>
      <c r="AB10" s="1748"/>
      <c r="AC10" s="1748"/>
      <c r="AD10" s="1748"/>
      <c r="AE10" s="1748"/>
      <c r="AF10" s="1748"/>
      <c r="AG10" s="1748"/>
      <c r="AH10" s="1748"/>
      <c r="AI10" s="1748"/>
      <c r="AJ10" s="1748"/>
      <c r="AK10" s="1748"/>
      <c r="AL10" s="1748"/>
      <c r="AM10" s="1748"/>
      <c r="AN10" s="1748"/>
      <c r="AO10" s="1748"/>
      <c r="AP10" s="1748"/>
    </row>
    <row r="11" spans="1:44" ht="18" customHeight="1" thickBot="1">
      <c r="A11" s="1946"/>
      <c r="B11" s="1950"/>
      <c r="C11" s="1951"/>
      <c r="D11" s="1952"/>
      <c r="E11" s="1954"/>
      <c r="F11" s="1954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8"/>
      <c r="V11" s="1748"/>
      <c r="W11" s="1748"/>
      <c r="X11" s="1748"/>
      <c r="Y11" s="1748"/>
      <c r="Z11" s="1748"/>
      <c r="AA11" s="1748"/>
      <c r="AB11" s="1748"/>
      <c r="AC11" s="1748"/>
      <c r="AD11" s="1748"/>
      <c r="AE11" s="1748"/>
      <c r="AF11" s="1748"/>
      <c r="AG11" s="1748"/>
      <c r="AH11" s="1748"/>
      <c r="AI11" s="1748"/>
      <c r="AJ11" s="1748"/>
      <c r="AK11" s="1748"/>
      <c r="AL11" s="1748"/>
      <c r="AM11" s="1748"/>
      <c r="AN11" s="1748"/>
      <c r="AO11" s="1748"/>
      <c r="AP11" s="1748"/>
    </row>
    <row r="12" spans="1:44" ht="24.75" thickTop="1">
      <c r="A12" s="1783" t="s">
        <v>14</v>
      </c>
      <c r="B12" s="2057" t="s">
        <v>15</v>
      </c>
      <c r="C12" s="2058"/>
      <c r="D12" s="2059"/>
      <c r="E12" s="1784"/>
      <c r="F12" s="1784"/>
      <c r="G12" s="1748"/>
      <c r="H12" s="1748"/>
      <c r="I12" s="1748"/>
      <c r="J12" s="1748"/>
      <c r="K12" s="1748"/>
      <c r="L12" s="1748"/>
      <c r="M12" s="1748"/>
      <c r="N12" s="1748"/>
      <c r="O12" s="1748"/>
      <c r="P12" s="1748"/>
      <c r="Q12" s="1748"/>
      <c r="R12" s="1748"/>
      <c r="S12" s="1748"/>
      <c r="T12" s="1748"/>
      <c r="U12" s="1748"/>
      <c r="V12" s="1748"/>
      <c r="W12" s="1748"/>
      <c r="X12" s="1748"/>
      <c r="Y12" s="1748"/>
      <c r="Z12" s="1748"/>
      <c r="AA12" s="1748"/>
      <c r="AB12" s="1748"/>
      <c r="AC12" s="1748"/>
      <c r="AD12" s="1748"/>
      <c r="AE12" s="1748"/>
      <c r="AF12" s="1748"/>
      <c r="AG12" s="1748"/>
      <c r="AH12" s="1748"/>
      <c r="AI12" s="1748"/>
      <c r="AJ12" s="1748"/>
      <c r="AK12" s="1748"/>
      <c r="AL12" s="1748"/>
      <c r="AM12" s="1748"/>
      <c r="AN12" s="1748"/>
      <c r="AO12" s="1748"/>
      <c r="AP12" s="1748"/>
    </row>
    <row r="13" spans="1:44">
      <c r="A13" s="1785"/>
      <c r="B13" s="1786" t="s">
        <v>16</v>
      </c>
      <c r="C13" s="1751" t="s">
        <v>17</v>
      </c>
      <c r="D13" s="1787"/>
      <c r="E13" s="1788"/>
      <c r="F13" s="1789"/>
      <c r="G13" s="1790"/>
      <c r="H13" s="1790"/>
      <c r="I13" s="1790"/>
      <c r="J13" s="1790"/>
      <c r="K13" s="1790"/>
      <c r="L13" s="1790"/>
      <c r="M13" s="1790"/>
      <c r="N13" s="1790"/>
      <c r="O13" s="1790"/>
      <c r="P13" s="1790"/>
      <c r="Q13" s="1790"/>
      <c r="R13" s="1790"/>
      <c r="S13" s="1790"/>
      <c r="T13" s="1790"/>
      <c r="U13" s="1790"/>
      <c r="V13" s="1790"/>
      <c r="W13" s="1790"/>
      <c r="X13" s="1790"/>
      <c r="Y13" s="1790"/>
      <c r="Z13" s="1790"/>
      <c r="AA13" s="1790"/>
      <c r="AB13" s="1790"/>
      <c r="AC13" s="1790"/>
      <c r="AD13" s="1790"/>
      <c r="AE13" s="1790"/>
      <c r="AF13" s="1790"/>
      <c r="AG13" s="1790"/>
      <c r="AH13" s="1790"/>
      <c r="AI13" s="1790"/>
      <c r="AJ13" s="1790"/>
      <c r="AK13" s="1790"/>
      <c r="AL13" s="1790"/>
      <c r="AM13" s="1790"/>
      <c r="AN13" s="1790"/>
      <c r="AO13" s="1790"/>
      <c r="AP13" s="1790"/>
    </row>
    <row r="14" spans="1:44">
      <c r="A14" s="1640"/>
      <c r="B14" s="1791" t="s">
        <v>72</v>
      </c>
      <c r="C14" s="1641" t="s">
        <v>492</v>
      </c>
      <c r="D14" s="1749"/>
      <c r="E14" s="1792"/>
      <c r="F14" s="1793"/>
      <c r="G14" s="1790"/>
      <c r="H14" s="1790"/>
      <c r="I14" s="1790"/>
      <c r="J14" s="1790"/>
      <c r="K14" s="1790"/>
      <c r="L14" s="1790"/>
      <c r="M14" s="1790"/>
      <c r="N14" s="1790"/>
      <c r="O14" s="1790"/>
      <c r="P14" s="1790"/>
      <c r="Q14" s="1790"/>
      <c r="R14" s="1790"/>
      <c r="S14" s="1790"/>
      <c r="T14" s="1790"/>
      <c r="U14" s="1790"/>
      <c r="V14" s="1790"/>
      <c r="W14" s="1790"/>
      <c r="X14" s="1790"/>
      <c r="Y14" s="1790"/>
      <c r="Z14" s="1790"/>
      <c r="AA14" s="1790"/>
      <c r="AB14" s="1790"/>
      <c r="AC14" s="1790"/>
      <c r="AD14" s="1790"/>
      <c r="AE14" s="1790"/>
      <c r="AF14" s="1790"/>
      <c r="AG14" s="1790"/>
      <c r="AH14" s="1790"/>
      <c r="AI14" s="1790"/>
      <c r="AJ14" s="1790"/>
      <c r="AK14" s="1790"/>
      <c r="AL14" s="1790"/>
      <c r="AM14" s="1790"/>
      <c r="AN14" s="1790"/>
      <c r="AO14" s="1790"/>
      <c r="AP14" s="1790"/>
      <c r="AQ14" s="1794">
        <v>3329.91</v>
      </c>
      <c r="AR14" s="1795">
        <f>E14/AQ14</f>
        <v>0</v>
      </c>
    </row>
    <row r="15" spans="1:44">
      <c r="A15" s="1640"/>
      <c r="B15" s="1791" t="s">
        <v>72</v>
      </c>
      <c r="C15" s="1641" t="s">
        <v>29</v>
      </c>
      <c r="D15" s="1749"/>
      <c r="E15" s="1792"/>
      <c r="F15" s="1793"/>
      <c r="G15" s="1790"/>
      <c r="H15" s="1790"/>
      <c r="I15" s="1790"/>
      <c r="J15" s="1790"/>
      <c r="K15" s="1790"/>
      <c r="L15" s="1790"/>
      <c r="M15" s="1790"/>
      <c r="N15" s="1790"/>
      <c r="O15" s="1790"/>
      <c r="P15" s="1790"/>
      <c r="Q15" s="1790"/>
      <c r="R15" s="1790"/>
      <c r="S15" s="1790"/>
      <c r="T15" s="1790"/>
      <c r="U15" s="1790"/>
      <c r="V15" s="1790"/>
      <c r="W15" s="1790"/>
      <c r="X15" s="1790"/>
      <c r="Y15" s="1790"/>
      <c r="Z15" s="1790"/>
      <c r="AA15" s="1790"/>
      <c r="AB15" s="1790"/>
      <c r="AC15" s="1790"/>
      <c r="AD15" s="1790"/>
      <c r="AE15" s="1790"/>
      <c r="AF15" s="1790"/>
      <c r="AG15" s="1790"/>
      <c r="AH15" s="1790"/>
      <c r="AI15" s="1790"/>
      <c r="AJ15" s="1790"/>
      <c r="AK15" s="1790"/>
      <c r="AL15" s="1790"/>
      <c r="AM15" s="1790"/>
      <c r="AN15" s="1790"/>
      <c r="AO15" s="1790"/>
      <c r="AP15" s="1790"/>
      <c r="AQ15" s="1794">
        <v>3329.91</v>
      </c>
      <c r="AR15" s="1795">
        <f t="shared" ref="AR15:AR18" si="0">E15/AQ15</f>
        <v>0</v>
      </c>
    </row>
    <row r="16" spans="1:44">
      <c r="A16" s="1640"/>
      <c r="B16" s="1791" t="s">
        <v>72</v>
      </c>
      <c r="C16" s="1641" t="s">
        <v>493</v>
      </c>
      <c r="D16" s="1749"/>
      <c r="E16" s="1792"/>
      <c r="F16" s="1793"/>
      <c r="G16" s="1790"/>
      <c r="H16" s="1790"/>
      <c r="I16" s="1790"/>
      <c r="J16" s="1790"/>
      <c r="K16" s="1790"/>
      <c r="L16" s="1790"/>
      <c r="M16" s="1790"/>
      <c r="N16" s="1790"/>
      <c r="O16" s="1790"/>
      <c r="P16" s="1790"/>
      <c r="Q16" s="1790"/>
      <c r="R16" s="1790"/>
      <c r="S16" s="1790"/>
      <c r="T16" s="1790"/>
      <c r="U16" s="1790"/>
      <c r="V16" s="1790"/>
      <c r="W16" s="1790"/>
      <c r="X16" s="1790"/>
      <c r="Y16" s="1790"/>
      <c r="Z16" s="1790"/>
      <c r="AA16" s="1790"/>
      <c r="AB16" s="1790"/>
      <c r="AC16" s="1790"/>
      <c r="AD16" s="1790"/>
      <c r="AE16" s="1790"/>
      <c r="AF16" s="1790"/>
      <c r="AG16" s="1790"/>
      <c r="AH16" s="1790"/>
      <c r="AI16" s="1790"/>
      <c r="AJ16" s="1790"/>
      <c r="AK16" s="1790"/>
      <c r="AL16" s="1790"/>
      <c r="AM16" s="1790"/>
      <c r="AN16" s="1790"/>
      <c r="AO16" s="1790"/>
      <c r="AP16" s="1790"/>
      <c r="AQ16" s="1794">
        <v>3329.91</v>
      </c>
      <c r="AR16" s="1795">
        <f t="shared" si="0"/>
        <v>0</v>
      </c>
    </row>
    <row r="17" spans="1:44">
      <c r="A17" s="1640"/>
      <c r="B17" s="1791" t="s">
        <v>72</v>
      </c>
      <c r="C17" s="1641" t="s">
        <v>494</v>
      </c>
      <c r="D17" s="1749"/>
      <c r="E17" s="1792"/>
      <c r="F17" s="1793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1790"/>
      <c r="AG17" s="1790"/>
      <c r="AH17" s="1790"/>
      <c r="AI17" s="1790"/>
      <c r="AJ17" s="1790"/>
      <c r="AK17" s="1790"/>
      <c r="AL17" s="1790"/>
      <c r="AM17" s="1790"/>
      <c r="AN17" s="1790"/>
      <c r="AO17" s="1790"/>
      <c r="AP17" s="1790"/>
      <c r="AQ17" s="1794">
        <v>3329.91</v>
      </c>
      <c r="AR17" s="1795">
        <f t="shared" si="0"/>
        <v>0</v>
      </c>
    </row>
    <row r="18" spans="1:44">
      <c r="A18" s="1640"/>
      <c r="B18" s="1791" t="s">
        <v>72</v>
      </c>
      <c r="C18" s="1641" t="s">
        <v>495</v>
      </c>
      <c r="D18" s="1749"/>
      <c r="E18" s="1792"/>
      <c r="F18" s="1793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1790"/>
      <c r="AG18" s="1790"/>
      <c r="AH18" s="1790"/>
      <c r="AI18" s="1790"/>
      <c r="AJ18" s="1790"/>
      <c r="AK18" s="1790"/>
      <c r="AL18" s="1790"/>
      <c r="AM18" s="1790"/>
      <c r="AN18" s="1790"/>
      <c r="AO18" s="1790"/>
      <c r="AP18" s="1790"/>
      <c r="AQ18" s="1794">
        <v>3329.91</v>
      </c>
      <c r="AR18" s="1795">
        <f t="shared" si="0"/>
        <v>0</v>
      </c>
    </row>
    <row r="19" spans="1:44">
      <c r="A19" s="1640"/>
      <c r="B19" s="1796" t="s">
        <v>72</v>
      </c>
      <c r="C19" s="1797" t="s">
        <v>496</v>
      </c>
      <c r="D19" s="1798"/>
      <c r="E19" s="1799"/>
      <c r="F19" s="1793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1790"/>
      <c r="AG19" s="1790"/>
      <c r="AH19" s="1790"/>
      <c r="AI19" s="1790"/>
      <c r="AJ19" s="1790"/>
      <c r="AK19" s="1790"/>
      <c r="AL19" s="1790"/>
      <c r="AM19" s="1790"/>
      <c r="AN19" s="1790"/>
      <c r="AO19" s="1790"/>
      <c r="AP19" s="1790"/>
    </row>
    <row r="20" spans="1:44">
      <c r="A20" s="1640"/>
      <c r="B20" s="1800" t="s">
        <v>18</v>
      </c>
      <c r="C20" s="1749" t="s">
        <v>19</v>
      </c>
      <c r="D20" s="1722"/>
      <c r="E20" s="1792"/>
      <c r="F20" s="1793"/>
      <c r="G20" s="1790"/>
      <c r="H20" s="1790"/>
      <c r="I20" s="1790"/>
      <c r="J20" s="1790"/>
      <c r="K20" s="1790"/>
      <c r="L20" s="1790"/>
      <c r="M20" s="1790"/>
      <c r="N20" s="1790"/>
      <c r="O20" s="1790"/>
      <c r="P20" s="1790"/>
      <c r="Q20" s="1790"/>
      <c r="R20" s="1790"/>
      <c r="S20" s="1790"/>
      <c r="T20" s="1790"/>
      <c r="U20" s="1790"/>
      <c r="V20" s="1790"/>
      <c r="W20" s="1790"/>
      <c r="X20" s="1790"/>
      <c r="Y20" s="1790"/>
      <c r="Z20" s="1790"/>
      <c r="AA20" s="1790"/>
      <c r="AB20" s="1790"/>
      <c r="AC20" s="1790"/>
      <c r="AD20" s="1790"/>
      <c r="AE20" s="1790"/>
      <c r="AF20" s="1790"/>
      <c r="AG20" s="1790"/>
      <c r="AH20" s="1790"/>
      <c r="AI20" s="1790"/>
      <c r="AJ20" s="1790"/>
      <c r="AK20" s="1790"/>
      <c r="AL20" s="1790"/>
      <c r="AM20" s="1790"/>
      <c r="AN20" s="1790"/>
      <c r="AO20" s="1790"/>
      <c r="AP20" s="1790"/>
    </row>
    <row r="21" spans="1:44">
      <c r="A21" s="1640"/>
      <c r="B21" s="1791" t="s">
        <v>72</v>
      </c>
      <c r="C21" s="1641" t="s">
        <v>497</v>
      </c>
      <c r="D21" s="1801"/>
      <c r="E21" s="1792"/>
      <c r="F21" s="1793"/>
      <c r="G21" s="1790"/>
      <c r="H21" s="1790"/>
      <c r="I21" s="1790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1790"/>
      <c r="AG21" s="1790"/>
      <c r="AH21" s="1790"/>
      <c r="AI21" s="1790"/>
      <c r="AJ21" s="1790"/>
      <c r="AK21" s="1790"/>
      <c r="AL21" s="1790"/>
      <c r="AM21" s="1790"/>
      <c r="AN21" s="1790"/>
      <c r="AO21" s="1790"/>
      <c r="AP21" s="1790"/>
    </row>
    <row r="22" spans="1:44">
      <c r="A22" s="1640"/>
      <c r="B22" s="1796" t="s">
        <v>72</v>
      </c>
      <c r="C22" s="1797" t="s">
        <v>498</v>
      </c>
      <c r="D22" s="1802"/>
      <c r="E22" s="1799"/>
      <c r="F22" s="1793"/>
      <c r="G22" s="1790"/>
      <c r="H22" s="1790"/>
      <c r="I22" s="1790"/>
      <c r="J22" s="1790"/>
      <c r="K22" s="1790"/>
      <c r="L22" s="1790"/>
      <c r="M22" s="1790"/>
      <c r="N22" s="1790"/>
      <c r="O22" s="1790"/>
      <c r="P22" s="1790"/>
      <c r="Q22" s="1790"/>
      <c r="R22" s="1790"/>
      <c r="S22" s="1790"/>
      <c r="T22" s="1790"/>
      <c r="U22" s="1790"/>
      <c r="V22" s="1790"/>
      <c r="W22" s="1790"/>
      <c r="X22" s="1790"/>
      <c r="Y22" s="1790"/>
      <c r="Z22" s="1790"/>
      <c r="AA22" s="1790"/>
      <c r="AB22" s="1790"/>
      <c r="AC22" s="1790"/>
      <c r="AD22" s="1790"/>
      <c r="AE22" s="1790"/>
      <c r="AF22" s="1790"/>
      <c r="AG22" s="1790"/>
      <c r="AH22" s="1790"/>
      <c r="AI22" s="1790"/>
      <c r="AJ22" s="1790"/>
      <c r="AK22" s="1790"/>
      <c r="AL22" s="1790"/>
      <c r="AM22" s="1790"/>
      <c r="AN22" s="1790"/>
      <c r="AO22" s="1790"/>
      <c r="AP22" s="1790"/>
    </row>
    <row r="23" spans="1:44">
      <c r="A23" s="1785"/>
      <c r="B23" s="1803" t="s">
        <v>472</v>
      </c>
      <c r="C23" s="1749" t="s">
        <v>467</v>
      </c>
      <c r="D23" s="1804"/>
      <c r="E23" s="1805"/>
      <c r="F23" s="1789"/>
      <c r="G23" s="1790"/>
      <c r="H23" s="1790"/>
      <c r="I23" s="1790"/>
      <c r="J23" s="1790"/>
      <c r="K23" s="1790"/>
      <c r="L23" s="1790"/>
      <c r="M23" s="1790"/>
      <c r="N23" s="1790"/>
      <c r="O23" s="1790"/>
      <c r="P23" s="1790"/>
      <c r="Q23" s="1790"/>
      <c r="R23" s="1790"/>
      <c r="S23" s="1790"/>
      <c r="T23" s="1790"/>
      <c r="U23" s="1790"/>
      <c r="V23" s="1790"/>
      <c r="W23" s="1790"/>
      <c r="X23" s="1790"/>
      <c r="Y23" s="1790"/>
      <c r="Z23" s="1790"/>
      <c r="AA23" s="1790"/>
      <c r="AB23" s="1790"/>
      <c r="AC23" s="1790"/>
      <c r="AD23" s="1790"/>
      <c r="AE23" s="1790"/>
      <c r="AF23" s="1790"/>
      <c r="AG23" s="1790"/>
      <c r="AH23" s="1790"/>
      <c r="AI23" s="1790"/>
      <c r="AJ23" s="1790"/>
      <c r="AK23" s="1790"/>
      <c r="AL23" s="1790"/>
      <c r="AM23" s="1790"/>
      <c r="AN23" s="1790"/>
      <c r="AO23" s="1790"/>
      <c r="AP23" s="1790"/>
    </row>
    <row r="24" spans="1:44">
      <c r="A24" s="1785"/>
      <c r="B24" s="1791" t="s">
        <v>72</v>
      </c>
      <c r="C24" s="1641" t="s">
        <v>499</v>
      </c>
      <c r="D24" s="1801"/>
      <c r="E24" s="1792"/>
      <c r="F24" s="1789"/>
      <c r="G24" s="1790"/>
      <c r="H24" s="1790"/>
      <c r="I24" s="1790"/>
      <c r="J24" s="1790"/>
      <c r="K24" s="1790"/>
      <c r="L24" s="1790"/>
      <c r="M24" s="1790"/>
      <c r="N24" s="1790"/>
      <c r="O24" s="1790"/>
      <c r="P24" s="1790"/>
      <c r="Q24" s="1790"/>
      <c r="R24" s="1790"/>
      <c r="S24" s="1790"/>
      <c r="T24" s="1790"/>
      <c r="U24" s="1790"/>
      <c r="V24" s="1790"/>
      <c r="W24" s="1790"/>
      <c r="X24" s="1790"/>
      <c r="Y24" s="1790"/>
      <c r="Z24" s="1790"/>
      <c r="AA24" s="1790"/>
      <c r="AB24" s="1790"/>
      <c r="AC24" s="1790"/>
      <c r="AD24" s="1790"/>
      <c r="AE24" s="1790"/>
      <c r="AF24" s="1790"/>
      <c r="AG24" s="1790"/>
      <c r="AH24" s="1790"/>
      <c r="AI24" s="1790"/>
      <c r="AJ24" s="1790"/>
      <c r="AK24" s="1790"/>
      <c r="AL24" s="1790"/>
      <c r="AM24" s="1790"/>
      <c r="AN24" s="1790"/>
      <c r="AO24" s="1790"/>
      <c r="AP24" s="1790"/>
      <c r="AQ24" s="1579">
        <v>937</v>
      </c>
      <c r="AR24" s="1795">
        <f>E24/AQ24</f>
        <v>0</v>
      </c>
    </row>
    <row r="25" spans="1:44">
      <c r="A25" s="1806"/>
      <c r="B25" s="1815" t="s">
        <v>72</v>
      </c>
      <c r="C25" s="1808" t="s">
        <v>500</v>
      </c>
      <c r="D25" s="1809"/>
      <c r="E25" s="1810"/>
      <c r="F25" s="1789"/>
      <c r="G25" s="1790"/>
      <c r="H25" s="1790"/>
      <c r="I25" s="1790"/>
      <c r="J25" s="1790"/>
      <c r="K25" s="1790"/>
      <c r="L25" s="1790"/>
      <c r="M25" s="1790"/>
      <c r="N25" s="1790"/>
      <c r="O25" s="1790"/>
      <c r="P25" s="1790"/>
      <c r="Q25" s="1790"/>
      <c r="R25" s="1790"/>
      <c r="S25" s="1790"/>
      <c r="T25" s="1790"/>
      <c r="U25" s="1790"/>
      <c r="V25" s="1790"/>
      <c r="W25" s="1790"/>
      <c r="X25" s="1790"/>
      <c r="Y25" s="1790"/>
      <c r="Z25" s="1790"/>
      <c r="AA25" s="1790"/>
      <c r="AB25" s="1790"/>
      <c r="AC25" s="1790"/>
      <c r="AD25" s="1790"/>
      <c r="AE25" s="1790"/>
      <c r="AF25" s="1790"/>
      <c r="AG25" s="1790"/>
      <c r="AH25" s="1790"/>
      <c r="AI25" s="1790"/>
      <c r="AJ25" s="1790"/>
      <c r="AK25" s="1790"/>
      <c r="AL25" s="1790"/>
      <c r="AM25" s="1790"/>
      <c r="AN25" s="1790"/>
      <c r="AO25" s="1790"/>
      <c r="AP25" s="1790"/>
    </row>
    <row r="26" spans="1:44">
      <c r="A26" s="1783" t="s">
        <v>473</v>
      </c>
      <c r="B26" s="2057" t="s">
        <v>55</v>
      </c>
      <c r="C26" s="2058"/>
      <c r="D26" s="2059"/>
      <c r="E26" s="1792"/>
      <c r="F26" s="1811"/>
      <c r="G26" s="1812"/>
      <c r="H26" s="1812"/>
      <c r="I26" s="1812"/>
      <c r="J26" s="1812"/>
      <c r="K26" s="1812"/>
      <c r="L26" s="1812"/>
      <c r="M26" s="1812"/>
      <c r="N26" s="1812"/>
      <c r="O26" s="1812"/>
      <c r="P26" s="1812"/>
      <c r="Q26" s="1812"/>
      <c r="R26" s="1812"/>
      <c r="S26" s="1812"/>
      <c r="T26" s="1812"/>
      <c r="U26" s="1812"/>
      <c r="V26" s="1812"/>
      <c r="W26" s="1812"/>
      <c r="X26" s="1812"/>
      <c r="Y26" s="1812"/>
      <c r="Z26" s="1812"/>
      <c r="AA26" s="1812"/>
      <c r="AB26" s="1812"/>
      <c r="AC26" s="1812"/>
      <c r="AD26" s="1812"/>
      <c r="AE26" s="1812"/>
      <c r="AF26" s="1812"/>
      <c r="AG26" s="1812"/>
      <c r="AH26" s="1812"/>
      <c r="AI26" s="1812"/>
      <c r="AJ26" s="1812"/>
      <c r="AK26" s="1812"/>
      <c r="AL26" s="1812"/>
      <c r="AM26" s="1812"/>
      <c r="AN26" s="1812"/>
      <c r="AO26" s="1812"/>
      <c r="AP26" s="1812"/>
    </row>
    <row r="27" spans="1:44">
      <c r="A27" s="1785"/>
      <c r="B27" s="1791" t="s">
        <v>72</v>
      </c>
      <c r="C27" s="1641" t="s">
        <v>502</v>
      </c>
      <c r="D27" s="1814"/>
      <c r="E27" s="1805"/>
      <c r="F27" s="1811"/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  <c r="Q27" s="1812"/>
      <c r="R27" s="1812"/>
      <c r="S27" s="1812"/>
      <c r="T27" s="1812"/>
      <c r="U27" s="1812"/>
      <c r="V27" s="1812"/>
      <c r="W27" s="1812"/>
      <c r="X27" s="1812"/>
      <c r="Y27" s="1812"/>
      <c r="Z27" s="1812"/>
      <c r="AA27" s="1812"/>
      <c r="AB27" s="1812"/>
      <c r="AC27" s="1812"/>
      <c r="AD27" s="1812"/>
      <c r="AE27" s="1812"/>
      <c r="AF27" s="1812"/>
      <c r="AG27" s="1812"/>
      <c r="AH27" s="1812"/>
      <c r="AI27" s="1812"/>
      <c r="AJ27" s="1812"/>
      <c r="AK27" s="1812"/>
      <c r="AL27" s="1812"/>
      <c r="AM27" s="1812"/>
      <c r="AN27" s="1812"/>
      <c r="AO27" s="1812"/>
      <c r="AP27" s="1812"/>
    </row>
    <row r="28" spans="1:44">
      <c r="A28" s="1806"/>
      <c r="B28" s="1815" t="s">
        <v>72</v>
      </c>
      <c r="C28" s="1808" t="s">
        <v>503</v>
      </c>
      <c r="D28" s="1809"/>
      <c r="E28" s="1816"/>
      <c r="F28" s="1811"/>
      <c r="G28" s="1812"/>
      <c r="H28" s="1812"/>
      <c r="I28" s="1812"/>
      <c r="J28" s="1812"/>
      <c r="K28" s="1812"/>
      <c r="L28" s="1812"/>
      <c r="M28" s="1812"/>
      <c r="N28" s="1812"/>
      <c r="O28" s="1812"/>
      <c r="P28" s="1812"/>
      <c r="Q28" s="1812"/>
      <c r="R28" s="1812"/>
      <c r="S28" s="1812"/>
      <c r="T28" s="1812"/>
      <c r="U28" s="1812"/>
      <c r="V28" s="1812"/>
      <c r="W28" s="1812"/>
      <c r="X28" s="1812"/>
      <c r="Y28" s="1812"/>
      <c r="Z28" s="1812"/>
      <c r="AA28" s="1812"/>
      <c r="AB28" s="1812"/>
      <c r="AC28" s="1812"/>
      <c r="AD28" s="1812"/>
      <c r="AE28" s="1812"/>
      <c r="AF28" s="1812"/>
      <c r="AG28" s="1812"/>
      <c r="AH28" s="1812"/>
      <c r="AI28" s="1812"/>
      <c r="AJ28" s="1812"/>
      <c r="AK28" s="1812"/>
      <c r="AL28" s="1812"/>
      <c r="AM28" s="1812"/>
      <c r="AN28" s="1812"/>
      <c r="AO28" s="1812"/>
      <c r="AP28" s="1812"/>
    </row>
    <row r="29" spans="1:44">
      <c r="A29" s="1817" t="s">
        <v>474</v>
      </c>
      <c r="B29" s="2057" t="s">
        <v>58</v>
      </c>
      <c r="C29" s="2058"/>
      <c r="D29" s="2059"/>
      <c r="E29" s="1792"/>
      <c r="F29" s="1818"/>
      <c r="G29" s="1819"/>
      <c r="H29" s="1819"/>
      <c r="I29" s="1819"/>
      <c r="J29" s="1819"/>
      <c r="K29" s="1819"/>
      <c r="L29" s="1819"/>
      <c r="M29" s="1819"/>
      <c r="N29" s="1819"/>
      <c r="O29" s="1819"/>
      <c r="P29" s="1819"/>
      <c r="Q29" s="1819"/>
      <c r="R29" s="1819"/>
      <c r="S29" s="1819"/>
      <c r="T29" s="1819"/>
      <c r="U29" s="1819"/>
      <c r="V29" s="1819"/>
      <c r="W29" s="1819"/>
      <c r="X29" s="1819"/>
      <c r="Y29" s="1819"/>
      <c r="Z29" s="1819"/>
      <c r="AA29" s="1819"/>
      <c r="AB29" s="1819"/>
      <c r="AC29" s="1819"/>
      <c r="AD29" s="1819"/>
      <c r="AE29" s="1819"/>
      <c r="AF29" s="1819"/>
      <c r="AG29" s="1819"/>
      <c r="AH29" s="1819"/>
      <c r="AI29" s="1819"/>
      <c r="AJ29" s="1819"/>
      <c r="AK29" s="1819"/>
      <c r="AL29" s="1819"/>
      <c r="AM29" s="1819"/>
      <c r="AN29" s="1819"/>
      <c r="AO29" s="1819"/>
      <c r="AP29" s="1819"/>
    </row>
    <row r="30" spans="1:44" ht="24.75" thickBot="1">
      <c r="A30" s="1783"/>
      <c r="B30" s="1820"/>
      <c r="C30" s="1820"/>
      <c r="D30" s="1821"/>
      <c r="E30" s="1822"/>
      <c r="F30" s="1823"/>
      <c r="G30" s="1819"/>
      <c r="H30" s="1819"/>
      <c r="I30" s="1819"/>
      <c r="J30" s="1819"/>
      <c r="K30" s="1819"/>
      <c r="L30" s="1819"/>
      <c r="M30" s="1819"/>
      <c r="N30" s="1819"/>
      <c r="O30" s="1819"/>
      <c r="P30" s="1819"/>
      <c r="Q30" s="1819"/>
      <c r="R30" s="1819"/>
      <c r="S30" s="1819"/>
      <c r="T30" s="1819"/>
      <c r="U30" s="1819"/>
      <c r="V30" s="1819"/>
      <c r="W30" s="1819"/>
      <c r="X30" s="1819"/>
      <c r="Y30" s="1819"/>
      <c r="Z30" s="1819"/>
      <c r="AA30" s="1819"/>
      <c r="AB30" s="1819"/>
      <c r="AC30" s="1819"/>
      <c r="AD30" s="1819"/>
      <c r="AE30" s="1819"/>
      <c r="AF30" s="1819"/>
      <c r="AG30" s="1819"/>
      <c r="AH30" s="1819"/>
      <c r="AI30" s="1819"/>
      <c r="AJ30" s="1819"/>
      <c r="AK30" s="1819"/>
      <c r="AL30" s="1819"/>
      <c r="AM30" s="1819"/>
      <c r="AN30" s="1819"/>
      <c r="AO30" s="1819"/>
      <c r="AP30" s="1819"/>
    </row>
    <row r="31" spans="1:44" ht="24.75" thickTop="1">
      <c r="A31" s="1824"/>
      <c r="B31" s="1825"/>
      <c r="C31" s="2060" t="s">
        <v>59</v>
      </c>
      <c r="D31" s="2061"/>
      <c r="E31" s="1826"/>
      <c r="F31" s="1827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0"/>
      <c r="U31" s="1790"/>
      <c r="V31" s="1790"/>
      <c r="W31" s="1790"/>
      <c r="X31" s="1790"/>
      <c r="Y31" s="1790"/>
      <c r="Z31" s="1790"/>
      <c r="AA31" s="1790"/>
      <c r="AB31" s="1790"/>
      <c r="AC31" s="1790"/>
      <c r="AD31" s="1790"/>
      <c r="AE31" s="1790"/>
      <c r="AF31" s="1790"/>
      <c r="AG31" s="1790"/>
      <c r="AH31" s="1790"/>
      <c r="AI31" s="1790"/>
      <c r="AJ31" s="1790"/>
      <c r="AK31" s="1790"/>
      <c r="AL31" s="1790"/>
      <c r="AM31" s="1790"/>
      <c r="AN31" s="1790"/>
      <c r="AO31" s="1790"/>
      <c r="AP31" s="1790"/>
      <c r="AQ31" s="1794">
        <v>3329.91</v>
      </c>
      <c r="AR31" s="1795">
        <f>E31/AQ31</f>
        <v>0</v>
      </c>
    </row>
    <row r="32" spans="1:44">
      <c r="A32" s="1646"/>
      <c r="B32" s="1866"/>
      <c r="C32" s="1866"/>
      <c r="D32" s="1866"/>
      <c r="E32" s="1866"/>
      <c r="F32" s="1790"/>
      <c r="G32" s="1790"/>
      <c r="H32" s="1790"/>
      <c r="I32" s="1790"/>
      <c r="J32" s="1790"/>
      <c r="K32" s="1790"/>
      <c r="L32" s="1790"/>
      <c r="M32" s="1790"/>
      <c r="N32" s="1790"/>
      <c r="O32" s="1790"/>
      <c r="P32" s="1790"/>
      <c r="Q32" s="1790"/>
      <c r="R32" s="1790"/>
      <c r="S32" s="1790"/>
      <c r="T32" s="1790"/>
      <c r="U32" s="1790"/>
      <c r="V32" s="1790"/>
      <c r="W32" s="1790"/>
      <c r="X32" s="1790"/>
      <c r="Y32" s="1790"/>
      <c r="Z32" s="1790"/>
      <c r="AA32" s="1790"/>
      <c r="AB32" s="1790"/>
      <c r="AC32" s="1790"/>
      <c r="AD32" s="1790"/>
      <c r="AE32" s="1790"/>
      <c r="AF32" s="1790"/>
      <c r="AG32" s="1790"/>
      <c r="AH32" s="1790"/>
      <c r="AI32" s="1790"/>
      <c r="AJ32" s="1790"/>
      <c r="AK32" s="1790"/>
      <c r="AL32" s="1790"/>
      <c r="AM32" s="1790"/>
      <c r="AN32" s="1790"/>
      <c r="AO32" s="1790"/>
      <c r="AP32" s="1790"/>
    </row>
    <row r="33" spans="1:42">
      <c r="A33" s="1646"/>
      <c r="B33" s="1866"/>
      <c r="C33" s="1866"/>
      <c r="D33" s="1866"/>
      <c r="E33" s="1866"/>
      <c r="F33" s="1790"/>
      <c r="G33" s="1790"/>
      <c r="H33" s="1790"/>
      <c r="I33" s="1790"/>
      <c r="J33" s="1790"/>
      <c r="K33" s="1790"/>
      <c r="L33" s="1790"/>
      <c r="M33" s="1790"/>
      <c r="N33" s="1790"/>
      <c r="O33" s="1790"/>
      <c r="P33" s="1790"/>
      <c r="Q33" s="1790"/>
      <c r="R33" s="1790"/>
      <c r="S33" s="1790"/>
      <c r="T33" s="1790"/>
      <c r="U33" s="1790"/>
      <c r="V33" s="1790"/>
      <c r="W33" s="1790"/>
      <c r="X33" s="1790"/>
      <c r="Y33" s="1790"/>
      <c r="Z33" s="1790"/>
      <c r="AA33" s="1790"/>
      <c r="AB33" s="1790"/>
      <c r="AC33" s="1790"/>
      <c r="AD33" s="1790"/>
      <c r="AE33" s="1790"/>
      <c r="AF33" s="1790"/>
      <c r="AG33" s="1790"/>
      <c r="AH33" s="1790"/>
      <c r="AI33" s="1790"/>
      <c r="AJ33" s="1790"/>
      <c r="AK33" s="1790"/>
      <c r="AL33" s="1790"/>
      <c r="AM33" s="1790"/>
      <c r="AN33" s="1790"/>
      <c r="AO33" s="1790"/>
      <c r="AP33" s="1790"/>
    </row>
    <row r="34" spans="1:42">
      <c r="A34" s="1646"/>
      <c r="B34" s="1866"/>
      <c r="C34" s="1866"/>
      <c r="D34" s="1866"/>
      <c r="E34" s="1866"/>
      <c r="F34" s="1790"/>
      <c r="G34" s="1790"/>
      <c r="H34" s="1790"/>
      <c r="I34" s="1790"/>
      <c r="J34" s="1790"/>
      <c r="K34" s="1790"/>
      <c r="L34" s="1790"/>
      <c r="M34" s="1790"/>
      <c r="N34" s="1790"/>
      <c r="O34" s="1790"/>
      <c r="P34" s="1790"/>
      <c r="Q34" s="1790"/>
      <c r="R34" s="1790"/>
      <c r="S34" s="1790"/>
      <c r="T34" s="1790"/>
      <c r="U34" s="1790"/>
      <c r="V34" s="1790"/>
      <c r="W34" s="1790"/>
      <c r="X34" s="1790"/>
      <c r="Y34" s="1790"/>
      <c r="Z34" s="1790"/>
      <c r="AA34" s="1790"/>
      <c r="AB34" s="1790"/>
      <c r="AC34" s="1790"/>
      <c r="AD34" s="1790"/>
      <c r="AE34" s="1790"/>
      <c r="AF34" s="1790"/>
      <c r="AG34" s="1790"/>
      <c r="AH34" s="1790"/>
      <c r="AI34" s="1790"/>
      <c r="AJ34" s="1790"/>
      <c r="AK34" s="1790"/>
      <c r="AL34" s="1790"/>
      <c r="AM34" s="1790"/>
      <c r="AN34" s="1790"/>
      <c r="AO34" s="1790"/>
      <c r="AP34" s="1790"/>
    </row>
    <row r="35" spans="1:42">
      <c r="A35" s="1646"/>
      <c r="B35" s="1866"/>
      <c r="C35" s="1866"/>
      <c r="D35" s="1866"/>
      <c r="E35" s="1866"/>
      <c r="F35" s="1790"/>
      <c r="G35" s="1790"/>
      <c r="H35" s="1790"/>
      <c r="I35" s="1790"/>
      <c r="J35" s="1790"/>
      <c r="K35" s="1790"/>
      <c r="L35" s="1790"/>
      <c r="M35" s="1790"/>
      <c r="N35" s="1790"/>
      <c r="O35" s="1790"/>
      <c r="P35" s="1790"/>
      <c r="Q35" s="1790"/>
      <c r="R35" s="1790"/>
      <c r="S35" s="1790"/>
      <c r="T35" s="1790"/>
      <c r="U35" s="1790"/>
      <c r="V35" s="1790"/>
      <c r="W35" s="1790"/>
      <c r="X35" s="1790"/>
      <c r="Y35" s="1790"/>
      <c r="Z35" s="1790"/>
      <c r="AA35" s="1790"/>
      <c r="AB35" s="1790"/>
      <c r="AC35" s="1790"/>
      <c r="AD35" s="1790"/>
      <c r="AE35" s="1790"/>
      <c r="AF35" s="1790"/>
      <c r="AG35" s="1790"/>
      <c r="AH35" s="1790"/>
      <c r="AI35" s="1790"/>
      <c r="AJ35" s="1790"/>
      <c r="AK35" s="1790"/>
      <c r="AL35" s="1790"/>
      <c r="AM35" s="1790"/>
      <c r="AN35" s="1790"/>
      <c r="AO35" s="1790"/>
      <c r="AP35" s="1790"/>
    </row>
    <row r="36" spans="1:42">
      <c r="A36" s="1646"/>
      <c r="B36" s="1866"/>
      <c r="C36" s="1866"/>
      <c r="D36" s="1866"/>
      <c r="E36" s="1866"/>
      <c r="F36" s="1790"/>
      <c r="G36" s="1790"/>
      <c r="H36" s="1790"/>
      <c r="I36" s="1790"/>
      <c r="J36" s="1790"/>
      <c r="K36" s="1790"/>
      <c r="L36" s="1790"/>
      <c r="M36" s="1790"/>
      <c r="N36" s="1790"/>
      <c r="O36" s="1790"/>
      <c r="P36" s="1790"/>
      <c r="Q36" s="1790"/>
      <c r="R36" s="1790"/>
      <c r="S36" s="1790"/>
      <c r="T36" s="1790"/>
      <c r="U36" s="1790"/>
      <c r="V36" s="1790"/>
      <c r="W36" s="1790"/>
      <c r="X36" s="1790"/>
      <c r="Y36" s="1790"/>
      <c r="Z36" s="1790"/>
      <c r="AA36" s="1790"/>
      <c r="AB36" s="1790"/>
      <c r="AC36" s="1790"/>
      <c r="AD36" s="1790"/>
      <c r="AE36" s="1790"/>
      <c r="AF36" s="1790"/>
      <c r="AG36" s="1790"/>
      <c r="AH36" s="1790"/>
      <c r="AI36" s="1790"/>
      <c r="AJ36" s="1790"/>
      <c r="AK36" s="1790"/>
      <c r="AL36" s="1790"/>
      <c r="AM36" s="1790"/>
      <c r="AN36" s="1790"/>
      <c r="AO36" s="1790"/>
      <c r="AP36" s="1790"/>
    </row>
    <row r="37" spans="1:42">
      <c r="A37" s="1646"/>
      <c r="B37" s="1866"/>
      <c r="C37" s="1866"/>
      <c r="D37" s="1866"/>
      <c r="E37" s="1866"/>
      <c r="F37" s="1790"/>
      <c r="G37" s="1790"/>
      <c r="H37" s="1790"/>
      <c r="I37" s="1790"/>
      <c r="J37" s="1790"/>
      <c r="K37" s="1790"/>
      <c r="L37" s="1790"/>
      <c r="M37" s="1790"/>
      <c r="N37" s="1790"/>
      <c r="O37" s="1790"/>
      <c r="P37" s="1790"/>
      <c r="Q37" s="1790"/>
      <c r="R37" s="1790"/>
      <c r="S37" s="1790"/>
      <c r="T37" s="1790"/>
      <c r="U37" s="1790"/>
      <c r="V37" s="1790"/>
      <c r="W37" s="1790"/>
      <c r="X37" s="1790"/>
      <c r="Y37" s="1790"/>
      <c r="Z37" s="1790"/>
      <c r="AA37" s="1790"/>
      <c r="AB37" s="1790"/>
      <c r="AC37" s="1790"/>
      <c r="AD37" s="1790"/>
      <c r="AE37" s="1790"/>
      <c r="AF37" s="1790"/>
      <c r="AG37" s="1790"/>
      <c r="AH37" s="1790"/>
      <c r="AI37" s="1790"/>
      <c r="AJ37" s="1790"/>
      <c r="AK37" s="1790"/>
      <c r="AL37" s="1790"/>
      <c r="AM37" s="1790"/>
      <c r="AN37" s="1790"/>
      <c r="AO37" s="1790"/>
      <c r="AP37" s="1790"/>
    </row>
    <row r="38" spans="1:42">
      <c r="A38" s="1646"/>
      <c r="B38" s="1866"/>
      <c r="C38" s="1866"/>
      <c r="D38" s="1866"/>
      <c r="E38" s="1866"/>
      <c r="F38" s="1790"/>
      <c r="G38" s="1790"/>
      <c r="H38" s="1790"/>
      <c r="I38" s="1790"/>
      <c r="J38" s="1790"/>
      <c r="K38" s="1790"/>
      <c r="L38" s="1790"/>
      <c r="M38" s="1790"/>
      <c r="N38" s="1790"/>
      <c r="O38" s="1790"/>
      <c r="P38" s="1790"/>
      <c r="Q38" s="1790"/>
      <c r="R38" s="1790"/>
      <c r="S38" s="1790"/>
      <c r="T38" s="1790"/>
      <c r="U38" s="1790"/>
      <c r="V38" s="1790"/>
      <c r="W38" s="1790"/>
      <c r="X38" s="1790"/>
      <c r="Y38" s="1790"/>
      <c r="Z38" s="1790"/>
      <c r="AA38" s="1790"/>
      <c r="AB38" s="1790"/>
      <c r="AC38" s="1790"/>
      <c r="AD38" s="1790"/>
      <c r="AE38" s="1790"/>
      <c r="AF38" s="1790"/>
      <c r="AG38" s="1790"/>
      <c r="AH38" s="1790"/>
      <c r="AI38" s="1790"/>
      <c r="AJ38" s="1790"/>
      <c r="AK38" s="1790"/>
      <c r="AL38" s="1790"/>
      <c r="AM38" s="1790"/>
      <c r="AN38" s="1790"/>
      <c r="AO38" s="1790"/>
      <c r="AP38" s="1790"/>
    </row>
    <row r="39" spans="1:42">
      <c r="A39" s="1646"/>
      <c r="B39" s="1866"/>
      <c r="C39" s="1866"/>
      <c r="D39" s="1866"/>
      <c r="E39" s="1866"/>
      <c r="F39" s="1790"/>
      <c r="G39" s="1790"/>
      <c r="H39" s="1790"/>
      <c r="I39" s="1790"/>
      <c r="J39" s="1790"/>
      <c r="K39" s="1790"/>
      <c r="L39" s="1790"/>
      <c r="M39" s="1790"/>
      <c r="N39" s="1790"/>
      <c r="O39" s="1790"/>
      <c r="P39" s="1790"/>
      <c r="Q39" s="1790"/>
      <c r="R39" s="1790"/>
      <c r="S39" s="1790"/>
      <c r="T39" s="1790"/>
      <c r="U39" s="1790"/>
      <c r="V39" s="1790"/>
      <c r="W39" s="1790"/>
      <c r="X39" s="1790"/>
      <c r="Y39" s="1790"/>
      <c r="Z39" s="1790"/>
      <c r="AA39" s="1790"/>
      <c r="AB39" s="1790"/>
      <c r="AC39" s="1790"/>
      <c r="AD39" s="1790"/>
      <c r="AE39" s="1790"/>
      <c r="AF39" s="1790"/>
      <c r="AG39" s="1790"/>
      <c r="AH39" s="1790"/>
      <c r="AI39" s="1790"/>
      <c r="AJ39" s="1790"/>
      <c r="AK39" s="1790"/>
      <c r="AL39" s="1790"/>
      <c r="AM39" s="1790"/>
      <c r="AN39" s="1790"/>
      <c r="AO39" s="1790"/>
      <c r="AP39" s="1790"/>
    </row>
    <row r="40" spans="1:42">
      <c r="A40" s="1646"/>
      <c r="B40" s="1866"/>
      <c r="C40" s="1866"/>
      <c r="D40" s="1866"/>
      <c r="E40" s="1866"/>
      <c r="F40" s="1790"/>
      <c r="G40" s="1790"/>
      <c r="H40" s="1790"/>
      <c r="I40" s="1790"/>
      <c r="J40" s="1790"/>
      <c r="K40" s="1790"/>
      <c r="L40" s="1790"/>
      <c r="M40" s="1790"/>
      <c r="N40" s="1790"/>
      <c r="O40" s="1790"/>
      <c r="P40" s="1790"/>
      <c r="Q40" s="1790"/>
      <c r="R40" s="1790"/>
      <c r="S40" s="1790"/>
      <c r="T40" s="1790"/>
      <c r="U40" s="1790"/>
      <c r="V40" s="1790"/>
      <c r="W40" s="1790"/>
      <c r="X40" s="1790"/>
      <c r="Y40" s="1790"/>
      <c r="Z40" s="1790"/>
      <c r="AA40" s="1790"/>
      <c r="AB40" s="1790"/>
      <c r="AC40" s="1790"/>
      <c r="AD40" s="1790"/>
      <c r="AE40" s="1790"/>
      <c r="AF40" s="1790"/>
      <c r="AG40" s="1790"/>
      <c r="AH40" s="1790"/>
      <c r="AI40" s="1790"/>
      <c r="AJ40" s="1790"/>
      <c r="AK40" s="1790"/>
      <c r="AL40" s="1790"/>
      <c r="AM40" s="1790"/>
      <c r="AN40" s="1790"/>
      <c r="AO40" s="1790"/>
      <c r="AP40" s="1790"/>
    </row>
    <row r="41" spans="1:42">
      <c r="A41" s="1646"/>
      <c r="B41" s="1866"/>
      <c r="C41" s="1866"/>
      <c r="D41" s="1866"/>
      <c r="E41" s="1866"/>
      <c r="F41" s="1790"/>
      <c r="G41" s="1790"/>
      <c r="H41" s="1790"/>
      <c r="I41" s="1790"/>
      <c r="J41" s="1790"/>
      <c r="K41" s="1790"/>
      <c r="L41" s="1790"/>
      <c r="M41" s="1790"/>
      <c r="N41" s="1790"/>
      <c r="O41" s="1790"/>
      <c r="P41" s="1790"/>
      <c r="Q41" s="1790"/>
      <c r="R41" s="1790"/>
      <c r="S41" s="1790"/>
      <c r="T41" s="1790"/>
      <c r="U41" s="1790"/>
      <c r="V41" s="1790"/>
      <c r="W41" s="1790"/>
      <c r="X41" s="1790"/>
      <c r="Y41" s="1790"/>
      <c r="Z41" s="1790"/>
      <c r="AA41" s="1790"/>
      <c r="AB41" s="1790"/>
      <c r="AC41" s="1790"/>
      <c r="AD41" s="1790"/>
      <c r="AE41" s="1790"/>
      <c r="AF41" s="1790"/>
      <c r="AG41" s="1790"/>
      <c r="AH41" s="1790"/>
      <c r="AI41" s="1790"/>
      <c r="AJ41" s="1790"/>
      <c r="AK41" s="1790"/>
      <c r="AL41" s="1790"/>
      <c r="AM41" s="1790"/>
      <c r="AN41" s="1790"/>
      <c r="AO41" s="1790"/>
      <c r="AP41" s="1790"/>
    </row>
    <row r="42" spans="1:42">
      <c r="A42" s="1646"/>
      <c r="B42" s="1866"/>
      <c r="C42" s="1866"/>
      <c r="D42" s="1866"/>
      <c r="E42" s="1866"/>
      <c r="F42" s="1790"/>
      <c r="G42" s="1790"/>
      <c r="H42" s="1790"/>
      <c r="I42" s="1790"/>
      <c r="J42" s="1790"/>
      <c r="K42" s="1790"/>
      <c r="L42" s="1790"/>
      <c r="M42" s="1790"/>
      <c r="N42" s="1790"/>
      <c r="O42" s="1790"/>
      <c r="P42" s="1790"/>
      <c r="Q42" s="1790"/>
      <c r="R42" s="1790"/>
      <c r="S42" s="1790"/>
      <c r="T42" s="1790"/>
      <c r="U42" s="1790"/>
      <c r="V42" s="1790"/>
      <c r="W42" s="1790"/>
      <c r="X42" s="1790"/>
      <c r="Y42" s="1790"/>
      <c r="Z42" s="1790"/>
      <c r="AA42" s="1790"/>
      <c r="AB42" s="1790"/>
      <c r="AC42" s="1790"/>
      <c r="AD42" s="1790"/>
      <c r="AE42" s="1790"/>
      <c r="AF42" s="1790"/>
      <c r="AG42" s="1790"/>
      <c r="AH42" s="1790"/>
      <c r="AI42" s="1790"/>
      <c r="AJ42" s="1790"/>
      <c r="AK42" s="1790"/>
      <c r="AL42" s="1790"/>
      <c r="AM42" s="1790"/>
      <c r="AN42" s="1790"/>
      <c r="AO42" s="1790"/>
      <c r="AP42" s="1790"/>
    </row>
    <row r="43" spans="1:42">
      <c r="A43" s="1646"/>
      <c r="B43" s="1866"/>
      <c r="C43" s="1866"/>
      <c r="D43" s="1866"/>
      <c r="E43" s="1866"/>
      <c r="F43" s="1790"/>
      <c r="G43" s="1790"/>
      <c r="H43" s="1790"/>
      <c r="I43" s="1790"/>
      <c r="J43" s="1790"/>
      <c r="K43" s="1790"/>
      <c r="L43" s="1790"/>
      <c r="M43" s="1790"/>
      <c r="N43" s="1790"/>
      <c r="O43" s="1790"/>
      <c r="P43" s="1790"/>
      <c r="Q43" s="1790"/>
      <c r="R43" s="1790"/>
      <c r="S43" s="1790"/>
      <c r="T43" s="1790"/>
      <c r="U43" s="1790"/>
      <c r="V43" s="1790"/>
      <c r="W43" s="1790"/>
      <c r="X43" s="1790"/>
      <c r="Y43" s="1790"/>
      <c r="Z43" s="1790"/>
      <c r="AA43" s="1790"/>
      <c r="AB43" s="1790"/>
      <c r="AC43" s="1790"/>
      <c r="AD43" s="1790"/>
      <c r="AE43" s="1790"/>
      <c r="AF43" s="1790"/>
      <c r="AG43" s="1790"/>
      <c r="AH43" s="1790"/>
      <c r="AI43" s="1790"/>
      <c r="AJ43" s="1790"/>
      <c r="AK43" s="1790"/>
      <c r="AL43" s="1790"/>
      <c r="AM43" s="1790"/>
      <c r="AN43" s="1790"/>
      <c r="AO43" s="1790"/>
      <c r="AP43" s="1790"/>
    </row>
    <row r="44" spans="1:42">
      <c r="A44" s="1646"/>
      <c r="B44" s="1866"/>
      <c r="C44" s="1866"/>
      <c r="D44" s="1866"/>
      <c r="E44" s="1866"/>
      <c r="F44" s="1790"/>
      <c r="G44" s="1790"/>
      <c r="H44" s="1790"/>
      <c r="I44" s="1790"/>
      <c r="J44" s="1790"/>
      <c r="K44" s="1790"/>
      <c r="L44" s="1790"/>
      <c r="M44" s="1790"/>
      <c r="N44" s="1790"/>
      <c r="O44" s="1790"/>
      <c r="P44" s="1790"/>
      <c r="Q44" s="1790"/>
      <c r="R44" s="1790"/>
      <c r="S44" s="1790"/>
      <c r="T44" s="1790"/>
      <c r="U44" s="1790"/>
      <c r="V44" s="1790"/>
      <c r="W44" s="1790"/>
      <c r="X44" s="1790"/>
      <c r="Y44" s="1790"/>
      <c r="Z44" s="1790"/>
      <c r="AA44" s="1790"/>
      <c r="AB44" s="1790"/>
      <c r="AC44" s="1790"/>
      <c r="AD44" s="1790"/>
      <c r="AE44" s="1790"/>
      <c r="AF44" s="1790"/>
      <c r="AG44" s="1790"/>
      <c r="AH44" s="1790"/>
      <c r="AI44" s="1790"/>
      <c r="AJ44" s="1790"/>
      <c r="AK44" s="1790"/>
      <c r="AL44" s="1790"/>
      <c r="AM44" s="1790"/>
      <c r="AN44" s="1790"/>
      <c r="AO44" s="1790"/>
      <c r="AP44" s="1790"/>
    </row>
    <row r="45" spans="1:42">
      <c r="A45" s="1646"/>
      <c r="B45" s="1866"/>
      <c r="C45" s="1866"/>
      <c r="D45" s="1866"/>
      <c r="E45" s="1866"/>
      <c r="F45" s="1790"/>
      <c r="G45" s="1790"/>
      <c r="H45" s="1790"/>
      <c r="I45" s="1790"/>
      <c r="J45" s="1790"/>
      <c r="K45" s="1790"/>
      <c r="L45" s="1790"/>
      <c r="M45" s="1790"/>
      <c r="N45" s="1790"/>
      <c r="O45" s="1790"/>
      <c r="P45" s="1790"/>
      <c r="Q45" s="1790"/>
      <c r="R45" s="1790"/>
      <c r="S45" s="1790"/>
      <c r="T45" s="1790"/>
      <c r="U45" s="1790"/>
      <c r="V45" s="1790"/>
      <c r="W45" s="1790"/>
      <c r="X45" s="1790"/>
      <c r="Y45" s="1790"/>
      <c r="Z45" s="1790"/>
      <c r="AA45" s="1790"/>
      <c r="AB45" s="1790"/>
      <c r="AC45" s="1790"/>
      <c r="AD45" s="1790"/>
      <c r="AE45" s="1790"/>
      <c r="AF45" s="1790"/>
      <c r="AG45" s="1790"/>
      <c r="AH45" s="1790"/>
      <c r="AI45" s="1790"/>
      <c r="AJ45" s="1790"/>
      <c r="AK45" s="1790"/>
      <c r="AL45" s="1790"/>
      <c r="AM45" s="1790"/>
      <c r="AN45" s="1790"/>
      <c r="AO45" s="1790"/>
      <c r="AP45" s="1790"/>
    </row>
    <row r="46" spans="1:42">
      <c r="A46" s="1646"/>
      <c r="B46" s="1866"/>
      <c r="C46" s="1866"/>
      <c r="D46" s="1866"/>
      <c r="E46" s="1866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90"/>
      <c r="V46" s="1790"/>
      <c r="W46" s="1790"/>
      <c r="X46" s="1790"/>
      <c r="Y46" s="1790"/>
      <c r="Z46" s="1790"/>
      <c r="AA46" s="1790"/>
      <c r="AB46" s="1790"/>
      <c r="AC46" s="1790"/>
      <c r="AD46" s="1790"/>
      <c r="AE46" s="1790"/>
      <c r="AF46" s="1790"/>
      <c r="AG46" s="1790"/>
      <c r="AH46" s="1790"/>
      <c r="AI46" s="1790"/>
      <c r="AJ46" s="1790"/>
      <c r="AK46" s="1790"/>
      <c r="AL46" s="1790"/>
      <c r="AM46" s="1790"/>
      <c r="AN46" s="1790"/>
      <c r="AO46" s="1790"/>
      <c r="AP46" s="1790"/>
    </row>
    <row r="47" spans="1:42">
      <c r="A47" s="1646"/>
      <c r="B47" s="1866"/>
      <c r="C47" s="1866"/>
      <c r="D47" s="1866"/>
      <c r="E47" s="1866"/>
      <c r="F47" s="1790"/>
      <c r="G47" s="1790"/>
      <c r="H47" s="1790"/>
      <c r="I47" s="1790"/>
      <c r="J47" s="1790"/>
      <c r="K47" s="1790"/>
      <c r="L47" s="1790"/>
      <c r="M47" s="1790"/>
      <c r="N47" s="1790"/>
      <c r="O47" s="1790"/>
      <c r="P47" s="1790"/>
      <c r="Q47" s="1790"/>
      <c r="R47" s="1790"/>
      <c r="S47" s="1790"/>
      <c r="T47" s="1790"/>
      <c r="U47" s="1790"/>
      <c r="V47" s="1790"/>
      <c r="W47" s="1790"/>
      <c r="X47" s="1790"/>
      <c r="Y47" s="1790"/>
      <c r="Z47" s="1790"/>
      <c r="AA47" s="1790"/>
      <c r="AB47" s="1790"/>
      <c r="AC47" s="1790"/>
      <c r="AD47" s="1790"/>
      <c r="AE47" s="1790"/>
      <c r="AF47" s="1790"/>
      <c r="AG47" s="1790"/>
      <c r="AH47" s="1790"/>
      <c r="AI47" s="1790"/>
      <c r="AJ47" s="1790"/>
      <c r="AK47" s="1790"/>
      <c r="AL47" s="1790"/>
      <c r="AM47" s="1790"/>
      <c r="AN47" s="1790"/>
      <c r="AO47" s="1790"/>
      <c r="AP47" s="1790"/>
    </row>
    <row r="48" spans="1:42">
      <c r="A48" s="1646"/>
      <c r="B48" s="1866"/>
      <c r="C48" s="1866"/>
      <c r="D48" s="1866"/>
      <c r="E48" s="1866"/>
      <c r="F48" s="1790"/>
      <c r="G48" s="1790"/>
      <c r="H48" s="1790"/>
      <c r="I48" s="1790"/>
      <c r="J48" s="1790"/>
      <c r="K48" s="1790"/>
      <c r="L48" s="1790"/>
      <c r="M48" s="1790"/>
      <c r="N48" s="1790"/>
      <c r="O48" s="1790"/>
      <c r="P48" s="1790"/>
      <c r="Q48" s="1790"/>
      <c r="R48" s="1790"/>
      <c r="S48" s="1790"/>
      <c r="T48" s="1790"/>
      <c r="U48" s="1790"/>
      <c r="V48" s="1790"/>
      <c r="W48" s="1790"/>
      <c r="X48" s="1790"/>
      <c r="Y48" s="1790"/>
      <c r="Z48" s="1790"/>
      <c r="AA48" s="1790"/>
      <c r="AB48" s="1790"/>
      <c r="AC48" s="1790"/>
      <c r="AD48" s="1790"/>
      <c r="AE48" s="1790"/>
      <c r="AF48" s="1790"/>
      <c r="AG48" s="1790"/>
      <c r="AH48" s="1790"/>
      <c r="AI48" s="1790"/>
      <c r="AJ48" s="1790"/>
      <c r="AK48" s="1790"/>
      <c r="AL48" s="1790"/>
      <c r="AM48" s="1790"/>
      <c r="AN48" s="1790"/>
      <c r="AO48" s="1790"/>
      <c r="AP48" s="1790"/>
    </row>
    <row r="49" spans="1:42">
      <c r="A49" s="1646"/>
      <c r="B49" s="1866"/>
      <c r="C49" s="1866"/>
      <c r="D49" s="1866"/>
      <c r="E49" s="1866"/>
      <c r="F49" s="1790"/>
      <c r="G49" s="1790"/>
      <c r="H49" s="1790"/>
      <c r="I49" s="1790"/>
      <c r="J49" s="1790"/>
      <c r="K49" s="1790"/>
      <c r="L49" s="1790"/>
      <c r="M49" s="1790"/>
      <c r="N49" s="1790"/>
      <c r="O49" s="1790"/>
      <c r="P49" s="1790"/>
      <c r="Q49" s="1790"/>
      <c r="R49" s="1790"/>
      <c r="S49" s="1790"/>
      <c r="T49" s="1790"/>
      <c r="U49" s="1790"/>
      <c r="V49" s="1790"/>
      <c r="W49" s="1790"/>
      <c r="X49" s="1790"/>
      <c r="Y49" s="1790"/>
      <c r="Z49" s="1790"/>
      <c r="AA49" s="1790"/>
      <c r="AB49" s="1790"/>
      <c r="AC49" s="1790"/>
      <c r="AD49" s="1790"/>
      <c r="AE49" s="1790"/>
      <c r="AF49" s="1790"/>
      <c r="AG49" s="1790"/>
      <c r="AH49" s="1790"/>
      <c r="AI49" s="1790"/>
      <c r="AJ49" s="1790"/>
      <c r="AK49" s="1790"/>
      <c r="AL49" s="1790"/>
      <c r="AM49" s="1790"/>
      <c r="AN49" s="1790"/>
      <c r="AO49" s="1790"/>
      <c r="AP49" s="1790"/>
    </row>
    <row r="50" spans="1:42">
      <c r="A50" s="1646"/>
      <c r="B50" s="1866"/>
      <c r="C50" s="1866"/>
      <c r="D50" s="1866"/>
      <c r="E50" s="1866"/>
      <c r="F50" s="1790"/>
      <c r="G50" s="1790"/>
      <c r="H50" s="1790"/>
      <c r="I50" s="1790"/>
      <c r="J50" s="1790"/>
      <c r="K50" s="1790"/>
      <c r="L50" s="1790"/>
      <c r="M50" s="1790"/>
      <c r="N50" s="1790"/>
      <c r="O50" s="1790"/>
      <c r="P50" s="1790"/>
      <c r="Q50" s="1790"/>
      <c r="R50" s="1790"/>
      <c r="S50" s="1790"/>
      <c r="T50" s="1790"/>
      <c r="U50" s="1790"/>
      <c r="V50" s="1790"/>
      <c r="W50" s="1790"/>
      <c r="X50" s="1790"/>
      <c r="Y50" s="1790"/>
      <c r="Z50" s="1790"/>
      <c r="AA50" s="1790"/>
      <c r="AB50" s="1790"/>
      <c r="AC50" s="1790"/>
      <c r="AD50" s="1790"/>
      <c r="AE50" s="1790"/>
      <c r="AF50" s="1790"/>
      <c r="AG50" s="1790"/>
      <c r="AH50" s="1790"/>
      <c r="AI50" s="1790"/>
      <c r="AJ50" s="1790"/>
      <c r="AK50" s="1790"/>
      <c r="AL50" s="1790"/>
      <c r="AM50" s="1790"/>
      <c r="AN50" s="1790"/>
      <c r="AO50" s="1790"/>
      <c r="AP50" s="1790"/>
    </row>
    <row r="51" spans="1:42">
      <c r="A51" s="1646"/>
      <c r="B51" s="1866"/>
      <c r="C51" s="1866"/>
      <c r="D51" s="1866"/>
      <c r="E51" s="1866"/>
      <c r="F51" s="1790"/>
      <c r="G51" s="1790"/>
      <c r="H51" s="1790"/>
      <c r="I51" s="1790"/>
      <c r="J51" s="1790"/>
      <c r="K51" s="1790"/>
      <c r="L51" s="1790"/>
      <c r="M51" s="1790"/>
      <c r="N51" s="1790"/>
      <c r="O51" s="1790"/>
      <c r="P51" s="1790"/>
      <c r="Q51" s="1790"/>
      <c r="R51" s="1790"/>
      <c r="S51" s="1790"/>
      <c r="T51" s="1790"/>
      <c r="U51" s="1790"/>
      <c r="V51" s="1790"/>
      <c r="W51" s="1790"/>
      <c r="X51" s="1790"/>
      <c r="Y51" s="1790"/>
      <c r="Z51" s="1790"/>
      <c r="AA51" s="1790"/>
      <c r="AB51" s="1790"/>
      <c r="AC51" s="1790"/>
      <c r="AD51" s="1790"/>
      <c r="AE51" s="1790"/>
      <c r="AF51" s="1790"/>
      <c r="AG51" s="1790"/>
      <c r="AH51" s="1790"/>
      <c r="AI51" s="1790"/>
      <c r="AJ51" s="1790"/>
      <c r="AK51" s="1790"/>
      <c r="AL51" s="1790"/>
      <c r="AM51" s="1790"/>
      <c r="AN51" s="1790"/>
      <c r="AO51" s="1790"/>
      <c r="AP51" s="1790"/>
    </row>
    <row r="53" spans="1:42" hidden="1">
      <c r="E53" s="1895" t="e">
        <f>#REF!/4266.91</f>
        <v>#REF!</v>
      </c>
    </row>
  </sheetData>
  <mergeCells count="10">
    <mergeCell ref="B12:D12"/>
    <mergeCell ref="B26:D26"/>
    <mergeCell ref="B29:D29"/>
    <mergeCell ref="C31:D31"/>
    <mergeCell ref="A2:F2"/>
    <mergeCell ref="F8:F9"/>
    <mergeCell ref="A10:A11"/>
    <mergeCell ref="B10:D11"/>
    <mergeCell ref="E10:E11"/>
    <mergeCell ref="F10:F11"/>
  </mergeCells>
  <pageMargins left="0.62992125984251968" right="0.70866141732283472" top="0.31496062992125984" bottom="0.23622047244094491" header="0.31496062992125984" footer="0.1574803149606299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282"/>
  <sheetViews>
    <sheetView showGridLines="0" view="pageBreakPreview" topLeftCell="A28" zoomScaleNormal="100" zoomScaleSheetLayoutView="100" workbookViewId="0">
      <selection activeCell="F32" sqref="F32"/>
    </sheetView>
  </sheetViews>
  <sheetFormatPr defaultRowHeight="18" customHeight="1"/>
  <cols>
    <col min="1" max="1" width="12.28515625" style="1570" customWidth="1"/>
    <col min="2" max="2" width="10.28515625" style="1779" customWidth="1"/>
    <col min="3" max="3" width="22" style="1570" customWidth="1"/>
    <col min="4" max="4" width="7.7109375" style="1570" customWidth="1"/>
    <col min="5" max="5" width="30.28515625" style="1570" customWidth="1"/>
    <col min="6" max="6" width="27.42578125" style="1570" customWidth="1"/>
    <col min="7" max="7" width="15" style="1570" customWidth="1"/>
    <col min="8" max="8" width="23.85546875" style="1570" customWidth="1"/>
    <col min="9" max="41" width="18.42578125" style="1570" customWidth="1"/>
    <col min="42" max="42" width="10.28515625" style="1570" hidden="1" customWidth="1"/>
    <col min="43" max="43" width="13.7109375" style="1570" hidden="1" customWidth="1"/>
    <col min="44" max="16384" width="9.140625" style="1570"/>
  </cols>
  <sheetData>
    <row r="1" spans="1:43" ht="18" customHeight="1">
      <c r="A1" s="1781"/>
      <c r="B1" s="1747"/>
      <c r="C1" s="1781"/>
      <c r="D1" s="1781"/>
      <c r="E1" s="1781"/>
      <c r="F1" s="1781"/>
      <c r="G1" s="1781"/>
      <c r="H1" s="1896" t="s">
        <v>482</v>
      </c>
      <c r="I1" s="1893" t="s">
        <v>489</v>
      </c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</row>
    <row r="2" spans="1:43" ht="18" customHeight="1">
      <c r="A2" s="1943" t="s">
        <v>1</v>
      </c>
      <c r="B2" s="1943"/>
      <c r="C2" s="1943"/>
      <c r="D2" s="1943"/>
      <c r="E2" s="1943"/>
      <c r="F2" s="1943"/>
      <c r="G2" s="1943"/>
      <c r="H2" s="1943"/>
      <c r="I2" s="1943"/>
      <c r="J2" s="1747"/>
      <c r="K2" s="1747"/>
      <c r="L2" s="1747"/>
      <c r="M2" s="1747"/>
      <c r="N2" s="1747"/>
      <c r="O2" s="1747"/>
      <c r="P2" s="1747"/>
      <c r="Q2" s="1747"/>
      <c r="R2" s="1747"/>
      <c r="S2" s="1747"/>
      <c r="T2" s="1747"/>
      <c r="U2" s="1747"/>
      <c r="V2" s="1747"/>
      <c r="W2" s="1747"/>
      <c r="X2" s="1747"/>
      <c r="Y2" s="1747"/>
      <c r="Z2" s="1747"/>
      <c r="AA2" s="1747"/>
      <c r="AB2" s="1747"/>
      <c r="AC2" s="1747"/>
      <c r="AD2" s="1747"/>
      <c r="AE2" s="1747"/>
      <c r="AF2" s="1747"/>
      <c r="AG2" s="1747"/>
      <c r="AH2" s="1747"/>
      <c r="AI2" s="1747"/>
      <c r="AJ2" s="1747"/>
      <c r="AK2" s="1747"/>
      <c r="AL2" s="1747"/>
      <c r="AM2" s="1747"/>
      <c r="AN2" s="1747"/>
      <c r="AO2" s="1747"/>
      <c r="AP2" s="1781"/>
    </row>
    <row r="3" spans="1:43" ht="18" customHeight="1">
      <c r="A3" s="1722" t="s">
        <v>2</v>
      </c>
      <c r="B3" s="1830" t="s">
        <v>469</v>
      </c>
      <c r="C3" s="1749"/>
      <c r="D3" s="1749"/>
      <c r="E3" s="1749"/>
      <c r="F3" s="1749"/>
      <c r="G3" s="1749"/>
      <c r="H3" s="1831"/>
      <c r="I3" s="1831"/>
      <c r="J3" s="1790"/>
      <c r="K3" s="1790"/>
      <c r="L3" s="1790"/>
      <c r="M3" s="1790"/>
      <c r="N3" s="1790"/>
      <c r="O3" s="1790"/>
      <c r="P3" s="1790"/>
      <c r="Q3" s="1790"/>
      <c r="R3" s="1790"/>
      <c r="S3" s="1790"/>
      <c r="T3" s="1790"/>
      <c r="U3" s="1790"/>
      <c r="V3" s="1790"/>
      <c r="W3" s="1790"/>
      <c r="X3" s="1790"/>
      <c r="Y3" s="1790"/>
      <c r="Z3" s="1790"/>
      <c r="AA3" s="1790"/>
      <c r="AB3" s="1790"/>
      <c r="AC3" s="1790"/>
      <c r="AD3" s="1790"/>
      <c r="AE3" s="1790"/>
      <c r="AF3" s="1790"/>
      <c r="AG3" s="1790"/>
      <c r="AH3" s="1790"/>
      <c r="AI3" s="1790"/>
      <c r="AJ3" s="1790"/>
      <c r="AK3" s="1790"/>
      <c r="AL3" s="1790"/>
      <c r="AM3" s="1790"/>
      <c r="AN3" s="1790"/>
      <c r="AO3" s="1790"/>
    </row>
    <row r="4" spans="1:43" ht="18" customHeight="1">
      <c r="A4" s="1641" t="s">
        <v>467</v>
      </c>
      <c r="B4" s="1832" t="s">
        <v>468</v>
      </c>
      <c r="C4" s="1749"/>
      <c r="D4" s="1751"/>
      <c r="E4" s="1751"/>
      <c r="F4" s="1751"/>
      <c r="G4" s="1751"/>
      <c r="H4" s="1755"/>
      <c r="I4" s="1755"/>
      <c r="J4" s="1790"/>
      <c r="K4" s="1790"/>
      <c r="L4" s="1790"/>
      <c r="M4" s="1790"/>
      <c r="N4" s="1790"/>
      <c r="O4" s="1790"/>
      <c r="P4" s="1790"/>
      <c r="Q4" s="1790"/>
      <c r="R4" s="1790"/>
      <c r="S4" s="1790"/>
      <c r="T4" s="1790"/>
      <c r="U4" s="1790"/>
      <c r="V4" s="1790"/>
      <c r="W4" s="1790"/>
      <c r="X4" s="1790"/>
      <c r="Y4" s="1790"/>
      <c r="Z4" s="1790"/>
      <c r="AA4" s="1790"/>
      <c r="AB4" s="1790"/>
      <c r="AC4" s="1790"/>
      <c r="AD4" s="1790"/>
      <c r="AE4" s="1790"/>
      <c r="AF4" s="1790"/>
      <c r="AG4" s="1790"/>
      <c r="AH4" s="1790"/>
      <c r="AI4" s="1790"/>
      <c r="AJ4" s="1790"/>
      <c r="AK4" s="1790"/>
      <c r="AL4" s="1790"/>
      <c r="AM4" s="1790"/>
      <c r="AN4" s="1790"/>
      <c r="AO4" s="1790"/>
    </row>
    <row r="5" spans="1:43" ht="18" customHeight="1">
      <c r="A5" s="1641" t="s">
        <v>4</v>
      </c>
      <c r="B5" s="1752"/>
      <c r="C5" s="1749" t="s">
        <v>484</v>
      </c>
      <c r="D5" s="1641"/>
      <c r="E5" s="1641"/>
      <c r="F5" s="1641"/>
      <c r="G5" s="1641"/>
      <c r="H5" s="1767"/>
      <c r="I5" s="1768" t="s">
        <v>1993</v>
      </c>
      <c r="J5" s="1769"/>
      <c r="K5" s="1769"/>
      <c r="L5" s="1769"/>
      <c r="M5" s="1769"/>
      <c r="N5" s="1769"/>
      <c r="O5" s="1769"/>
      <c r="P5" s="1769"/>
      <c r="Q5" s="1769"/>
      <c r="R5" s="1769"/>
      <c r="S5" s="1769"/>
      <c r="T5" s="1769"/>
      <c r="U5" s="1769"/>
      <c r="V5" s="1769"/>
      <c r="W5" s="1769"/>
      <c r="X5" s="1769"/>
      <c r="Y5" s="1769"/>
      <c r="Z5" s="1769"/>
      <c r="AA5" s="1769"/>
      <c r="AB5" s="1769"/>
      <c r="AC5" s="1769"/>
      <c r="AD5" s="1769"/>
      <c r="AE5" s="1769"/>
      <c r="AF5" s="1769"/>
      <c r="AG5" s="1769"/>
      <c r="AH5" s="1769"/>
      <c r="AI5" s="1769"/>
      <c r="AJ5" s="1769"/>
      <c r="AK5" s="1769"/>
      <c r="AL5" s="1769"/>
      <c r="AM5" s="1769"/>
      <c r="AN5" s="1769"/>
      <c r="AO5" s="1769"/>
    </row>
    <row r="6" spans="1:43" ht="18" customHeight="1">
      <c r="A6" s="1641" t="s">
        <v>5</v>
      </c>
      <c r="B6" s="1752"/>
      <c r="C6" s="1641" t="s">
        <v>478</v>
      </c>
      <c r="D6" s="1641"/>
      <c r="E6" s="1641"/>
      <c r="F6" s="1641"/>
      <c r="G6" s="1641"/>
      <c r="H6" s="2068"/>
      <c r="I6" s="2068"/>
      <c r="J6" s="1833"/>
      <c r="K6" s="1833"/>
      <c r="L6" s="1833"/>
      <c r="M6" s="1833"/>
      <c r="N6" s="1833"/>
      <c r="O6" s="1833"/>
      <c r="P6" s="1833"/>
      <c r="Q6" s="1833"/>
      <c r="R6" s="1833"/>
      <c r="S6" s="1833"/>
      <c r="T6" s="1833"/>
      <c r="U6" s="1833"/>
      <c r="V6" s="1833"/>
      <c r="W6" s="1833"/>
      <c r="X6" s="1833"/>
      <c r="Y6" s="1833"/>
      <c r="Z6" s="1833"/>
      <c r="AA6" s="1833"/>
      <c r="AB6" s="1833"/>
      <c r="AC6" s="1833"/>
      <c r="AD6" s="1833"/>
      <c r="AE6" s="1833"/>
      <c r="AF6" s="1833"/>
      <c r="AG6" s="1833"/>
      <c r="AH6" s="1833"/>
      <c r="AI6" s="1833"/>
      <c r="AJ6" s="1833"/>
      <c r="AK6" s="1833"/>
      <c r="AL6" s="1833"/>
      <c r="AM6" s="1833"/>
      <c r="AN6" s="1833"/>
      <c r="AO6" s="1833"/>
    </row>
    <row r="7" spans="1:43" ht="18" customHeight="1">
      <c r="A7" s="1641" t="s">
        <v>6</v>
      </c>
      <c r="B7" s="1752"/>
      <c r="C7" s="1696"/>
      <c r="D7" s="1696" t="s">
        <v>476</v>
      </c>
      <c r="E7" s="1834"/>
      <c r="F7" s="1834"/>
      <c r="G7" s="1834"/>
      <c r="H7" s="1755"/>
      <c r="I7" s="1755"/>
      <c r="J7" s="1790"/>
      <c r="K7" s="1790"/>
      <c r="L7" s="1790"/>
      <c r="M7" s="1790"/>
      <c r="N7" s="1790"/>
      <c r="O7" s="1790"/>
      <c r="P7" s="1790"/>
      <c r="Q7" s="1790"/>
      <c r="R7" s="1790"/>
      <c r="S7" s="1790"/>
      <c r="T7" s="1790"/>
      <c r="U7" s="1790"/>
      <c r="V7" s="1790"/>
      <c r="W7" s="1790"/>
      <c r="X7" s="1790"/>
      <c r="Y7" s="1790"/>
      <c r="Z7" s="1790"/>
      <c r="AA7" s="1790"/>
      <c r="AB7" s="1790"/>
      <c r="AC7" s="1790"/>
      <c r="AD7" s="1790"/>
      <c r="AE7" s="1790"/>
      <c r="AF7" s="1790"/>
      <c r="AG7" s="1790"/>
      <c r="AH7" s="1790"/>
      <c r="AI7" s="1790"/>
      <c r="AJ7" s="1790"/>
      <c r="AK7" s="1790"/>
      <c r="AL7" s="1790"/>
      <c r="AM7" s="1790"/>
      <c r="AN7" s="1790"/>
      <c r="AO7" s="1790"/>
    </row>
    <row r="8" spans="1:43" ht="18" customHeight="1">
      <c r="A8" s="1641" t="s">
        <v>470</v>
      </c>
      <c r="B8" s="1752"/>
      <c r="C8" s="1641"/>
      <c r="D8" s="1754" t="s">
        <v>479</v>
      </c>
      <c r="E8" s="1754"/>
      <c r="F8" s="1754"/>
      <c r="G8" s="1754"/>
      <c r="H8" s="1755"/>
      <c r="I8" s="1755"/>
      <c r="J8" s="1790"/>
      <c r="K8" s="1790"/>
      <c r="L8" s="1790"/>
      <c r="M8" s="1790"/>
      <c r="N8" s="1790"/>
      <c r="O8" s="1790"/>
      <c r="P8" s="1790"/>
      <c r="Q8" s="1790"/>
      <c r="R8" s="1790"/>
      <c r="S8" s="1790"/>
      <c r="T8" s="1790"/>
      <c r="U8" s="1790"/>
      <c r="V8" s="1790"/>
      <c r="W8" s="1790"/>
      <c r="X8" s="1790"/>
      <c r="Y8" s="1790"/>
      <c r="Z8" s="1790"/>
      <c r="AA8" s="1790"/>
      <c r="AB8" s="1790"/>
      <c r="AC8" s="1790"/>
      <c r="AD8" s="1790"/>
      <c r="AE8" s="1790"/>
      <c r="AF8" s="1790"/>
      <c r="AG8" s="1790"/>
      <c r="AH8" s="1790"/>
      <c r="AI8" s="1790"/>
      <c r="AJ8" s="1790"/>
      <c r="AK8" s="1790"/>
      <c r="AL8" s="1790"/>
      <c r="AM8" s="1790"/>
      <c r="AN8" s="1790"/>
      <c r="AO8" s="1790"/>
      <c r="AQ8" s="1570" t="s">
        <v>28</v>
      </c>
    </row>
    <row r="9" spans="1:43" ht="18" customHeight="1">
      <c r="A9" s="1641" t="s">
        <v>49</v>
      </c>
      <c r="B9" s="1752"/>
      <c r="C9" s="1786"/>
      <c r="D9" s="1835" t="s">
        <v>50</v>
      </c>
      <c r="E9" s="1835"/>
      <c r="F9" s="1835"/>
      <c r="G9" s="1835"/>
      <c r="H9" s="1755"/>
      <c r="I9" s="1755"/>
      <c r="J9" s="1790"/>
      <c r="K9" s="1790"/>
      <c r="L9" s="1790"/>
      <c r="M9" s="1790"/>
      <c r="N9" s="1790"/>
      <c r="O9" s="1790"/>
      <c r="P9" s="1790"/>
      <c r="Q9" s="1790"/>
      <c r="R9" s="1790"/>
      <c r="S9" s="1790"/>
      <c r="T9" s="1790"/>
      <c r="U9" s="1790"/>
      <c r="V9" s="1790"/>
      <c r="W9" s="1790"/>
      <c r="X9" s="1790"/>
      <c r="Y9" s="1790"/>
      <c r="Z9" s="1790"/>
      <c r="AA9" s="1790"/>
      <c r="AB9" s="1790"/>
      <c r="AC9" s="1790"/>
      <c r="AD9" s="1790"/>
      <c r="AE9" s="1790"/>
      <c r="AF9" s="1790"/>
      <c r="AG9" s="1790"/>
      <c r="AH9" s="1790"/>
      <c r="AI9" s="1790"/>
      <c r="AJ9" s="1790"/>
      <c r="AK9" s="1790"/>
      <c r="AL9" s="1790"/>
      <c r="AM9" s="1790"/>
      <c r="AN9" s="1790"/>
      <c r="AO9" s="1790"/>
    </row>
    <row r="10" spans="1:43" ht="18" customHeight="1">
      <c r="A10" s="1641" t="s">
        <v>455</v>
      </c>
      <c r="B10" s="1641"/>
      <c r="C10" s="1777"/>
      <c r="D10" s="1641" t="s">
        <v>486</v>
      </c>
      <c r="E10" s="1751"/>
      <c r="F10" s="1751"/>
      <c r="G10" s="1751"/>
      <c r="H10" s="1755"/>
      <c r="I10" s="2062" t="s">
        <v>504</v>
      </c>
      <c r="J10" s="1778"/>
      <c r="K10" s="1778"/>
      <c r="L10" s="1778"/>
      <c r="M10" s="1778"/>
      <c r="N10" s="1778"/>
      <c r="O10" s="1778"/>
      <c r="P10" s="1778"/>
      <c r="Q10" s="1778"/>
      <c r="R10" s="1778"/>
      <c r="S10" s="1778"/>
      <c r="T10" s="1778"/>
      <c r="U10" s="1778"/>
      <c r="V10" s="1778"/>
      <c r="W10" s="1778"/>
      <c r="X10" s="1778"/>
      <c r="Y10" s="1778"/>
      <c r="Z10" s="1778"/>
      <c r="AA10" s="1778"/>
      <c r="AB10" s="1778"/>
      <c r="AC10" s="1778"/>
      <c r="AD10" s="1778"/>
      <c r="AE10" s="1778"/>
      <c r="AF10" s="1778"/>
      <c r="AG10" s="1778"/>
      <c r="AH10" s="1778"/>
      <c r="AI10" s="1778"/>
      <c r="AJ10" s="1778"/>
      <c r="AK10" s="1778"/>
      <c r="AL10" s="1778"/>
      <c r="AM10" s="1778"/>
      <c r="AN10" s="1778"/>
      <c r="AO10" s="1778"/>
    </row>
    <row r="11" spans="1:43" ht="8.25" customHeight="1" thickBot="1">
      <c r="C11" s="1780"/>
      <c r="D11" s="1781"/>
      <c r="E11" s="1781"/>
      <c r="F11" s="1781"/>
      <c r="G11" s="1781"/>
      <c r="H11" s="1836"/>
      <c r="I11" s="2063"/>
      <c r="J11" s="1778"/>
      <c r="K11" s="1778"/>
      <c r="L11" s="1778"/>
      <c r="M11" s="1778"/>
      <c r="N11" s="1778"/>
      <c r="O11" s="1778"/>
      <c r="P11" s="1778"/>
      <c r="Q11" s="1778"/>
      <c r="R11" s="1778"/>
      <c r="S11" s="1778"/>
      <c r="T11" s="1778"/>
      <c r="U11" s="1778"/>
      <c r="V11" s="1778"/>
      <c r="W11" s="1778"/>
      <c r="X11" s="1778"/>
      <c r="Y11" s="1778"/>
      <c r="Z11" s="1778"/>
      <c r="AA11" s="1778"/>
      <c r="AB11" s="1778"/>
      <c r="AC11" s="1778"/>
      <c r="AD11" s="1778"/>
      <c r="AE11" s="1778"/>
      <c r="AF11" s="1778"/>
      <c r="AG11" s="1778"/>
      <c r="AH11" s="1778"/>
      <c r="AI11" s="1778"/>
      <c r="AJ11" s="1778"/>
      <c r="AK11" s="1778"/>
      <c r="AL11" s="1778"/>
      <c r="AM11" s="1778"/>
      <c r="AN11" s="1778"/>
      <c r="AO11" s="1778"/>
    </row>
    <row r="12" spans="1:43" ht="18" customHeight="1" thickTop="1">
      <c r="A12" s="2069" t="s">
        <v>9</v>
      </c>
      <c r="B12" s="2071" t="s">
        <v>10</v>
      </c>
      <c r="C12" s="2072"/>
      <c r="D12" s="2072"/>
      <c r="E12" s="2073"/>
      <c r="F12" s="2069" t="s">
        <v>11</v>
      </c>
      <c r="G12" s="2069" t="s">
        <v>27</v>
      </c>
      <c r="H12" s="2077" t="s">
        <v>12</v>
      </c>
      <c r="I12" s="2077" t="s">
        <v>13</v>
      </c>
      <c r="J12" s="1837"/>
      <c r="K12" s="1837"/>
      <c r="L12" s="1837"/>
      <c r="M12" s="1837"/>
      <c r="N12" s="1837"/>
      <c r="O12" s="1837"/>
      <c r="P12" s="1837"/>
      <c r="Q12" s="1837"/>
      <c r="R12" s="1837"/>
      <c r="S12" s="1837"/>
      <c r="T12" s="1837"/>
      <c r="U12" s="1837"/>
      <c r="V12" s="1837"/>
      <c r="W12" s="1837"/>
      <c r="X12" s="1837"/>
      <c r="Y12" s="1837"/>
      <c r="Z12" s="1837"/>
      <c r="AA12" s="1837"/>
      <c r="AB12" s="1837"/>
      <c r="AC12" s="1837"/>
      <c r="AD12" s="1837"/>
      <c r="AE12" s="1837"/>
      <c r="AF12" s="1837"/>
      <c r="AG12" s="1837"/>
      <c r="AH12" s="1837"/>
      <c r="AI12" s="1837"/>
      <c r="AJ12" s="1837"/>
      <c r="AK12" s="1837"/>
      <c r="AL12" s="1837"/>
      <c r="AM12" s="1837"/>
      <c r="AN12" s="1837"/>
      <c r="AO12" s="1837"/>
    </row>
    <row r="13" spans="1:43" ht="18" customHeight="1" thickBot="1">
      <c r="A13" s="2070"/>
      <c r="B13" s="2074"/>
      <c r="C13" s="2075"/>
      <c r="D13" s="2075"/>
      <c r="E13" s="2076"/>
      <c r="F13" s="2070"/>
      <c r="G13" s="2070"/>
      <c r="H13" s="2078"/>
      <c r="I13" s="2078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837"/>
      <c r="W13" s="1837"/>
      <c r="X13" s="1837"/>
      <c r="Y13" s="1837"/>
      <c r="Z13" s="1837"/>
      <c r="AA13" s="1837"/>
      <c r="AB13" s="1837"/>
      <c r="AC13" s="1837"/>
      <c r="AD13" s="1837"/>
      <c r="AE13" s="1837"/>
      <c r="AF13" s="1837"/>
      <c r="AG13" s="1837"/>
      <c r="AH13" s="1837"/>
      <c r="AI13" s="1837"/>
      <c r="AJ13" s="1837"/>
      <c r="AK13" s="1837"/>
      <c r="AL13" s="1837"/>
      <c r="AM13" s="1837"/>
      <c r="AN13" s="1837"/>
      <c r="AO13" s="1837"/>
    </row>
    <row r="14" spans="1:43" ht="23.25" customHeight="1" thickTop="1">
      <c r="A14" s="1591" t="s">
        <v>14</v>
      </c>
      <c r="B14" s="2065" t="s">
        <v>15</v>
      </c>
      <c r="C14" s="2066"/>
      <c r="D14" s="2066"/>
      <c r="E14" s="1838"/>
      <c r="F14" s="1640"/>
      <c r="G14" s="1839"/>
      <c r="H14" s="1784"/>
      <c r="I14" s="1784"/>
      <c r="J14" s="1748"/>
      <c r="K14" s="1748"/>
      <c r="L14" s="1748"/>
      <c r="M14" s="1748"/>
      <c r="N14" s="1748"/>
      <c r="O14" s="1748"/>
      <c r="P14" s="1748"/>
      <c r="Q14" s="1748"/>
      <c r="R14" s="1748"/>
      <c r="S14" s="1748"/>
      <c r="T14" s="1748"/>
      <c r="U14" s="1748"/>
      <c r="V14" s="1748"/>
      <c r="W14" s="1748"/>
      <c r="X14" s="1748"/>
      <c r="Y14" s="1748"/>
      <c r="Z14" s="1748"/>
      <c r="AA14" s="1748"/>
      <c r="AB14" s="1748"/>
      <c r="AC14" s="1748"/>
      <c r="AD14" s="1748"/>
      <c r="AE14" s="1748"/>
      <c r="AF14" s="1748"/>
      <c r="AG14" s="1748"/>
      <c r="AH14" s="1748"/>
      <c r="AI14" s="1748"/>
      <c r="AJ14" s="1748"/>
      <c r="AK14" s="1748"/>
      <c r="AL14" s="1748"/>
      <c r="AM14" s="1748"/>
      <c r="AN14" s="1748"/>
      <c r="AO14" s="1748"/>
    </row>
    <row r="15" spans="1:43" ht="19.5" customHeight="1">
      <c r="A15" s="1785"/>
      <c r="B15" s="1786" t="s">
        <v>16</v>
      </c>
      <c r="C15" s="1751" t="s">
        <v>17</v>
      </c>
      <c r="D15" s="1751"/>
      <c r="E15" s="1751"/>
      <c r="F15" s="1840"/>
      <c r="G15" s="1787"/>
      <c r="H15" s="1841"/>
      <c r="I15" s="1789"/>
      <c r="J15" s="1790"/>
      <c r="K15" s="1790"/>
      <c r="L15" s="1790"/>
      <c r="M15" s="1790"/>
      <c r="N15" s="1790"/>
      <c r="O15" s="1790"/>
      <c r="P15" s="1790"/>
      <c r="Q15" s="1790"/>
      <c r="R15" s="1790"/>
      <c r="S15" s="1790"/>
      <c r="T15" s="1790"/>
      <c r="U15" s="1790"/>
      <c r="V15" s="1790"/>
      <c r="W15" s="1790"/>
      <c r="X15" s="1790"/>
      <c r="Y15" s="1790"/>
      <c r="Z15" s="1790"/>
      <c r="AA15" s="1790"/>
      <c r="AB15" s="1790"/>
      <c r="AC15" s="1790"/>
      <c r="AD15" s="1790"/>
      <c r="AE15" s="1790"/>
      <c r="AF15" s="1790"/>
      <c r="AG15" s="1790"/>
      <c r="AH15" s="1790"/>
      <c r="AI15" s="1790"/>
      <c r="AJ15" s="1790"/>
      <c r="AK15" s="1790"/>
      <c r="AL15" s="1790"/>
      <c r="AM15" s="1790"/>
      <c r="AN15" s="1790"/>
      <c r="AO15" s="1790"/>
    </row>
    <row r="16" spans="1:43" ht="20.25" customHeight="1">
      <c r="A16" s="1640"/>
      <c r="B16" s="1791" t="s">
        <v>72</v>
      </c>
      <c r="C16" s="1641" t="s">
        <v>492</v>
      </c>
      <c r="D16" s="1749"/>
      <c r="E16" s="1749"/>
      <c r="F16" s="1842"/>
      <c r="G16" s="360"/>
      <c r="H16" s="1843"/>
      <c r="I16" s="1793"/>
      <c r="J16" s="1790"/>
      <c r="K16" s="1790"/>
      <c r="L16" s="1790"/>
      <c r="M16" s="1790"/>
      <c r="N16" s="1790"/>
      <c r="O16" s="1790"/>
      <c r="P16" s="1790"/>
      <c r="Q16" s="1790"/>
      <c r="R16" s="1790"/>
      <c r="S16" s="1790"/>
      <c r="T16" s="1790"/>
      <c r="U16" s="1790"/>
      <c r="V16" s="1790"/>
      <c r="W16" s="1790"/>
      <c r="X16" s="1790"/>
      <c r="Y16" s="1790"/>
      <c r="Z16" s="1790"/>
      <c r="AA16" s="1790"/>
      <c r="AB16" s="1790"/>
      <c r="AC16" s="1790"/>
      <c r="AD16" s="1790"/>
      <c r="AE16" s="1790"/>
      <c r="AF16" s="1790"/>
      <c r="AG16" s="1790"/>
      <c r="AH16" s="1790"/>
      <c r="AI16" s="1790"/>
      <c r="AJ16" s="1790"/>
      <c r="AK16" s="1790"/>
      <c r="AL16" s="1790"/>
      <c r="AM16" s="1790"/>
      <c r="AN16" s="1790"/>
      <c r="AO16" s="1790"/>
      <c r="AP16" s="1794">
        <v>3329.91</v>
      </c>
      <c r="AQ16" s="1844">
        <f>H16/AP16</f>
        <v>0</v>
      </c>
    </row>
    <row r="17" spans="1:43" ht="21" customHeight="1">
      <c r="A17" s="1640"/>
      <c r="B17" s="1791" t="s">
        <v>72</v>
      </c>
      <c r="C17" s="1641" t="s">
        <v>29</v>
      </c>
      <c r="D17" s="1749"/>
      <c r="E17" s="1749"/>
      <c r="F17" s="1842"/>
      <c r="G17" s="1845"/>
      <c r="H17" s="1843"/>
      <c r="I17" s="1793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1790"/>
      <c r="AG17" s="1790"/>
      <c r="AH17" s="1790"/>
      <c r="AI17" s="1790"/>
      <c r="AJ17" s="1790"/>
      <c r="AK17" s="1790"/>
      <c r="AL17" s="1790"/>
      <c r="AM17" s="1790"/>
      <c r="AN17" s="1790"/>
      <c r="AO17" s="1790"/>
      <c r="AP17" s="1794">
        <v>3329.91</v>
      </c>
      <c r="AQ17" s="1844">
        <f t="shared" ref="AQ17:AQ20" si="0">H17/AP17</f>
        <v>0</v>
      </c>
    </row>
    <row r="18" spans="1:43" ht="19.5" customHeight="1">
      <c r="A18" s="1640"/>
      <c r="B18" s="1791" t="s">
        <v>72</v>
      </c>
      <c r="C18" s="1641" t="s">
        <v>493</v>
      </c>
      <c r="D18" s="1749"/>
      <c r="E18" s="1749"/>
      <c r="F18" s="1841"/>
      <c r="G18" s="1845"/>
      <c r="H18" s="1843"/>
      <c r="I18" s="1793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1790"/>
      <c r="AG18" s="1790"/>
      <c r="AH18" s="1790"/>
      <c r="AI18" s="1790"/>
      <c r="AJ18" s="1790"/>
      <c r="AK18" s="1790"/>
      <c r="AL18" s="1790"/>
      <c r="AM18" s="1790"/>
      <c r="AN18" s="1790"/>
      <c r="AO18" s="1790"/>
      <c r="AP18" s="1794">
        <v>3329.91</v>
      </c>
      <c r="AQ18" s="1844">
        <f t="shared" si="0"/>
        <v>0</v>
      </c>
    </row>
    <row r="19" spans="1:43" ht="20.25" customHeight="1">
      <c r="A19" s="1640"/>
      <c r="B19" s="1791" t="s">
        <v>72</v>
      </c>
      <c r="C19" s="1641" t="s">
        <v>494</v>
      </c>
      <c r="D19" s="1749"/>
      <c r="E19" s="1749"/>
      <c r="F19" s="1846"/>
      <c r="G19" s="1845"/>
      <c r="H19" s="1843"/>
      <c r="I19" s="1793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1790"/>
      <c r="AG19" s="1790"/>
      <c r="AH19" s="1790"/>
      <c r="AI19" s="1790"/>
      <c r="AJ19" s="1790"/>
      <c r="AK19" s="1790"/>
      <c r="AL19" s="1790"/>
      <c r="AM19" s="1790"/>
      <c r="AN19" s="1790"/>
      <c r="AO19" s="1790"/>
      <c r="AP19" s="1794">
        <v>3329.91</v>
      </c>
      <c r="AQ19" s="1844">
        <f t="shared" si="0"/>
        <v>0</v>
      </c>
    </row>
    <row r="20" spans="1:43" ht="19.5" customHeight="1">
      <c r="A20" s="1640"/>
      <c r="B20" s="1791" t="s">
        <v>72</v>
      </c>
      <c r="C20" s="1641" t="s">
        <v>495</v>
      </c>
      <c r="D20" s="1749"/>
      <c r="E20" s="1749"/>
      <c r="F20" s="1846"/>
      <c r="G20" s="1845"/>
      <c r="H20" s="1843"/>
      <c r="I20" s="1793"/>
      <c r="J20" s="1790"/>
      <c r="K20" s="1790"/>
      <c r="L20" s="1790"/>
      <c r="M20" s="1790"/>
      <c r="N20" s="1790"/>
      <c r="O20" s="1790"/>
      <c r="P20" s="1790"/>
      <c r="Q20" s="1790"/>
      <c r="R20" s="1790"/>
      <c r="S20" s="1790"/>
      <c r="T20" s="1790"/>
      <c r="U20" s="1790"/>
      <c r="V20" s="1790"/>
      <c r="W20" s="1790"/>
      <c r="X20" s="1790"/>
      <c r="Y20" s="1790"/>
      <c r="Z20" s="1790"/>
      <c r="AA20" s="1790"/>
      <c r="AB20" s="1790"/>
      <c r="AC20" s="1790"/>
      <c r="AD20" s="1790"/>
      <c r="AE20" s="1790"/>
      <c r="AF20" s="1790"/>
      <c r="AG20" s="1790"/>
      <c r="AH20" s="1790"/>
      <c r="AI20" s="1790"/>
      <c r="AJ20" s="1790"/>
      <c r="AK20" s="1790"/>
      <c r="AL20" s="1790"/>
      <c r="AM20" s="1790"/>
      <c r="AN20" s="1790"/>
      <c r="AO20" s="1790"/>
      <c r="AP20" s="1794">
        <v>3329.91</v>
      </c>
      <c r="AQ20" s="1844">
        <f t="shared" si="0"/>
        <v>0</v>
      </c>
    </row>
    <row r="21" spans="1:43" ht="20.25" customHeight="1">
      <c r="A21" s="1640"/>
      <c r="B21" s="1796" t="s">
        <v>72</v>
      </c>
      <c r="C21" s="1797" t="s">
        <v>496</v>
      </c>
      <c r="D21" s="1798"/>
      <c r="E21" s="1798"/>
      <c r="F21" s="1847"/>
      <c r="G21" s="1848"/>
      <c r="H21" s="1849"/>
      <c r="I21" s="1793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1790"/>
      <c r="AG21" s="1790"/>
      <c r="AH21" s="1790"/>
      <c r="AI21" s="1790"/>
      <c r="AJ21" s="1790"/>
      <c r="AK21" s="1790"/>
      <c r="AL21" s="1790"/>
      <c r="AM21" s="1790"/>
      <c r="AN21" s="1790"/>
      <c r="AO21" s="1790"/>
    </row>
    <row r="22" spans="1:43" ht="18" customHeight="1">
      <c r="A22" s="1640"/>
      <c r="B22" s="1800" t="s">
        <v>18</v>
      </c>
      <c r="C22" s="1749" t="s">
        <v>19</v>
      </c>
      <c r="D22" s="1722"/>
      <c r="E22" s="1722"/>
      <c r="F22" s="1846"/>
      <c r="G22" s="1722"/>
      <c r="H22" s="1843"/>
      <c r="I22" s="1793"/>
      <c r="J22" s="1790"/>
      <c r="K22" s="1790"/>
      <c r="L22" s="1790"/>
      <c r="M22" s="1790"/>
      <c r="N22" s="1790"/>
      <c r="O22" s="1790"/>
      <c r="P22" s="1790"/>
      <c r="Q22" s="1790"/>
      <c r="R22" s="1790"/>
      <c r="S22" s="1790"/>
      <c r="T22" s="1790"/>
      <c r="U22" s="1790"/>
      <c r="V22" s="1790"/>
      <c r="W22" s="1790"/>
      <c r="X22" s="1790"/>
      <c r="Y22" s="1790"/>
      <c r="Z22" s="1790"/>
      <c r="AA22" s="1790"/>
      <c r="AB22" s="1790"/>
      <c r="AC22" s="1790"/>
      <c r="AD22" s="1790"/>
      <c r="AE22" s="1790"/>
      <c r="AF22" s="1790"/>
      <c r="AG22" s="1790"/>
      <c r="AH22" s="1790"/>
      <c r="AI22" s="1790"/>
      <c r="AJ22" s="1790"/>
      <c r="AK22" s="1790"/>
      <c r="AL22" s="1790"/>
      <c r="AM22" s="1790"/>
      <c r="AN22" s="1790"/>
      <c r="AO22" s="1790"/>
    </row>
    <row r="23" spans="1:43" ht="22.5" customHeight="1">
      <c r="A23" s="1640"/>
      <c r="B23" s="1791" t="s">
        <v>72</v>
      </c>
      <c r="C23" s="1641" t="s">
        <v>497</v>
      </c>
      <c r="D23" s="1641"/>
      <c r="E23" s="1722"/>
      <c r="F23" s="1846"/>
      <c r="G23" s="1845"/>
      <c r="H23" s="1843"/>
      <c r="I23" s="1793"/>
      <c r="J23" s="1790"/>
      <c r="K23" s="1790"/>
      <c r="L23" s="1790"/>
      <c r="M23" s="1790"/>
      <c r="N23" s="1790"/>
      <c r="O23" s="1790"/>
      <c r="P23" s="1790"/>
      <c r="Q23" s="1790"/>
      <c r="R23" s="1790"/>
      <c r="S23" s="1790"/>
      <c r="T23" s="1790"/>
      <c r="U23" s="1790"/>
      <c r="V23" s="1790"/>
      <c r="W23" s="1790"/>
      <c r="X23" s="1790"/>
      <c r="Y23" s="1790"/>
      <c r="Z23" s="1790"/>
      <c r="AA23" s="1790"/>
      <c r="AB23" s="1790"/>
      <c r="AC23" s="1790"/>
      <c r="AD23" s="1790"/>
      <c r="AE23" s="1790"/>
      <c r="AF23" s="1790"/>
      <c r="AG23" s="1790"/>
      <c r="AH23" s="1790"/>
      <c r="AI23" s="1790"/>
      <c r="AJ23" s="1790"/>
      <c r="AK23" s="1790"/>
      <c r="AL23" s="1790"/>
      <c r="AM23" s="1790"/>
      <c r="AN23" s="1790"/>
      <c r="AO23" s="1790"/>
    </row>
    <row r="24" spans="1:43" ht="21" customHeight="1">
      <c r="A24" s="1640"/>
      <c r="B24" s="1796" t="s">
        <v>72</v>
      </c>
      <c r="C24" s="1797" t="s">
        <v>498</v>
      </c>
      <c r="D24" s="1797"/>
      <c r="E24" s="1802"/>
      <c r="F24" s="1847"/>
      <c r="G24" s="1848"/>
      <c r="H24" s="1849"/>
      <c r="I24" s="1793"/>
      <c r="J24" s="1790"/>
      <c r="K24" s="1790"/>
      <c r="L24" s="1790"/>
      <c r="M24" s="1790"/>
      <c r="N24" s="1790"/>
      <c r="O24" s="1790"/>
      <c r="P24" s="1790"/>
      <c r="Q24" s="1790"/>
      <c r="R24" s="1790"/>
      <c r="S24" s="1790"/>
      <c r="T24" s="1790"/>
      <c r="U24" s="1790"/>
      <c r="V24" s="1790"/>
      <c r="W24" s="1790"/>
      <c r="X24" s="1790"/>
      <c r="Y24" s="1790"/>
      <c r="Z24" s="1790"/>
      <c r="AA24" s="1790"/>
      <c r="AB24" s="1790"/>
      <c r="AC24" s="1790"/>
      <c r="AD24" s="1790"/>
      <c r="AE24" s="1790"/>
      <c r="AF24" s="1790"/>
      <c r="AG24" s="1790"/>
      <c r="AH24" s="1790"/>
      <c r="AI24" s="1790"/>
      <c r="AJ24" s="1790"/>
      <c r="AK24" s="1790"/>
      <c r="AL24" s="1790"/>
      <c r="AM24" s="1790"/>
      <c r="AN24" s="1790"/>
      <c r="AO24" s="1790"/>
    </row>
    <row r="25" spans="1:43" ht="18.75" customHeight="1">
      <c r="A25" s="1640"/>
      <c r="B25" s="1803" t="s">
        <v>472</v>
      </c>
      <c r="C25" s="1749" t="s">
        <v>467</v>
      </c>
      <c r="D25" s="1722"/>
      <c r="E25" s="1804"/>
      <c r="F25" s="1846"/>
      <c r="G25" s="1838"/>
      <c r="H25" s="1843"/>
      <c r="I25" s="1793"/>
      <c r="J25" s="1790"/>
      <c r="K25" s="1790"/>
      <c r="L25" s="1790"/>
      <c r="M25" s="1790"/>
      <c r="N25" s="1790"/>
      <c r="O25" s="1790"/>
      <c r="P25" s="1790"/>
      <c r="Q25" s="1790"/>
      <c r="R25" s="1790"/>
      <c r="S25" s="1790"/>
      <c r="T25" s="1790"/>
      <c r="U25" s="1790"/>
      <c r="V25" s="1790"/>
      <c r="W25" s="1790"/>
      <c r="X25" s="1790"/>
      <c r="Y25" s="1790"/>
      <c r="Z25" s="1790"/>
      <c r="AA25" s="1790"/>
      <c r="AB25" s="1790"/>
      <c r="AC25" s="1790"/>
      <c r="AD25" s="1790"/>
      <c r="AE25" s="1790"/>
      <c r="AF25" s="1790"/>
      <c r="AG25" s="1790"/>
      <c r="AH25" s="1790"/>
      <c r="AI25" s="1790"/>
      <c r="AJ25" s="1790"/>
      <c r="AK25" s="1790"/>
      <c r="AL25" s="1790"/>
      <c r="AM25" s="1790"/>
      <c r="AN25" s="1790"/>
      <c r="AO25" s="1790"/>
    </row>
    <row r="26" spans="1:43" ht="21" customHeight="1">
      <c r="A26" s="1640"/>
      <c r="B26" s="1791" t="s">
        <v>72</v>
      </c>
      <c r="C26" s="1641" t="s">
        <v>499</v>
      </c>
      <c r="D26" s="1641"/>
      <c r="E26" s="1801"/>
      <c r="F26" s="1846"/>
      <c r="G26" s="1845"/>
      <c r="H26" s="1843"/>
      <c r="I26" s="1793"/>
      <c r="J26" s="1790"/>
      <c r="K26" s="1790"/>
      <c r="L26" s="1790"/>
      <c r="M26" s="1790"/>
      <c r="N26" s="1790"/>
      <c r="O26" s="1790"/>
      <c r="P26" s="1790"/>
      <c r="Q26" s="1790"/>
      <c r="R26" s="1790"/>
      <c r="S26" s="1790"/>
      <c r="T26" s="1790"/>
      <c r="U26" s="1790"/>
      <c r="V26" s="1790"/>
      <c r="W26" s="1790"/>
      <c r="X26" s="1790"/>
      <c r="Y26" s="1790"/>
      <c r="Z26" s="1790"/>
      <c r="AA26" s="1790"/>
      <c r="AB26" s="1790"/>
      <c r="AC26" s="1790"/>
      <c r="AD26" s="1790"/>
      <c r="AE26" s="1790"/>
      <c r="AF26" s="1790"/>
      <c r="AG26" s="1790"/>
      <c r="AH26" s="1790"/>
      <c r="AI26" s="1790"/>
      <c r="AJ26" s="1790"/>
      <c r="AK26" s="1790"/>
      <c r="AL26" s="1790"/>
      <c r="AM26" s="1790"/>
      <c r="AN26" s="1790"/>
      <c r="AO26" s="1790"/>
      <c r="AP26" s="1794">
        <v>937</v>
      </c>
      <c r="AQ26" s="1844">
        <f>H26/AP26</f>
        <v>0</v>
      </c>
    </row>
    <row r="27" spans="1:43" ht="21" customHeight="1">
      <c r="A27" s="1806"/>
      <c r="B27" s="1807" t="s">
        <v>72</v>
      </c>
      <c r="C27" s="1808" t="s">
        <v>500</v>
      </c>
      <c r="D27" s="1808"/>
      <c r="E27" s="1808"/>
      <c r="F27" s="1850"/>
      <c r="G27" s="1851"/>
      <c r="H27" s="1852"/>
      <c r="I27" s="1793"/>
      <c r="J27" s="1790"/>
      <c r="K27" s="1790"/>
      <c r="L27" s="1790"/>
      <c r="M27" s="1790"/>
      <c r="N27" s="1790"/>
      <c r="O27" s="1790"/>
      <c r="P27" s="1790"/>
      <c r="Q27" s="1790"/>
      <c r="R27" s="1790"/>
      <c r="S27" s="1790"/>
      <c r="T27" s="1790"/>
      <c r="U27" s="1790"/>
      <c r="V27" s="1790"/>
      <c r="W27" s="1790"/>
      <c r="X27" s="1790"/>
      <c r="Y27" s="1790"/>
      <c r="Z27" s="1790"/>
      <c r="AA27" s="1790"/>
      <c r="AB27" s="1790"/>
      <c r="AC27" s="1790"/>
      <c r="AD27" s="1790"/>
      <c r="AE27" s="1790"/>
      <c r="AF27" s="1790"/>
      <c r="AG27" s="1790"/>
      <c r="AH27" s="1790"/>
      <c r="AI27" s="1790"/>
      <c r="AJ27" s="1790"/>
      <c r="AK27" s="1790"/>
      <c r="AL27" s="1790"/>
      <c r="AM27" s="1790"/>
      <c r="AN27" s="1790"/>
      <c r="AO27" s="1790"/>
    </row>
    <row r="28" spans="1:43" ht="20.25" customHeight="1">
      <c r="A28" s="1640"/>
      <c r="B28" s="1853"/>
      <c r="C28" s="1722" t="s">
        <v>20</v>
      </c>
      <c r="D28" s="1722"/>
      <c r="E28" s="1804"/>
      <c r="F28" s="1846"/>
      <c r="G28" s="1839"/>
      <c r="H28" s="1843"/>
      <c r="I28" s="1811"/>
      <c r="J28" s="1812"/>
      <c r="K28" s="1812"/>
      <c r="L28" s="1812"/>
      <c r="M28" s="1812"/>
      <c r="N28" s="1812"/>
      <c r="O28" s="1812"/>
      <c r="P28" s="1812"/>
      <c r="Q28" s="1812"/>
      <c r="R28" s="1812"/>
      <c r="S28" s="1812"/>
      <c r="T28" s="1812"/>
      <c r="U28" s="1812"/>
      <c r="V28" s="1812"/>
      <c r="W28" s="1812"/>
      <c r="X28" s="1812"/>
      <c r="Y28" s="1812"/>
      <c r="Z28" s="1812"/>
      <c r="AA28" s="1812"/>
      <c r="AB28" s="1812"/>
      <c r="AC28" s="1812"/>
      <c r="AD28" s="1812"/>
      <c r="AE28" s="1812"/>
      <c r="AF28" s="1812"/>
      <c r="AG28" s="1812"/>
      <c r="AH28" s="1812"/>
      <c r="AI28" s="1812"/>
      <c r="AJ28" s="1812"/>
      <c r="AK28" s="1812"/>
      <c r="AL28" s="1812"/>
      <c r="AM28" s="1812"/>
      <c r="AN28" s="1812"/>
      <c r="AO28" s="1812"/>
    </row>
    <row r="29" spans="1:43" ht="21" customHeight="1">
      <c r="A29" s="1785"/>
      <c r="B29" s="1752"/>
      <c r="C29" s="1641" t="s">
        <v>25</v>
      </c>
      <c r="D29" s="1854">
        <v>10</v>
      </c>
      <c r="E29" s="1813" t="s">
        <v>21</v>
      </c>
      <c r="F29" s="1842"/>
      <c r="G29" s="1801"/>
      <c r="H29" s="1843"/>
      <c r="I29" s="1811"/>
      <c r="J29" s="1812"/>
      <c r="K29" s="1812"/>
      <c r="L29" s="1812"/>
      <c r="M29" s="1812"/>
      <c r="N29" s="1812"/>
      <c r="O29" s="1812"/>
      <c r="P29" s="1812"/>
      <c r="Q29" s="1812"/>
      <c r="R29" s="1812"/>
      <c r="S29" s="1812"/>
      <c r="T29" s="1812"/>
      <c r="U29" s="1812"/>
      <c r="V29" s="1812"/>
      <c r="W29" s="1812"/>
      <c r="X29" s="1812"/>
      <c r="Y29" s="1812"/>
      <c r="Z29" s="1812"/>
      <c r="AA29" s="1812"/>
      <c r="AB29" s="1812"/>
      <c r="AC29" s="1812"/>
      <c r="AD29" s="1812"/>
      <c r="AE29" s="1812"/>
      <c r="AF29" s="1812"/>
      <c r="AG29" s="1812"/>
      <c r="AH29" s="1812"/>
      <c r="AI29" s="1812"/>
      <c r="AJ29" s="1812"/>
      <c r="AK29" s="1812"/>
      <c r="AL29" s="1812"/>
      <c r="AM29" s="1812"/>
      <c r="AN29" s="1812"/>
      <c r="AO29" s="1812"/>
    </row>
    <row r="30" spans="1:43" ht="21" customHeight="1">
      <c r="A30" s="1785"/>
      <c r="B30" s="1752"/>
      <c r="C30" s="1641" t="s">
        <v>26</v>
      </c>
      <c r="D30" s="1751">
        <v>0</v>
      </c>
      <c r="E30" s="1813" t="s">
        <v>21</v>
      </c>
      <c r="F30" s="1840"/>
      <c r="G30" s="1787"/>
      <c r="H30" s="1843"/>
      <c r="I30" s="1818"/>
      <c r="J30" s="1819"/>
      <c r="K30" s="1819"/>
      <c r="L30" s="1819"/>
      <c r="M30" s="1819"/>
      <c r="N30" s="1819"/>
      <c r="O30" s="1819"/>
      <c r="P30" s="1819"/>
      <c r="Q30" s="1819"/>
      <c r="R30" s="1819"/>
      <c r="S30" s="1819"/>
      <c r="T30" s="1819"/>
      <c r="U30" s="1819"/>
      <c r="V30" s="1819"/>
      <c r="W30" s="1819"/>
      <c r="X30" s="1819"/>
      <c r="Y30" s="1819"/>
      <c r="Z30" s="1819"/>
      <c r="AA30" s="1819"/>
      <c r="AB30" s="1819"/>
      <c r="AC30" s="1819"/>
      <c r="AD30" s="1819"/>
      <c r="AE30" s="1819"/>
      <c r="AF30" s="1819"/>
      <c r="AG30" s="1819"/>
      <c r="AH30" s="1819"/>
      <c r="AI30" s="1819"/>
      <c r="AJ30" s="1819"/>
      <c r="AK30" s="1819"/>
      <c r="AL30" s="1819"/>
      <c r="AM30" s="1819"/>
      <c r="AN30" s="1819"/>
      <c r="AO30" s="1819"/>
    </row>
    <row r="31" spans="1:43" ht="22.5" customHeight="1">
      <c r="A31" s="1785"/>
      <c r="B31" s="1752"/>
      <c r="C31" s="1722" t="s">
        <v>22</v>
      </c>
      <c r="D31" s="1751">
        <v>7</v>
      </c>
      <c r="E31" s="1813" t="s">
        <v>21</v>
      </c>
      <c r="F31" s="1846"/>
      <c r="G31" s="1804"/>
      <c r="H31" s="1843"/>
      <c r="I31" s="1793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0"/>
      <c r="U31" s="1790"/>
      <c r="V31" s="1790"/>
      <c r="W31" s="1790"/>
      <c r="X31" s="1790"/>
      <c r="Y31" s="1790"/>
      <c r="Z31" s="1790"/>
      <c r="AA31" s="1790"/>
      <c r="AB31" s="1790"/>
      <c r="AC31" s="1790"/>
      <c r="AD31" s="1790"/>
      <c r="AE31" s="1790"/>
      <c r="AF31" s="1790"/>
      <c r="AG31" s="1790"/>
      <c r="AH31" s="1790"/>
      <c r="AI31" s="1790"/>
      <c r="AJ31" s="1790"/>
      <c r="AK31" s="1790"/>
      <c r="AL31" s="1790"/>
      <c r="AM31" s="1790"/>
      <c r="AN31" s="1790"/>
      <c r="AO31" s="1790"/>
    </row>
    <row r="32" spans="1:43" ht="19.5" customHeight="1">
      <c r="A32" s="1855"/>
      <c r="B32" s="1838"/>
      <c r="C32" s="1722" t="s">
        <v>23</v>
      </c>
      <c r="D32" s="1751">
        <v>7</v>
      </c>
      <c r="E32" s="1801" t="s">
        <v>21</v>
      </c>
      <c r="F32" s="1846"/>
      <c r="G32" s="1856"/>
      <c r="H32" s="1843"/>
      <c r="I32" s="1793"/>
      <c r="J32" s="1790"/>
      <c r="K32" s="1790"/>
      <c r="L32" s="1790"/>
      <c r="M32" s="1790"/>
      <c r="N32" s="1790"/>
      <c r="O32" s="1790"/>
      <c r="P32" s="1790"/>
      <c r="Q32" s="1790"/>
      <c r="R32" s="1790"/>
      <c r="S32" s="1790"/>
      <c r="T32" s="1790"/>
      <c r="U32" s="1790"/>
      <c r="V32" s="1790"/>
      <c r="W32" s="1790"/>
      <c r="X32" s="1790"/>
      <c r="Y32" s="1790"/>
      <c r="Z32" s="1790"/>
      <c r="AA32" s="1790"/>
      <c r="AB32" s="1790"/>
      <c r="AC32" s="1790"/>
      <c r="AD32" s="1790"/>
      <c r="AE32" s="1790"/>
      <c r="AF32" s="1790"/>
      <c r="AG32" s="1790"/>
      <c r="AH32" s="1790"/>
      <c r="AI32" s="1790"/>
      <c r="AJ32" s="1790"/>
      <c r="AK32" s="1790"/>
      <c r="AL32" s="1790"/>
      <c r="AM32" s="1790"/>
      <c r="AN32" s="1790"/>
      <c r="AO32" s="1790"/>
    </row>
    <row r="33" spans="1:41" ht="19.5" customHeight="1" thickBot="1">
      <c r="A33" s="1857"/>
      <c r="B33" s="1858"/>
      <c r="C33" s="1646"/>
      <c r="D33" s="1646"/>
      <c r="E33" s="1646"/>
      <c r="F33" s="1846"/>
      <c r="G33" s="1856"/>
      <c r="H33" s="1859"/>
      <c r="I33" s="1860"/>
      <c r="J33" s="1790"/>
      <c r="K33" s="1790"/>
      <c r="L33" s="1790"/>
      <c r="M33" s="1790"/>
      <c r="N33" s="1790"/>
      <c r="O33" s="1790"/>
      <c r="P33" s="1790"/>
      <c r="Q33" s="1790"/>
      <c r="R33" s="1790"/>
      <c r="S33" s="1790"/>
      <c r="T33" s="1790"/>
      <c r="U33" s="1790"/>
      <c r="V33" s="1790"/>
      <c r="W33" s="1790"/>
      <c r="X33" s="1790"/>
      <c r="Y33" s="1790"/>
      <c r="Z33" s="1790"/>
      <c r="AA33" s="1790"/>
      <c r="AB33" s="1790"/>
      <c r="AC33" s="1790"/>
      <c r="AD33" s="1790"/>
      <c r="AE33" s="1790"/>
      <c r="AF33" s="1790"/>
      <c r="AG33" s="1790"/>
      <c r="AH33" s="1790"/>
      <c r="AI33" s="1790"/>
      <c r="AJ33" s="1790"/>
      <c r="AK33" s="1790"/>
      <c r="AL33" s="1790"/>
      <c r="AM33" s="1790"/>
      <c r="AN33" s="1790"/>
      <c r="AO33" s="1790"/>
    </row>
    <row r="34" spans="1:41" ht="23.25" customHeight="1" thickTop="1" thickBot="1">
      <c r="A34" s="1861"/>
      <c r="B34" s="1862"/>
      <c r="C34" s="2067" t="s">
        <v>24</v>
      </c>
      <c r="D34" s="2067"/>
      <c r="E34" s="1862"/>
      <c r="F34" s="1863"/>
      <c r="G34" s="1864"/>
      <c r="H34" s="1863"/>
      <c r="I34" s="1827"/>
      <c r="J34" s="1790"/>
      <c r="K34" s="1790"/>
      <c r="L34" s="1790"/>
      <c r="M34" s="1790"/>
      <c r="N34" s="1790"/>
      <c r="O34" s="1790"/>
      <c r="P34" s="1790"/>
      <c r="Q34" s="1790"/>
      <c r="R34" s="1790"/>
      <c r="S34" s="1790"/>
      <c r="T34" s="1790"/>
      <c r="U34" s="1790"/>
      <c r="V34" s="1790"/>
      <c r="W34" s="1790"/>
      <c r="X34" s="1790"/>
      <c r="Y34" s="1790"/>
      <c r="Z34" s="1790"/>
      <c r="AA34" s="1790"/>
      <c r="AB34" s="1790"/>
      <c r="AC34" s="1790"/>
      <c r="AD34" s="1790"/>
      <c r="AE34" s="1790"/>
      <c r="AF34" s="1790"/>
      <c r="AG34" s="1790"/>
      <c r="AH34" s="1790"/>
      <c r="AI34" s="1790"/>
      <c r="AJ34" s="1790"/>
      <c r="AK34" s="1790"/>
      <c r="AL34" s="1790"/>
      <c r="AM34" s="1790"/>
      <c r="AN34" s="1790"/>
      <c r="AO34" s="1790"/>
    </row>
    <row r="35" spans="1:41" ht="15" customHeight="1" thickTop="1">
      <c r="A35" s="1866"/>
      <c r="B35" s="1866"/>
      <c r="C35" s="1866"/>
      <c r="D35" s="1866"/>
      <c r="E35" s="1866"/>
      <c r="F35" s="1866"/>
      <c r="G35" s="1866"/>
      <c r="H35" s="1866"/>
      <c r="I35" s="1866"/>
      <c r="J35" s="1866"/>
      <c r="K35" s="1866"/>
      <c r="L35" s="1866"/>
      <c r="M35" s="1866"/>
      <c r="N35" s="1866"/>
      <c r="O35" s="1866"/>
      <c r="P35" s="1866"/>
      <c r="Q35" s="1866"/>
      <c r="R35" s="1866"/>
      <c r="S35" s="1866"/>
      <c r="T35" s="1866"/>
      <c r="U35" s="1866"/>
      <c r="V35" s="1866"/>
      <c r="W35" s="1866"/>
      <c r="X35" s="1866"/>
      <c r="Y35" s="1866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6"/>
      <c r="AL35" s="1866"/>
      <c r="AM35" s="1866"/>
      <c r="AN35" s="1866"/>
      <c r="AO35" s="1866"/>
    </row>
    <row r="36" spans="1:41" ht="15" customHeight="1">
      <c r="A36" s="1866"/>
      <c r="B36" s="1866"/>
      <c r="C36" s="1866"/>
      <c r="D36" s="1866"/>
      <c r="E36" s="1866"/>
      <c r="F36" s="1866"/>
      <c r="G36" s="1866"/>
      <c r="H36" s="1866"/>
      <c r="I36" s="1866"/>
      <c r="J36" s="1866"/>
      <c r="K36" s="1866"/>
      <c r="L36" s="1866"/>
      <c r="M36" s="1866"/>
      <c r="N36" s="1866"/>
      <c r="O36" s="1866"/>
      <c r="P36" s="1866"/>
      <c r="Q36" s="1866"/>
      <c r="R36" s="1866"/>
      <c r="S36" s="1866"/>
      <c r="T36" s="1866"/>
      <c r="U36" s="1866"/>
      <c r="V36" s="1866"/>
      <c r="W36" s="1866"/>
      <c r="X36" s="1866"/>
      <c r="Y36" s="1866"/>
      <c r="Z36" s="1866"/>
      <c r="AA36" s="1866"/>
      <c r="AB36" s="1866"/>
      <c r="AC36" s="1866"/>
      <c r="AD36" s="1866"/>
      <c r="AE36" s="1866"/>
      <c r="AF36" s="1866"/>
      <c r="AG36" s="1866"/>
      <c r="AH36" s="1866"/>
      <c r="AI36" s="1866"/>
      <c r="AJ36" s="1866"/>
      <c r="AK36" s="1866"/>
      <c r="AL36" s="1866"/>
      <c r="AM36" s="1866"/>
      <c r="AN36" s="1866"/>
      <c r="AO36" s="1866"/>
    </row>
    <row r="37" spans="1:41" ht="15" customHeight="1">
      <c r="A37" s="1866"/>
      <c r="B37" s="1866"/>
      <c r="C37" s="1866"/>
      <c r="D37" s="1866"/>
      <c r="E37" s="1866"/>
      <c r="F37" s="1866"/>
      <c r="G37" s="1866"/>
      <c r="H37" s="1866"/>
      <c r="I37" s="1866"/>
      <c r="J37" s="1866"/>
      <c r="K37" s="1866"/>
      <c r="L37" s="1866"/>
      <c r="M37" s="1866"/>
      <c r="N37" s="1866"/>
      <c r="O37" s="1866"/>
      <c r="P37" s="1866"/>
      <c r="Q37" s="1866"/>
      <c r="R37" s="1866"/>
      <c r="S37" s="1866"/>
      <c r="T37" s="1866"/>
      <c r="U37" s="1866"/>
      <c r="V37" s="1866"/>
      <c r="W37" s="1866"/>
      <c r="X37" s="1866"/>
      <c r="Y37" s="1866"/>
      <c r="Z37" s="1866"/>
      <c r="AA37" s="1866"/>
      <c r="AB37" s="1866"/>
      <c r="AC37" s="1866"/>
      <c r="AD37" s="1866"/>
      <c r="AE37" s="1866"/>
      <c r="AF37" s="1866"/>
      <c r="AG37" s="1866"/>
      <c r="AH37" s="1866"/>
      <c r="AI37" s="1866"/>
      <c r="AJ37" s="1866"/>
      <c r="AK37" s="1866"/>
      <c r="AL37" s="1866"/>
      <c r="AM37" s="1866"/>
      <c r="AN37" s="1866"/>
      <c r="AO37" s="1866"/>
    </row>
    <row r="38" spans="1:41" ht="15" customHeight="1">
      <c r="A38" s="1866"/>
      <c r="B38" s="1866"/>
      <c r="C38" s="1866"/>
      <c r="D38" s="1866"/>
      <c r="E38" s="1866"/>
      <c r="F38" s="1866"/>
      <c r="G38" s="1866"/>
      <c r="H38" s="1866"/>
      <c r="I38" s="1866"/>
      <c r="J38" s="1866"/>
      <c r="K38" s="1866"/>
      <c r="L38" s="1866"/>
      <c r="M38" s="1866"/>
      <c r="N38" s="1866"/>
      <c r="O38" s="1866"/>
      <c r="P38" s="1866"/>
      <c r="Q38" s="1866"/>
      <c r="R38" s="1866"/>
      <c r="S38" s="1866"/>
      <c r="T38" s="1866"/>
      <c r="U38" s="1866"/>
      <c r="V38" s="1866"/>
      <c r="W38" s="1866"/>
      <c r="X38" s="1866"/>
      <c r="Y38" s="1866"/>
      <c r="Z38" s="1866"/>
      <c r="AA38" s="1866"/>
      <c r="AB38" s="1866"/>
      <c r="AC38" s="1866"/>
      <c r="AD38" s="1866"/>
      <c r="AE38" s="1866"/>
      <c r="AF38" s="1866"/>
      <c r="AG38" s="1866"/>
      <c r="AH38" s="1866"/>
      <c r="AI38" s="1866"/>
      <c r="AJ38" s="1866"/>
      <c r="AK38" s="1866"/>
      <c r="AL38" s="1866"/>
      <c r="AM38" s="1866"/>
      <c r="AN38" s="1866"/>
      <c r="AO38" s="1866"/>
    </row>
    <row r="39" spans="1:41" ht="15" customHeight="1">
      <c r="A39" s="1866"/>
      <c r="B39" s="1866"/>
      <c r="C39" s="1866"/>
      <c r="D39" s="1866"/>
      <c r="E39" s="1866"/>
      <c r="F39" s="1866"/>
      <c r="G39" s="1866"/>
      <c r="H39" s="1866"/>
      <c r="I39" s="1866"/>
      <c r="J39" s="1866"/>
      <c r="K39" s="1866"/>
      <c r="L39" s="1866"/>
      <c r="M39" s="1866"/>
      <c r="N39" s="1866"/>
      <c r="O39" s="1866"/>
      <c r="P39" s="1866"/>
      <c r="Q39" s="1866"/>
      <c r="R39" s="1866"/>
      <c r="S39" s="1866"/>
      <c r="T39" s="1866"/>
      <c r="U39" s="1866"/>
      <c r="V39" s="1866"/>
      <c r="W39" s="1866"/>
      <c r="X39" s="1866"/>
      <c r="Y39" s="1866"/>
      <c r="Z39" s="1866"/>
      <c r="AA39" s="1866"/>
      <c r="AB39" s="1866"/>
      <c r="AC39" s="1866"/>
      <c r="AD39" s="1866"/>
      <c r="AE39" s="1866"/>
      <c r="AF39" s="1866"/>
      <c r="AG39" s="1866"/>
      <c r="AH39" s="1866"/>
      <c r="AI39" s="1866"/>
      <c r="AJ39" s="1866"/>
      <c r="AK39" s="1866"/>
      <c r="AL39" s="1866"/>
      <c r="AM39" s="1866"/>
      <c r="AN39" s="1866"/>
      <c r="AO39" s="1866"/>
    </row>
    <row r="40" spans="1:41" ht="15" customHeight="1">
      <c r="A40" s="1866"/>
      <c r="B40" s="1866"/>
      <c r="C40" s="1866"/>
      <c r="D40" s="1866"/>
      <c r="E40" s="1866"/>
      <c r="F40" s="1866"/>
      <c r="G40" s="1866"/>
      <c r="H40" s="1866"/>
      <c r="I40" s="1866"/>
      <c r="J40" s="1866"/>
      <c r="K40" s="1866"/>
      <c r="L40" s="1866"/>
      <c r="M40" s="1866"/>
      <c r="N40" s="1866"/>
      <c r="O40" s="1866"/>
      <c r="P40" s="1866"/>
      <c r="Q40" s="1866"/>
      <c r="R40" s="1866"/>
      <c r="S40" s="1866"/>
      <c r="T40" s="1866"/>
      <c r="U40" s="1866"/>
      <c r="V40" s="1866"/>
      <c r="W40" s="1866"/>
      <c r="X40" s="1866"/>
      <c r="Y40" s="1866"/>
      <c r="Z40" s="1866"/>
      <c r="AA40" s="1866"/>
      <c r="AB40" s="1866"/>
      <c r="AC40" s="1866"/>
      <c r="AD40" s="1866"/>
      <c r="AE40" s="1866"/>
      <c r="AF40" s="1866"/>
      <c r="AG40" s="1866"/>
      <c r="AH40" s="1866"/>
      <c r="AI40" s="1866"/>
      <c r="AJ40" s="1866"/>
      <c r="AK40" s="1866"/>
      <c r="AL40" s="1866"/>
      <c r="AM40" s="1866"/>
      <c r="AN40" s="1866"/>
      <c r="AO40" s="1866"/>
    </row>
    <row r="41" spans="1:41" ht="15" customHeight="1">
      <c r="A41" s="1866"/>
      <c r="B41" s="1866"/>
      <c r="C41" s="1866"/>
      <c r="D41" s="1866"/>
      <c r="E41" s="1866"/>
      <c r="F41" s="1866"/>
      <c r="G41" s="1866"/>
      <c r="H41" s="1866"/>
      <c r="I41" s="1866"/>
      <c r="J41" s="1866"/>
      <c r="K41" s="1866"/>
      <c r="L41" s="1866"/>
      <c r="M41" s="1866"/>
      <c r="N41" s="1866"/>
      <c r="O41" s="1866"/>
      <c r="P41" s="1866"/>
      <c r="Q41" s="1866"/>
      <c r="R41" s="1866"/>
      <c r="S41" s="1866"/>
      <c r="T41" s="1866"/>
      <c r="U41" s="1866"/>
      <c r="V41" s="1866"/>
      <c r="W41" s="1866"/>
      <c r="X41" s="1866"/>
      <c r="Y41" s="1866"/>
      <c r="Z41" s="1866"/>
      <c r="AA41" s="1866"/>
      <c r="AB41" s="1866"/>
      <c r="AC41" s="1866"/>
      <c r="AD41" s="1866"/>
      <c r="AE41" s="1866"/>
      <c r="AF41" s="1866"/>
      <c r="AG41" s="1866"/>
      <c r="AH41" s="1866"/>
      <c r="AI41" s="1866"/>
      <c r="AJ41" s="1866"/>
      <c r="AK41" s="1866"/>
      <c r="AL41" s="1866"/>
      <c r="AM41" s="1866"/>
      <c r="AN41" s="1866"/>
      <c r="AO41" s="1866"/>
    </row>
    <row r="42" spans="1:41" ht="15" customHeight="1">
      <c r="A42" s="1866"/>
      <c r="B42" s="1866"/>
      <c r="C42" s="1866"/>
      <c r="D42" s="1866"/>
      <c r="E42" s="1866"/>
      <c r="F42" s="1866"/>
      <c r="G42" s="1866"/>
      <c r="H42" s="1866"/>
      <c r="I42" s="1866"/>
      <c r="J42" s="1866"/>
      <c r="K42" s="1866"/>
      <c r="L42" s="1866"/>
      <c r="M42" s="1866"/>
      <c r="N42" s="1866"/>
      <c r="O42" s="1866"/>
      <c r="P42" s="1866"/>
      <c r="Q42" s="1866"/>
      <c r="R42" s="1866"/>
      <c r="S42" s="1866"/>
      <c r="T42" s="1866"/>
      <c r="U42" s="1866"/>
      <c r="V42" s="1866"/>
      <c r="W42" s="1866"/>
      <c r="X42" s="1866"/>
      <c r="Y42" s="1866"/>
      <c r="Z42" s="1866"/>
      <c r="AA42" s="1866"/>
      <c r="AB42" s="1866"/>
      <c r="AC42" s="1866"/>
      <c r="AD42" s="1866"/>
      <c r="AE42" s="1866"/>
      <c r="AF42" s="1866"/>
      <c r="AG42" s="1866"/>
      <c r="AH42" s="1866"/>
      <c r="AI42" s="1866"/>
      <c r="AJ42" s="1866"/>
      <c r="AK42" s="1866"/>
      <c r="AL42" s="1866"/>
      <c r="AM42" s="1866"/>
      <c r="AN42" s="1866"/>
      <c r="AO42" s="1866"/>
    </row>
    <row r="43" spans="1:41" ht="15" customHeight="1">
      <c r="A43" s="1866"/>
      <c r="B43" s="1866"/>
      <c r="C43" s="1866"/>
      <c r="D43" s="1866"/>
      <c r="E43" s="1866"/>
      <c r="F43" s="1866"/>
      <c r="G43" s="1866"/>
      <c r="H43" s="1866"/>
      <c r="I43" s="1866"/>
      <c r="J43" s="1866"/>
      <c r="K43" s="1866"/>
      <c r="L43" s="1866"/>
      <c r="M43" s="1866"/>
      <c r="N43" s="1866"/>
      <c r="O43" s="1866"/>
      <c r="P43" s="1866"/>
      <c r="Q43" s="1866"/>
      <c r="R43" s="1866"/>
      <c r="S43" s="1866"/>
      <c r="T43" s="1866"/>
      <c r="U43" s="1866"/>
      <c r="V43" s="1866"/>
      <c r="W43" s="1866"/>
      <c r="X43" s="1866"/>
      <c r="Y43" s="1866"/>
      <c r="Z43" s="1866"/>
      <c r="AA43" s="1866"/>
      <c r="AB43" s="1866"/>
      <c r="AC43" s="1866"/>
      <c r="AD43" s="1866"/>
      <c r="AE43" s="1866"/>
      <c r="AF43" s="1866"/>
      <c r="AG43" s="1866"/>
      <c r="AH43" s="1866"/>
      <c r="AI43" s="1866"/>
      <c r="AJ43" s="1866"/>
      <c r="AK43" s="1866"/>
      <c r="AL43" s="1866"/>
      <c r="AM43" s="1866"/>
      <c r="AN43" s="1866"/>
      <c r="AO43" s="1866"/>
    </row>
    <row r="44" spans="1:41" ht="15" customHeight="1">
      <c r="A44" s="1866"/>
      <c r="B44" s="1866"/>
      <c r="C44" s="1866"/>
      <c r="D44" s="1866"/>
      <c r="E44" s="1866"/>
      <c r="F44" s="1866"/>
      <c r="G44" s="1866"/>
      <c r="H44" s="1866"/>
      <c r="I44" s="1866"/>
      <c r="J44" s="1866"/>
      <c r="K44" s="1866"/>
      <c r="L44" s="1866"/>
      <c r="M44" s="1866"/>
      <c r="N44" s="1866"/>
      <c r="O44" s="1866"/>
      <c r="P44" s="1866"/>
      <c r="Q44" s="1866"/>
      <c r="R44" s="1866"/>
      <c r="S44" s="1866"/>
      <c r="T44" s="1866"/>
      <c r="U44" s="1866"/>
      <c r="V44" s="1866"/>
      <c r="W44" s="1866"/>
      <c r="X44" s="1866"/>
      <c r="Y44" s="1866"/>
      <c r="Z44" s="1866"/>
      <c r="AA44" s="1866"/>
      <c r="AB44" s="1866"/>
      <c r="AC44" s="1866"/>
      <c r="AD44" s="1866"/>
      <c r="AE44" s="1866"/>
      <c r="AF44" s="1866"/>
      <c r="AG44" s="1866"/>
      <c r="AH44" s="1866"/>
      <c r="AI44" s="1866"/>
      <c r="AJ44" s="1866"/>
      <c r="AK44" s="1866"/>
      <c r="AL44" s="1866"/>
      <c r="AM44" s="1866"/>
      <c r="AN44" s="1866"/>
      <c r="AO44" s="1866"/>
    </row>
    <row r="45" spans="1:41" ht="15" customHeight="1">
      <c r="A45" s="1866"/>
      <c r="B45" s="1866"/>
      <c r="C45" s="1866"/>
      <c r="D45" s="1866"/>
      <c r="E45" s="1866"/>
      <c r="F45" s="1866"/>
      <c r="G45" s="1866"/>
      <c r="H45" s="1866"/>
      <c r="I45" s="1866"/>
      <c r="J45" s="1866"/>
      <c r="K45" s="1866"/>
      <c r="L45" s="1866"/>
      <c r="M45" s="1866"/>
      <c r="N45" s="1866"/>
      <c r="O45" s="1866"/>
      <c r="P45" s="1866"/>
      <c r="Q45" s="1866"/>
      <c r="R45" s="1866"/>
      <c r="S45" s="1866"/>
      <c r="T45" s="1866"/>
      <c r="U45" s="1866"/>
      <c r="V45" s="1866"/>
      <c r="W45" s="1866"/>
      <c r="X45" s="1866"/>
      <c r="Y45" s="1866"/>
      <c r="Z45" s="1866"/>
      <c r="AA45" s="1866"/>
      <c r="AB45" s="1866"/>
      <c r="AC45" s="1866"/>
      <c r="AD45" s="1866"/>
      <c r="AE45" s="1866"/>
      <c r="AF45" s="1866"/>
      <c r="AG45" s="1866"/>
      <c r="AH45" s="1866"/>
      <c r="AI45" s="1866"/>
      <c r="AJ45" s="1866"/>
      <c r="AK45" s="1866"/>
      <c r="AL45" s="1866"/>
      <c r="AM45" s="1866"/>
      <c r="AN45" s="1866"/>
      <c r="AO45" s="1866"/>
    </row>
    <row r="46" spans="1:41" ht="15" customHeight="1">
      <c r="A46" s="1866"/>
      <c r="B46" s="1866"/>
      <c r="C46" s="1866"/>
      <c r="D46" s="1866"/>
      <c r="E46" s="1866"/>
      <c r="F46" s="1866"/>
      <c r="G46" s="1866"/>
      <c r="H46" s="1866"/>
      <c r="I46" s="1866"/>
      <c r="J46" s="1866"/>
      <c r="K46" s="1866"/>
      <c r="L46" s="1866"/>
      <c r="M46" s="1866"/>
      <c r="N46" s="1866"/>
      <c r="O46" s="1866"/>
      <c r="P46" s="1866"/>
      <c r="Q46" s="1866"/>
      <c r="R46" s="1866"/>
      <c r="S46" s="1866"/>
      <c r="T46" s="1866"/>
      <c r="U46" s="1866"/>
      <c r="V46" s="1866"/>
      <c r="W46" s="1866"/>
      <c r="X46" s="1866"/>
      <c r="Y46" s="1866"/>
      <c r="Z46" s="1866"/>
      <c r="AA46" s="1866"/>
      <c r="AB46" s="1866"/>
      <c r="AC46" s="1866"/>
      <c r="AD46" s="1866"/>
      <c r="AE46" s="1866"/>
      <c r="AF46" s="1866"/>
      <c r="AG46" s="1866"/>
      <c r="AH46" s="1866"/>
      <c r="AI46" s="1866"/>
      <c r="AJ46" s="1866"/>
      <c r="AK46" s="1866"/>
      <c r="AL46" s="1866"/>
      <c r="AM46" s="1866"/>
      <c r="AN46" s="1866"/>
      <c r="AO46" s="1866"/>
    </row>
    <row r="47" spans="1:41" ht="15" customHeight="1">
      <c r="A47" s="1866"/>
      <c r="B47" s="1866"/>
      <c r="C47" s="1866"/>
      <c r="D47" s="1866"/>
      <c r="E47" s="1866"/>
      <c r="F47" s="1866"/>
      <c r="G47" s="1866"/>
      <c r="H47" s="1866"/>
      <c r="I47" s="1866"/>
      <c r="J47" s="1866"/>
      <c r="K47" s="1866"/>
      <c r="L47" s="1866"/>
      <c r="M47" s="1866"/>
      <c r="N47" s="1866"/>
      <c r="O47" s="1866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6"/>
      <c r="AI47" s="1866"/>
      <c r="AJ47" s="1866"/>
      <c r="AK47" s="1866"/>
      <c r="AL47" s="1866"/>
      <c r="AM47" s="1866"/>
      <c r="AN47" s="1866"/>
      <c r="AO47" s="1866"/>
    </row>
    <row r="48" spans="1:41" ht="15" customHeight="1">
      <c r="A48" s="1866"/>
      <c r="B48" s="1866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866"/>
      <c r="O48" s="1866"/>
      <c r="P48" s="1866"/>
      <c r="Q48" s="1866"/>
      <c r="R48" s="1866"/>
      <c r="S48" s="1866"/>
      <c r="T48" s="1866"/>
      <c r="U48" s="1866"/>
      <c r="V48" s="1866"/>
      <c r="W48" s="1866"/>
      <c r="X48" s="1866"/>
      <c r="Y48" s="1866"/>
      <c r="Z48" s="1866"/>
      <c r="AA48" s="1866"/>
      <c r="AB48" s="1866"/>
      <c r="AC48" s="1866"/>
      <c r="AD48" s="1866"/>
      <c r="AE48" s="1866"/>
      <c r="AF48" s="1866"/>
      <c r="AG48" s="1866"/>
      <c r="AH48" s="1866"/>
      <c r="AI48" s="1866"/>
      <c r="AJ48" s="1866"/>
      <c r="AK48" s="1866"/>
      <c r="AL48" s="1866"/>
      <c r="AM48" s="1866"/>
      <c r="AN48" s="1866"/>
      <c r="AO48" s="1866"/>
    </row>
    <row r="49" spans="1:41" ht="15" customHeight="1">
      <c r="A49" s="1866"/>
      <c r="B49" s="1866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866"/>
      <c r="O49" s="1866"/>
      <c r="P49" s="1866"/>
      <c r="Q49" s="1866"/>
      <c r="R49" s="1866"/>
      <c r="S49" s="1866"/>
      <c r="T49" s="1866"/>
      <c r="U49" s="1866"/>
      <c r="V49" s="1866"/>
      <c r="W49" s="1866"/>
      <c r="X49" s="1866"/>
      <c r="Y49" s="1866"/>
      <c r="Z49" s="1866"/>
      <c r="AA49" s="1866"/>
      <c r="AB49" s="1866"/>
      <c r="AC49" s="1866"/>
      <c r="AD49" s="1866"/>
      <c r="AE49" s="1866"/>
      <c r="AF49" s="1866"/>
      <c r="AG49" s="1866"/>
      <c r="AH49" s="1866"/>
      <c r="AI49" s="1866"/>
      <c r="AJ49" s="1866"/>
      <c r="AK49" s="1866"/>
      <c r="AL49" s="1866"/>
      <c r="AM49" s="1866"/>
      <c r="AN49" s="1866"/>
      <c r="AO49" s="1866"/>
    </row>
    <row r="50" spans="1:41" ht="15" customHeight="1">
      <c r="A50" s="1866"/>
      <c r="B50" s="1866"/>
      <c r="C50" s="1866"/>
      <c r="D50" s="1866"/>
      <c r="E50" s="1866"/>
      <c r="F50" s="1866"/>
      <c r="G50" s="1866"/>
      <c r="H50" s="1866"/>
      <c r="I50" s="1866"/>
      <c r="J50" s="1866"/>
      <c r="K50" s="1866"/>
      <c r="L50" s="1866"/>
      <c r="M50" s="1866"/>
      <c r="N50" s="1866"/>
      <c r="O50" s="1866"/>
      <c r="P50" s="1866"/>
      <c r="Q50" s="1866"/>
      <c r="R50" s="1866"/>
      <c r="S50" s="1866"/>
      <c r="T50" s="1866"/>
      <c r="U50" s="1866"/>
      <c r="V50" s="1866"/>
      <c r="W50" s="1866"/>
      <c r="X50" s="1866"/>
      <c r="Y50" s="1866"/>
      <c r="Z50" s="1866"/>
      <c r="AA50" s="1866"/>
      <c r="AB50" s="1866"/>
      <c r="AC50" s="1866"/>
      <c r="AD50" s="1866"/>
      <c r="AE50" s="1866"/>
      <c r="AF50" s="1866"/>
      <c r="AG50" s="1866"/>
      <c r="AH50" s="1866"/>
      <c r="AI50" s="1866"/>
      <c r="AJ50" s="1866"/>
      <c r="AK50" s="1866"/>
      <c r="AL50" s="1866"/>
      <c r="AM50" s="1866"/>
      <c r="AN50" s="1866"/>
      <c r="AO50" s="1866"/>
    </row>
    <row r="51" spans="1:41" ht="15" customHeight="1">
      <c r="A51" s="1866"/>
      <c r="B51" s="1866"/>
      <c r="C51" s="1866"/>
      <c r="D51" s="1866"/>
      <c r="E51" s="1866"/>
      <c r="F51" s="1866"/>
      <c r="G51" s="1866"/>
      <c r="H51" s="1866"/>
      <c r="I51" s="1866"/>
      <c r="J51" s="1866"/>
      <c r="K51" s="1866"/>
      <c r="L51" s="1866"/>
      <c r="M51" s="1866"/>
      <c r="N51" s="1866"/>
      <c r="O51" s="1866"/>
      <c r="P51" s="1866"/>
      <c r="Q51" s="1866"/>
      <c r="R51" s="1866"/>
      <c r="S51" s="1866"/>
      <c r="T51" s="1866"/>
      <c r="U51" s="1866"/>
      <c r="V51" s="1866"/>
      <c r="W51" s="1866"/>
      <c r="X51" s="1866"/>
      <c r="Y51" s="1866"/>
      <c r="Z51" s="1866"/>
      <c r="AA51" s="1866"/>
      <c r="AB51" s="1866"/>
      <c r="AC51" s="1866"/>
      <c r="AD51" s="1866"/>
      <c r="AE51" s="1866"/>
      <c r="AF51" s="1866"/>
      <c r="AG51" s="1866"/>
      <c r="AH51" s="1866"/>
      <c r="AI51" s="1866"/>
      <c r="AJ51" s="1866"/>
      <c r="AK51" s="1866"/>
      <c r="AL51" s="1866"/>
      <c r="AM51" s="1866"/>
      <c r="AN51" s="1866"/>
      <c r="AO51" s="1866"/>
    </row>
    <row r="52" spans="1:41" ht="15" customHeight="1">
      <c r="A52" s="1866"/>
      <c r="B52" s="1866"/>
      <c r="C52" s="1866"/>
      <c r="D52" s="1866"/>
      <c r="E52" s="1866"/>
      <c r="F52" s="1866"/>
      <c r="G52" s="1866"/>
      <c r="H52" s="1866"/>
      <c r="I52" s="1866"/>
      <c r="J52" s="1866"/>
      <c r="K52" s="1866"/>
      <c r="L52" s="1866"/>
      <c r="M52" s="1866"/>
      <c r="N52" s="1866"/>
      <c r="O52" s="1866"/>
      <c r="P52" s="1866"/>
      <c r="Q52" s="1866"/>
      <c r="R52" s="1866"/>
      <c r="S52" s="1866"/>
      <c r="T52" s="1866"/>
      <c r="U52" s="1866"/>
      <c r="V52" s="1866"/>
      <c r="W52" s="1866"/>
      <c r="X52" s="1866"/>
      <c r="Y52" s="1866"/>
      <c r="Z52" s="1866"/>
      <c r="AA52" s="1866"/>
      <c r="AB52" s="1866"/>
      <c r="AC52" s="1866"/>
      <c r="AD52" s="1866"/>
      <c r="AE52" s="1866"/>
      <c r="AF52" s="1866"/>
      <c r="AG52" s="1866"/>
      <c r="AH52" s="1866"/>
      <c r="AI52" s="1866"/>
      <c r="AJ52" s="1866"/>
      <c r="AK52" s="1866"/>
      <c r="AL52" s="1866"/>
      <c r="AM52" s="1866"/>
      <c r="AN52" s="1866"/>
      <c r="AO52" s="1866"/>
    </row>
    <row r="53" spans="1:41" ht="15" customHeight="1">
      <c r="A53" s="1866"/>
      <c r="B53" s="1866"/>
      <c r="C53" s="1866"/>
      <c r="D53" s="1866"/>
      <c r="E53" s="1866"/>
      <c r="F53" s="1866"/>
      <c r="G53" s="1866"/>
      <c r="H53" s="1866"/>
      <c r="I53" s="1866"/>
      <c r="J53" s="1866"/>
      <c r="K53" s="1866"/>
      <c r="L53" s="1866"/>
      <c r="M53" s="1866"/>
      <c r="N53" s="1866"/>
      <c r="O53" s="1866"/>
      <c r="P53" s="1866"/>
      <c r="Q53" s="1866"/>
      <c r="R53" s="1866"/>
      <c r="S53" s="1866"/>
      <c r="T53" s="1866"/>
      <c r="U53" s="1866"/>
      <c r="V53" s="1866"/>
      <c r="W53" s="1866"/>
      <c r="X53" s="1866"/>
      <c r="Y53" s="1866"/>
      <c r="Z53" s="1866"/>
      <c r="AA53" s="1866"/>
      <c r="AB53" s="1866"/>
      <c r="AC53" s="1866"/>
      <c r="AD53" s="1866"/>
      <c r="AE53" s="1866"/>
      <c r="AF53" s="1866"/>
      <c r="AG53" s="1866"/>
      <c r="AH53" s="1866"/>
      <c r="AI53" s="1866"/>
      <c r="AJ53" s="1866"/>
      <c r="AK53" s="1866"/>
      <c r="AL53" s="1866"/>
      <c r="AM53" s="1866"/>
      <c r="AN53" s="1866"/>
      <c r="AO53" s="1866"/>
    </row>
    <row r="54" spans="1:41" ht="15" customHeight="1">
      <c r="A54" s="1866"/>
      <c r="B54" s="1866"/>
      <c r="C54" s="1866"/>
      <c r="D54" s="1866"/>
      <c r="E54" s="1866"/>
      <c r="F54" s="1866"/>
      <c r="G54" s="1866"/>
      <c r="H54" s="1866"/>
      <c r="I54" s="1866"/>
      <c r="J54" s="1866"/>
      <c r="K54" s="1866"/>
      <c r="L54" s="1866"/>
      <c r="M54" s="1866"/>
      <c r="N54" s="1866"/>
      <c r="O54" s="1866"/>
      <c r="P54" s="1866"/>
      <c r="Q54" s="1866"/>
      <c r="R54" s="1866"/>
      <c r="S54" s="1866"/>
      <c r="T54" s="1866"/>
      <c r="U54" s="1866"/>
      <c r="V54" s="1866"/>
      <c r="W54" s="1866"/>
      <c r="X54" s="1866"/>
      <c r="Y54" s="1866"/>
      <c r="Z54" s="1866"/>
      <c r="AA54" s="1866"/>
      <c r="AB54" s="1866"/>
      <c r="AC54" s="1866"/>
      <c r="AD54" s="1866"/>
      <c r="AE54" s="1866"/>
      <c r="AF54" s="1866"/>
      <c r="AG54" s="1866"/>
      <c r="AH54" s="1866"/>
      <c r="AI54" s="1866"/>
      <c r="AJ54" s="1866"/>
      <c r="AK54" s="1866"/>
      <c r="AL54" s="1866"/>
      <c r="AM54" s="1866"/>
      <c r="AN54" s="1866"/>
      <c r="AO54" s="1866"/>
    </row>
    <row r="55" spans="1:41" ht="15" customHeight="1">
      <c r="A55" s="1866"/>
      <c r="B55" s="1866"/>
      <c r="C55" s="1866"/>
      <c r="D55" s="1866"/>
      <c r="E55" s="1866"/>
      <c r="F55" s="1866"/>
      <c r="G55" s="1866"/>
      <c r="H55" s="1866"/>
      <c r="I55" s="1866"/>
      <c r="J55" s="1866"/>
      <c r="K55" s="1866"/>
      <c r="L55" s="1866"/>
      <c r="M55" s="1866"/>
      <c r="N55" s="1866"/>
      <c r="O55" s="1866"/>
      <c r="P55" s="1866"/>
      <c r="Q55" s="1866"/>
      <c r="R55" s="1866"/>
      <c r="S55" s="1866"/>
      <c r="T55" s="1866"/>
      <c r="U55" s="1866"/>
      <c r="V55" s="1866"/>
      <c r="W55" s="1866"/>
      <c r="X55" s="1866"/>
      <c r="Y55" s="1866"/>
      <c r="Z55" s="1866"/>
      <c r="AA55" s="1866"/>
      <c r="AB55" s="1866"/>
      <c r="AC55" s="1866"/>
      <c r="AD55" s="1866"/>
      <c r="AE55" s="1866"/>
      <c r="AF55" s="1866"/>
      <c r="AG55" s="1866"/>
      <c r="AH55" s="1866"/>
      <c r="AI55" s="1866"/>
      <c r="AJ55" s="1866"/>
      <c r="AK55" s="1866"/>
      <c r="AL55" s="1866"/>
      <c r="AM55" s="1866"/>
      <c r="AN55" s="1866"/>
      <c r="AO55" s="1866"/>
    </row>
    <row r="56" spans="1:41" ht="15" customHeight="1">
      <c r="A56" s="1866"/>
      <c r="B56" s="1866"/>
      <c r="C56" s="1866"/>
      <c r="D56" s="1866"/>
      <c r="E56" s="1866"/>
      <c r="F56" s="1866"/>
      <c r="G56" s="1866"/>
      <c r="H56" s="1866"/>
      <c r="I56" s="1866"/>
      <c r="J56" s="1866"/>
      <c r="K56" s="1866"/>
      <c r="L56" s="1866"/>
      <c r="M56" s="1866"/>
      <c r="N56" s="1866"/>
      <c r="O56" s="1866"/>
      <c r="P56" s="1866"/>
      <c r="Q56" s="1866"/>
      <c r="R56" s="1866"/>
      <c r="S56" s="1866"/>
      <c r="T56" s="1866"/>
      <c r="U56" s="1866"/>
      <c r="V56" s="1866"/>
      <c r="W56" s="1866"/>
      <c r="X56" s="1866"/>
      <c r="Y56" s="1866"/>
      <c r="Z56" s="1866"/>
      <c r="AA56" s="1866"/>
      <c r="AB56" s="1866"/>
      <c r="AC56" s="1866"/>
      <c r="AD56" s="1866"/>
      <c r="AE56" s="1866"/>
      <c r="AF56" s="1866"/>
      <c r="AG56" s="1866"/>
      <c r="AH56" s="1866"/>
      <c r="AI56" s="1866"/>
      <c r="AJ56" s="1866"/>
      <c r="AK56" s="1866"/>
      <c r="AL56" s="1866"/>
      <c r="AM56" s="1866"/>
      <c r="AN56" s="1866"/>
      <c r="AO56" s="1866"/>
    </row>
    <row r="57" spans="1:41" ht="15" customHeight="1">
      <c r="A57" s="1866"/>
      <c r="B57" s="1866"/>
      <c r="C57" s="1866"/>
      <c r="D57" s="1866"/>
      <c r="E57" s="1866"/>
      <c r="F57" s="1866"/>
      <c r="G57" s="1866"/>
      <c r="H57" s="1866"/>
      <c r="I57" s="1866"/>
      <c r="J57" s="1866"/>
      <c r="K57" s="1866"/>
      <c r="L57" s="1866"/>
      <c r="M57" s="1866"/>
      <c r="N57" s="1866"/>
      <c r="O57" s="1866"/>
      <c r="P57" s="1866"/>
      <c r="Q57" s="1866"/>
      <c r="R57" s="1866"/>
      <c r="S57" s="1866"/>
      <c r="T57" s="1866"/>
      <c r="U57" s="1866"/>
      <c r="V57" s="1866"/>
      <c r="W57" s="1866"/>
      <c r="X57" s="1866"/>
      <c r="Y57" s="1866"/>
      <c r="Z57" s="1866"/>
      <c r="AA57" s="1866"/>
      <c r="AB57" s="1866"/>
      <c r="AC57" s="1866"/>
      <c r="AD57" s="1866"/>
      <c r="AE57" s="1866"/>
      <c r="AF57" s="1866"/>
      <c r="AG57" s="1866"/>
      <c r="AH57" s="1866"/>
      <c r="AI57" s="1866"/>
      <c r="AJ57" s="1866"/>
      <c r="AK57" s="1866"/>
      <c r="AL57" s="1866"/>
      <c r="AM57" s="1866"/>
      <c r="AN57" s="1866"/>
      <c r="AO57" s="1866"/>
    </row>
    <row r="58" spans="1:41" ht="15" customHeight="1">
      <c r="A58" s="1866"/>
      <c r="B58" s="1866"/>
      <c r="C58" s="1866"/>
      <c r="D58" s="1866"/>
      <c r="E58" s="1866"/>
      <c r="F58" s="1866"/>
      <c r="G58" s="1866"/>
      <c r="H58" s="1866"/>
      <c r="I58" s="1866"/>
      <c r="J58" s="1866"/>
      <c r="K58" s="1866"/>
      <c r="L58" s="1866"/>
      <c r="M58" s="1866"/>
      <c r="N58" s="1866"/>
      <c r="O58" s="1866"/>
      <c r="P58" s="1866"/>
      <c r="Q58" s="1866"/>
      <c r="R58" s="1866"/>
      <c r="S58" s="1866"/>
      <c r="T58" s="1866"/>
      <c r="U58" s="1866"/>
      <c r="V58" s="1866"/>
      <c r="W58" s="1866"/>
      <c r="X58" s="1866"/>
      <c r="Y58" s="1866"/>
      <c r="Z58" s="1866"/>
      <c r="AA58" s="1866"/>
      <c r="AB58" s="1866"/>
      <c r="AC58" s="1866"/>
      <c r="AD58" s="1866"/>
      <c r="AE58" s="1866"/>
      <c r="AF58" s="1866"/>
      <c r="AG58" s="1866"/>
      <c r="AH58" s="1866"/>
      <c r="AI58" s="1866"/>
      <c r="AJ58" s="1866"/>
      <c r="AK58" s="1866"/>
      <c r="AL58" s="1866"/>
      <c r="AM58" s="1866"/>
      <c r="AN58" s="1866"/>
      <c r="AO58" s="1866"/>
    </row>
    <row r="59" spans="1:41" ht="15" customHeight="1">
      <c r="A59" s="1866"/>
      <c r="B59" s="1866"/>
      <c r="C59" s="1866"/>
      <c r="D59" s="1866"/>
      <c r="E59" s="1866"/>
      <c r="F59" s="1866"/>
      <c r="G59" s="1866"/>
      <c r="H59" s="1866"/>
      <c r="I59" s="1866"/>
      <c r="J59" s="1866"/>
      <c r="K59" s="1866"/>
      <c r="L59" s="1866"/>
      <c r="M59" s="1866"/>
      <c r="N59" s="1866"/>
      <c r="O59" s="1866"/>
      <c r="P59" s="1866"/>
      <c r="Q59" s="1866"/>
      <c r="R59" s="1866"/>
      <c r="S59" s="1866"/>
      <c r="T59" s="1866"/>
      <c r="U59" s="1866"/>
      <c r="V59" s="1866"/>
      <c r="W59" s="1866"/>
      <c r="X59" s="1866"/>
      <c r="Y59" s="1866"/>
      <c r="Z59" s="1866"/>
      <c r="AA59" s="1866"/>
      <c r="AB59" s="1866"/>
      <c r="AC59" s="1866"/>
      <c r="AD59" s="1866"/>
      <c r="AE59" s="1866"/>
      <c r="AF59" s="1866"/>
      <c r="AG59" s="1866"/>
      <c r="AH59" s="1866"/>
      <c r="AI59" s="1866"/>
      <c r="AJ59" s="1866"/>
      <c r="AK59" s="1866"/>
      <c r="AL59" s="1866"/>
      <c r="AM59" s="1866"/>
      <c r="AN59" s="1866"/>
      <c r="AO59" s="1866"/>
    </row>
    <row r="60" spans="1:41" ht="15" customHeight="1">
      <c r="A60" s="1866"/>
      <c r="B60" s="1866"/>
      <c r="C60" s="1866"/>
      <c r="D60" s="1866"/>
      <c r="E60" s="1866"/>
      <c r="F60" s="1866"/>
      <c r="G60" s="1866"/>
      <c r="H60" s="1866"/>
      <c r="I60" s="1866"/>
      <c r="J60" s="1866"/>
      <c r="K60" s="1866"/>
      <c r="L60" s="1866"/>
      <c r="M60" s="1866"/>
      <c r="N60" s="1866"/>
      <c r="O60" s="1866"/>
      <c r="P60" s="1866"/>
      <c r="Q60" s="1866"/>
      <c r="R60" s="1866"/>
      <c r="S60" s="1866"/>
      <c r="T60" s="1866"/>
      <c r="U60" s="1866"/>
      <c r="V60" s="1866"/>
      <c r="W60" s="1866"/>
      <c r="X60" s="1866"/>
      <c r="Y60" s="1866"/>
      <c r="Z60" s="1866"/>
      <c r="AA60" s="1866"/>
      <c r="AB60" s="1866"/>
      <c r="AC60" s="1866"/>
      <c r="AD60" s="1866"/>
      <c r="AE60" s="1866"/>
      <c r="AF60" s="1866"/>
      <c r="AG60" s="1866"/>
      <c r="AH60" s="1866"/>
      <c r="AI60" s="1866"/>
      <c r="AJ60" s="1866"/>
      <c r="AK60" s="1866"/>
      <c r="AL60" s="1866"/>
      <c r="AM60" s="1866"/>
      <c r="AN60" s="1866"/>
      <c r="AO60" s="1866"/>
    </row>
    <row r="61" spans="1:41" ht="15" customHeight="1">
      <c r="A61" s="1866"/>
      <c r="B61" s="1866"/>
      <c r="C61" s="1866"/>
      <c r="D61" s="1866"/>
      <c r="E61" s="1866"/>
      <c r="F61" s="1866"/>
      <c r="G61" s="1866"/>
      <c r="H61" s="1866"/>
      <c r="I61" s="1866"/>
      <c r="J61" s="1866"/>
      <c r="K61" s="1866"/>
      <c r="L61" s="1866"/>
      <c r="M61" s="1866"/>
      <c r="N61" s="1866"/>
      <c r="O61" s="1866"/>
      <c r="P61" s="1866"/>
      <c r="Q61" s="1866"/>
      <c r="R61" s="1866"/>
      <c r="S61" s="1866"/>
      <c r="T61" s="1866"/>
      <c r="U61" s="1866"/>
      <c r="V61" s="1866"/>
      <c r="W61" s="1866"/>
      <c r="X61" s="1866"/>
      <c r="Y61" s="1866"/>
      <c r="Z61" s="1866"/>
      <c r="AA61" s="1866"/>
      <c r="AB61" s="1866"/>
      <c r="AC61" s="1866"/>
      <c r="AD61" s="1866"/>
      <c r="AE61" s="1866"/>
      <c r="AF61" s="1866"/>
      <c r="AG61" s="1866"/>
      <c r="AH61" s="1866"/>
      <c r="AI61" s="1866"/>
      <c r="AJ61" s="1866"/>
      <c r="AK61" s="1866"/>
      <c r="AL61" s="1866"/>
      <c r="AM61" s="1866"/>
      <c r="AN61" s="1866"/>
      <c r="AO61" s="1866"/>
    </row>
    <row r="62" spans="1:41" ht="15" customHeight="1">
      <c r="A62" s="1866"/>
      <c r="B62" s="1866"/>
      <c r="C62" s="1866"/>
      <c r="D62" s="1866"/>
      <c r="E62" s="1866"/>
      <c r="F62" s="1866"/>
      <c r="G62" s="1866"/>
      <c r="H62" s="1866"/>
      <c r="I62" s="1866"/>
      <c r="J62" s="1866"/>
      <c r="K62" s="1866"/>
      <c r="L62" s="1866"/>
      <c r="M62" s="1866"/>
      <c r="N62" s="1866"/>
      <c r="O62" s="1866"/>
      <c r="P62" s="1866"/>
      <c r="Q62" s="1866"/>
      <c r="R62" s="1866"/>
      <c r="S62" s="1866"/>
      <c r="T62" s="1866"/>
      <c r="U62" s="1866"/>
      <c r="V62" s="1866"/>
      <c r="W62" s="1866"/>
      <c r="X62" s="1866"/>
      <c r="Y62" s="1866"/>
      <c r="Z62" s="1866"/>
      <c r="AA62" s="1866"/>
      <c r="AB62" s="1866"/>
      <c r="AC62" s="1866"/>
      <c r="AD62" s="1866"/>
      <c r="AE62" s="1866"/>
      <c r="AF62" s="1866"/>
      <c r="AG62" s="1866"/>
      <c r="AH62" s="1866"/>
      <c r="AI62" s="1866"/>
      <c r="AJ62" s="1866"/>
      <c r="AK62" s="1866"/>
      <c r="AL62" s="1866"/>
      <c r="AM62" s="1866"/>
      <c r="AN62" s="1866"/>
      <c r="AO62" s="1866"/>
    </row>
    <row r="63" spans="1:41" ht="15" customHeight="1">
      <c r="A63" s="1866"/>
      <c r="B63" s="1866"/>
      <c r="C63" s="1866"/>
      <c r="D63" s="1866"/>
      <c r="E63" s="1866"/>
      <c r="F63" s="1866"/>
      <c r="G63" s="1866"/>
      <c r="H63" s="1866"/>
      <c r="I63" s="1866"/>
      <c r="J63" s="1866"/>
      <c r="K63" s="1866"/>
      <c r="L63" s="1866"/>
      <c r="M63" s="1866"/>
      <c r="N63" s="1866"/>
      <c r="O63" s="1866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6"/>
      <c r="AI63" s="1866"/>
      <c r="AJ63" s="1866"/>
      <c r="AK63" s="1866"/>
      <c r="AL63" s="1866"/>
      <c r="AM63" s="1866"/>
      <c r="AN63" s="1866"/>
      <c r="AO63" s="1866"/>
    </row>
    <row r="64" spans="1:41" ht="15" customHeight="1">
      <c r="A64" s="1866"/>
      <c r="B64" s="1866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866"/>
      <c r="O64" s="1866"/>
      <c r="P64" s="1866"/>
      <c r="Q64" s="1866"/>
      <c r="R64" s="1866"/>
      <c r="S64" s="1866"/>
      <c r="T64" s="1866"/>
      <c r="U64" s="1866"/>
      <c r="V64" s="1866"/>
      <c r="W64" s="1866"/>
      <c r="X64" s="1866"/>
      <c r="Y64" s="1866"/>
      <c r="Z64" s="1866"/>
      <c r="AA64" s="1866"/>
      <c r="AB64" s="1866"/>
      <c r="AC64" s="1866"/>
      <c r="AD64" s="1866"/>
      <c r="AE64" s="1866"/>
      <c r="AF64" s="1866"/>
      <c r="AG64" s="1866"/>
      <c r="AH64" s="1866"/>
      <c r="AI64" s="1866"/>
      <c r="AJ64" s="1866"/>
      <c r="AK64" s="1866"/>
      <c r="AL64" s="1866"/>
      <c r="AM64" s="1866"/>
      <c r="AN64" s="1866"/>
      <c r="AO64" s="1866"/>
    </row>
    <row r="65" spans="1:41" ht="15" customHeight="1">
      <c r="A65" s="1866"/>
      <c r="B65" s="1866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866"/>
      <c r="O65" s="1866"/>
      <c r="P65" s="1866"/>
      <c r="Q65" s="1866"/>
      <c r="R65" s="1866"/>
      <c r="S65" s="1866"/>
      <c r="T65" s="1866"/>
      <c r="U65" s="1866"/>
      <c r="V65" s="1866"/>
      <c r="W65" s="1866"/>
      <c r="X65" s="1866"/>
      <c r="Y65" s="1866"/>
      <c r="Z65" s="1866"/>
      <c r="AA65" s="1866"/>
      <c r="AB65" s="1866"/>
      <c r="AC65" s="1866"/>
      <c r="AD65" s="1866"/>
      <c r="AE65" s="1866"/>
      <c r="AF65" s="1866"/>
      <c r="AG65" s="1866"/>
      <c r="AH65" s="1866"/>
      <c r="AI65" s="1866"/>
      <c r="AJ65" s="1866"/>
      <c r="AK65" s="1866"/>
      <c r="AL65" s="1866"/>
      <c r="AM65" s="1866"/>
      <c r="AN65" s="1866"/>
      <c r="AO65" s="1866"/>
    </row>
    <row r="66" spans="1:41" ht="15" customHeight="1">
      <c r="A66" s="1866"/>
      <c r="B66" s="1866"/>
      <c r="C66" s="1866"/>
      <c r="D66" s="1866"/>
      <c r="E66" s="1866"/>
      <c r="F66" s="1866"/>
      <c r="G66" s="1866"/>
      <c r="H66" s="1866"/>
      <c r="I66" s="1866"/>
      <c r="J66" s="1866"/>
      <c r="K66" s="1866"/>
      <c r="L66" s="1866"/>
      <c r="M66" s="1866"/>
      <c r="N66" s="1866"/>
      <c r="O66" s="1866"/>
      <c r="P66" s="1866"/>
      <c r="Q66" s="1866"/>
      <c r="R66" s="1866"/>
      <c r="S66" s="1866"/>
      <c r="T66" s="1866"/>
      <c r="U66" s="1866"/>
      <c r="V66" s="1866"/>
      <c r="W66" s="1866"/>
      <c r="X66" s="1866"/>
      <c r="Y66" s="1866"/>
      <c r="Z66" s="1866"/>
      <c r="AA66" s="1866"/>
      <c r="AB66" s="1866"/>
      <c r="AC66" s="1866"/>
      <c r="AD66" s="1866"/>
      <c r="AE66" s="1866"/>
      <c r="AF66" s="1866"/>
      <c r="AG66" s="1866"/>
      <c r="AH66" s="1866"/>
      <c r="AI66" s="1866"/>
      <c r="AJ66" s="1866"/>
      <c r="AK66" s="1866"/>
      <c r="AL66" s="1866"/>
      <c r="AM66" s="1866"/>
      <c r="AN66" s="1866"/>
      <c r="AO66" s="1866"/>
    </row>
    <row r="67" spans="1:41" ht="15" customHeight="1">
      <c r="A67" s="1866"/>
      <c r="B67" s="1866"/>
      <c r="C67" s="1866"/>
      <c r="D67" s="1866"/>
      <c r="E67" s="1866"/>
      <c r="F67" s="1866"/>
      <c r="G67" s="1866"/>
      <c r="H67" s="1866"/>
      <c r="I67" s="1866"/>
      <c r="J67" s="1866"/>
      <c r="K67" s="1866"/>
      <c r="L67" s="1866"/>
      <c r="M67" s="1866"/>
      <c r="N67" s="1866"/>
      <c r="O67" s="1866"/>
      <c r="P67" s="1866"/>
      <c r="Q67" s="1866"/>
      <c r="R67" s="1866"/>
      <c r="S67" s="1866"/>
      <c r="T67" s="1866"/>
      <c r="U67" s="1866"/>
      <c r="V67" s="1866"/>
      <c r="W67" s="1866"/>
      <c r="X67" s="1866"/>
      <c r="Y67" s="1866"/>
      <c r="Z67" s="1866"/>
      <c r="AA67" s="1866"/>
      <c r="AB67" s="1866"/>
      <c r="AC67" s="1866"/>
      <c r="AD67" s="1866"/>
      <c r="AE67" s="1866"/>
      <c r="AF67" s="1866"/>
      <c r="AG67" s="1866"/>
      <c r="AH67" s="1866"/>
      <c r="AI67" s="1866"/>
      <c r="AJ67" s="1866"/>
      <c r="AK67" s="1866"/>
      <c r="AL67" s="1866"/>
      <c r="AM67" s="1866"/>
      <c r="AN67" s="1866"/>
      <c r="AO67" s="1866"/>
    </row>
    <row r="68" spans="1:41" ht="15" customHeight="1">
      <c r="A68" s="1866"/>
      <c r="B68" s="1866"/>
      <c r="C68" s="1866"/>
      <c r="D68" s="1866"/>
      <c r="E68" s="1866"/>
      <c r="F68" s="1866"/>
      <c r="G68" s="1866"/>
      <c r="H68" s="1866"/>
      <c r="I68" s="1866"/>
      <c r="J68" s="1866"/>
      <c r="K68" s="1866"/>
      <c r="L68" s="1866"/>
      <c r="M68" s="1866"/>
      <c r="N68" s="1866"/>
      <c r="O68" s="1866"/>
      <c r="P68" s="1866"/>
      <c r="Q68" s="1866"/>
      <c r="R68" s="1866"/>
      <c r="S68" s="1866"/>
      <c r="T68" s="1866"/>
      <c r="U68" s="1866"/>
      <c r="V68" s="1866"/>
      <c r="W68" s="1866"/>
      <c r="X68" s="1866"/>
      <c r="Y68" s="1866"/>
      <c r="Z68" s="1866"/>
      <c r="AA68" s="1866"/>
      <c r="AB68" s="1866"/>
      <c r="AC68" s="1866"/>
      <c r="AD68" s="1866"/>
      <c r="AE68" s="1866"/>
      <c r="AF68" s="1866"/>
      <c r="AG68" s="1866"/>
      <c r="AH68" s="1866"/>
      <c r="AI68" s="1866"/>
      <c r="AJ68" s="1866"/>
      <c r="AK68" s="1866"/>
      <c r="AL68" s="1866"/>
      <c r="AM68" s="1866"/>
      <c r="AN68" s="1866"/>
      <c r="AO68" s="1866"/>
    </row>
    <row r="69" spans="1:41" ht="15" customHeight="1">
      <c r="A69" s="1866"/>
      <c r="B69" s="1866"/>
      <c r="C69" s="1866"/>
      <c r="D69" s="1866"/>
      <c r="E69" s="1866"/>
      <c r="F69" s="1866"/>
      <c r="G69" s="1866"/>
      <c r="H69" s="1866"/>
      <c r="I69" s="1866"/>
      <c r="J69" s="1866"/>
      <c r="K69" s="1866"/>
      <c r="L69" s="1866"/>
      <c r="M69" s="1866"/>
      <c r="N69" s="1866"/>
      <c r="O69" s="1866"/>
      <c r="P69" s="1866"/>
      <c r="Q69" s="1866"/>
      <c r="R69" s="1866"/>
      <c r="S69" s="1866"/>
      <c r="T69" s="1866"/>
      <c r="U69" s="1866"/>
      <c r="V69" s="1866"/>
      <c r="W69" s="1866"/>
      <c r="X69" s="1866"/>
      <c r="Y69" s="1866"/>
      <c r="Z69" s="1866"/>
      <c r="AA69" s="1866"/>
      <c r="AB69" s="1866"/>
      <c r="AC69" s="1866"/>
      <c r="AD69" s="1866"/>
      <c r="AE69" s="1866"/>
      <c r="AF69" s="1866"/>
      <c r="AG69" s="1866"/>
      <c r="AH69" s="1866"/>
      <c r="AI69" s="1866"/>
      <c r="AJ69" s="1866"/>
      <c r="AK69" s="1866"/>
      <c r="AL69" s="1866"/>
      <c r="AM69" s="1866"/>
      <c r="AN69" s="1866"/>
      <c r="AO69" s="1866"/>
    </row>
    <row r="70" spans="1:41" ht="15" customHeight="1">
      <c r="A70" s="1866"/>
      <c r="B70" s="1866"/>
      <c r="C70" s="1866"/>
      <c r="D70" s="1866"/>
      <c r="E70" s="1866"/>
      <c r="F70" s="1866"/>
      <c r="G70" s="1866"/>
      <c r="H70" s="1866"/>
      <c r="I70" s="1866"/>
      <c r="J70" s="1866"/>
      <c r="K70" s="1866"/>
      <c r="L70" s="1866"/>
      <c r="M70" s="1866"/>
      <c r="N70" s="1866"/>
      <c r="O70" s="1866"/>
      <c r="P70" s="1866"/>
      <c r="Q70" s="1866"/>
      <c r="R70" s="1866"/>
      <c r="S70" s="1866"/>
      <c r="T70" s="1866"/>
      <c r="U70" s="1866"/>
      <c r="V70" s="1866"/>
      <c r="W70" s="1866"/>
      <c r="X70" s="1866"/>
      <c r="Y70" s="1866"/>
      <c r="Z70" s="1866"/>
      <c r="AA70" s="1866"/>
      <c r="AB70" s="1866"/>
      <c r="AC70" s="1866"/>
      <c r="AD70" s="1866"/>
      <c r="AE70" s="1866"/>
      <c r="AF70" s="1866"/>
      <c r="AG70" s="1866"/>
      <c r="AH70" s="1866"/>
      <c r="AI70" s="1866"/>
      <c r="AJ70" s="1866"/>
      <c r="AK70" s="1866"/>
      <c r="AL70" s="1866"/>
      <c r="AM70" s="1866"/>
      <c r="AN70" s="1866"/>
      <c r="AO70" s="1866"/>
    </row>
    <row r="71" spans="1:41" ht="15" customHeight="1">
      <c r="A71" s="1866"/>
      <c r="B71" s="1866"/>
      <c r="C71" s="1866"/>
      <c r="D71" s="1866"/>
      <c r="E71" s="1866"/>
      <c r="F71" s="1866"/>
      <c r="G71" s="1866"/>
      <c r="H71" s="1866"/>
      <c r="I71" s="1866"/>
      <c r="J71" s="1866"/>
      <c r="K71" s="1866"/>
      <c r="L71" s="1866"/>
      <c r="M71" s="1866"/>
      <c r="N71" s="1866"/>
      <c r="O71" s="1866"/>
      <c r="P71" s="1866"/>
      <c r="Q71" s="1866"/>
      <c r="R71" s="1866"/>
      <c r="S71" s="1866"/>
      <c r="T71" s="1866"/>
      <c r="U71" s="1866"/>
      <c r="V71" s="1866"/>
      <c r="W71" s="1866"/>
      <c r="X71" s="1866"/>
      <c r="Y71" s="1866"/>
      <c r="Z71" s="1866"/>
      <c r="AA71" s="1866"/>
      <c r="AB71" s="1866"/>
      <c r="AC71" s="1866"/>
      <c r="AD71" s="1866"/>
      <c r="AE71" s="1866"/>
      <c r="AF71" s="1866"/>
      <c r="AG71" s="1866"/>
      <c r="AH71" s="1866"/>
      <c r="AI71" s="1866"/>
      <c r="AJ71" s="1866"/>
      <c r="AK71" s="1866"/>
      <c r="AL71" s="1866"/>
      <c r="AM71" s="1866"/>
      <c r="AN71" s="1866"/>
      <c r="AO71" s="1866"/>
    </row>
    <row r="72" spans="1:41" ht="15" customHeight="1">
      <c r="A72" s="1866"/>
      <c r="B72" s="1866"/>
      <c r="C72" s="1866"/>
      <c r="D72" s="1866"/>
      <c r="E72" s="1866"/>
      <c r="F72" s="1866"/>
      <c r="G72" s="1866"/>
      <c r="H72" s="1866"/>
      <c r="I72" s="1866"/>
      <c r="J72" s="1866"/>
      <c r="K72" s="1866"/>
      <c r="L72" s="1866"/>
      <c r="M72" s="1866"/>
      <c r="N72" s="1866"/>
      <c r="O72" s="1866"/>
      <c r="P72" s="1866"/>
      <c r="Q72" s="1866"/>
      <c r="R72" s="1866"/>
      <c r="S72" s="1866"/>
      <c r="T72" s="1866"/>
      <c r="U72" s="1866"/>
      <c r="V72" s="1866"/>
      <c r="W72" s="1866"/>
      <c r="X72" s="1866"/>
      <c r="Y72" s="1866"/>
      <c r="Z72" s="1866"/>
      <c r="AA72" s="1866"/>
      <c r="AB72" s="1866"/>
      <c r="AC72" s="1866"/>
      <c r="AD72" s="1866"/>
      <c r="AE72" s="1866"/>
      <c r="AF72" s="1866"/>
      <c r="AG72" s="1866"/>
      <c r="AH72" s="1866"/>
      <c r="AI72" s="1866"/>
      <c r="AJ72" s="1866"/>
      <c r="AK72" s="1866"/>
      <c r="AL72" s="1866"/>
      <c r="AM72" s="1866"/>
      <c r="AN72" s="1866"/>
      <c r="AO72" s="1866"/>
    </row>
    <row r="73" spans="1:41" ht="15" customHeight="1">
      <c r="A73" s="1866"/>
      <c r="B73" s="1866"/>
      <c r="C73" s="1866"/>
      <c r="D73" s="1866"/>
      <c r="E73" s="1866"/>
      <c r="F73" s="1866"/>
      <c r="G73" s="1866"/>
      <c r="H73" s="1866"/>
      <c r="I73" s="1866"/>
      <c r="J73" s="1866"/>
      <c r="K73" s="1866"/>
      <c r="L73" s="1866"/>
      <c r="M73" s="1866"/>
      <c r="N73" s="1866"/>
      <c r="O73" s="1866"/>
      <c r="P73" s="1866"/>
      <c r="Q73" s="1866"/>
      <c r="R73" s="1866"/>
      <c r="S73" s="1866"/>
      <c r="T73" s="1866"/>
      <c r="U73" s="1866"/>
      <c r="V73" s="1866"/>
      <c r="W73" s="1866"/>
      <c r="X73" s="1866"/>
      <c r="Y73" s="1866"/>
      <c r="Z73" s="1866"/>
      <c r="AA73" s="1866"/>
      <c r="AB73" s="1866"/>
      <c r="AC73" s="1866"/>
      <c r="AD73" s="1866"/>
      <c r="AE73" s="1866"/>
      <c r="AF73" s="1866"/>
      <c r="AG73" s="1866"/>
      <c r="AH73" s="1866"/>
      <c r="AI73" s="1866"/>
      <c r="AJ73" s="1866"/>
      <c r="AK73" s="1866"/>
      <c r="AL73" s="1866"/>
      <c r="AM73" s="1866"/>
      <c r="AN73" s="1866"/>
      <c r="AO73" s="1866"/>
    </row>
    <row r="74" spans="1:41" ht="15" customHeight="1">
      <c r="A74" s="1866"/>
      <c r="B74" s="1866"/>
      <c r="C74" s="1866"/>
      <c r="D74" s="1866"/>
      <c r="E74" s="1866"/>
      <c r="F74" s="1866"/>
      <c r="G74" s="1866"/>
      <c r="H74" s="1866"/>
      <c r="I74" s="1866"/>
      <c r="J74" s="1866"/>
      <c r="K74" s="1866"/>
      <c r="L74" s="1866"/>
      <c r="M74" s="1866"/>
      <c r="N74" s="1866"/>
      <c r="O74" s="1866"/>
      <c r="P74" s="1866"/>
      <c r="Q74" s="1866"/>
      <c r="R74" s="1866"/>
      <c r="S74" s="1866"/>
      <c r="T74" s="1866"/>
      <c r="U74" s="1866"/>
      <c r="V74" s="1866"/>
      <c r="W74" s="1866"/>
      <c r="X74" s="1866"/>
      <c r="Y74" s="1866"/>
      <c r="Z74" s="1866"/>
      <c r="AA74" s="1866"/>
      <c r="AB74" s="1866"/>
      <c r="AC74" s="1866"/>
      <c r="AD74" s="1866"/>
      <c r="AE74" s="1866"/>
      <c r="AF74" s="1866"/>
      <c r="AG74" s="1866"/>
      <c r="AH74" s="1866"/>
      <c r="AI74" s="1866"/>
      <c r="AJ74" s="1866"/>
      <c r="AK74" s="1866"/>
      <c r="AL74" s="1866"/>
      <c r="AM74" s="1866"/>
      <c r="AN74" s="1866"/>
      <c r="AO74" s="1866"/>
    </row>
    <row r="75" spans="1:41" ht="15" customHeight="1">
      <c r="A75" s="1866"/>
      <c r="B75" s="1866"/>
      <c r="C75" s="1866"/>
      <c r="D75" s="1866"/>
      <c r="E75" s="1866"/>
      <c r="F75" s="1866"/>
      <c r="G75" s="1866"/>
      <c r="H75" s="1866"/>
      <c r="I75" s="1866"/>
      <c r="J75" s="1866"/>
      <c r="K75" s="1866"/>
      <c r="L75" s="1866"/>
      <c r="M75" s="1866"/>
      <c r="N75" s="1866"/>
      <c r="O75" s="1866"/>
      <c r="P75" s="1866"/>
      <c r="Q75" s="1866"/>
      <c r="R75" s="1866"/>
      <c r="S75" s="1866"/>
      <c r="T75" s="1866"/>
      <c r="U75" s="1866"/>
      <c r="V75" s="1866"/>
      <c r="W75" s="1866"/>
      <c r="X75" s="1866"/>
      <c r="Y75" s="1866"/>
      <c r="Z75" s="1866"/>
      <c r="AA75" s="1866"/>
      <c r="AB75" s="1866"/>
      <c r="AC75" s="1866"/>
      <c r="AD75" s="1866"/>
      <c r="AE75" s="1866"/>
      <c r="AF75" s="1866"/>
      <c r="AG75" s="1866"/>
      <c r="AH75" s="1866"/>
      <c r="AI75" s="1866"/>
      <c r="AJ75" s="1866"/>
      <c r="AK75" s="1866"/>
      <c r="AL75" s="1866"/>
      <c r="AM75" s="1866"/>
      <c r="AN75" s="1866"/>
      <c r="AO75" s="1866"/>
    </row>
    <row r="76" spans="1:41" ht="15" customHeight="1">
      <c r="A76" s="1866"/>
      <c r="B76" s="1866"/>
      <c r="C76" s="1866"/>
      <c r="D76" s="1866"/>
      <c r="E76" s="1866"/>
      <c r="F76" s="1866"/>
      <c r="G76" s="1866"/>
      <c r="H76" s="1866"/>
      <c r="I76" s="1866"/>
      <c r="J76" s="1866"/>
      <c r="K76" s="1866"/>
      <c r="L76" s="1866"/>
      <c r="M76" s="1866"/>
      <c r="N76" s="1866"/>
      <c r="O76" s="1866"/>
      <c r="P76" s="1866"/>
      <c r="Q76" s="1866"/>
      <c r="R76" s="1866"/>
      <c r="S76" s="1866"/>
      <c r="T76" s="1866"/>
      <c r="U76" s="1866"/>
      <c r="V76" s="1866"/>
      <c r="W76" s="1866"/>
      <c r="X76" s="1866"/>
      <c r="Y76" s="1866"/>
      <c r="Z76" s="1866"/>
      <c r="AA76" s="1866"/>
      <c r="AB76" s="1866"/>
      <c r="AC76" s="1866"/>
      <c r="AD76" s="1866"/>
      <c r="AE76" s="1866"/>
      <c r="AF76" s="1866"/>
      <c r="AG76" s="1866"/>
      <c r="AH76" s="1866"/>
      <c r="AI76" s="1866"/>
      <c r="AJ76" s="1866"/>
      <c r="AK76" s="1866"/>
      <c r="AL76" s="1866"/>
      <c r="AM76" s="1866"/>
      <c r="AN76" s="1866"/>
      <c r="AO76" s="1866"/>
    </row>
    <row r="77" spans="1:41" ht="15" customHeight="1">
      <c r="A77" s="1866"/>
      <c r="B77" s="1866"/>
      <c r="C77" s="1866"/>
      <c r="D77" s="1866"/>
      <c r="E77" s="1866"/>
      <c r="F77" s="1866"/>
      <c r="G77" s="1866"/>
      <c r="H77" s="1866"/>
      <c r="I77" s="1866"/>
      <c r="J77" s="1866"/>
      <c r="K77" s="1866"/>
      <c r="L77" s="1866"/>
      <c r="M77" s="1866"/>
      <c r="N77" s="1866"/>
      <c r="O77" s="1866"/>
      <c r="P77" s="1866"/>
      <c r="Q77" s="1866"/>
      <c r="R77" s="1866"/>
      <c r="S77" s="1866"/>
      <c r="T77" s="1866"/>
      <c r="U77" s="1866"/>
      <c r="V77" s="1866"/>
      <c r="W77" s="1866"/>
      <c r="X77" s="1866"/>
      <c r="Y77" s="1866"/>
      <c r="Z77" s="1866"/>
      <c r="AA77" s="1866"/>
      <c r="AB77" s="1866"/>
      <c r="AC77" s="1866"/>
      <c r="AD77" s="1866"/>
      <c r="AE77" s="1866"/>
      <c r="AF77" s="1866"/>
      <c r="AG77" s="1866"/>
      <c r="AH77" s="1866"/>
      <c r="AI77" s="1866"/>
      <c r="AJ77" s="1866"/>
      <c r="AK77" s="1866"/>
      <c r="AL77" s="1866"/>
      <c r="AM77" s="1866"/>
      <c r="AN77" s="1866"/>
      <c r="AO77" s="1866"/>
    </row>
    <row r="78" spans="1:41" ht="15" customHeight="1">
      <c r="A78" s="1866"/>
      <c r="B78" s="1866"/>
      <c r="C78" s="1866"/>
      <c r="D78" s="1866"/>
      <c r="E78" s="1866"/>
      <c r="F78" s="1866"/>
      <c r="G78" s="1866"/>
      <c r="H78" s="1866"/>
      <c r="I78" s="1866"/>
      <c r="J78" s="1866"/>
      <c r="K78" s="1866"/>
      <c r="L78" s="1866"/>
      <c r="M78" s="1866"/>
      <c r="N78" s="1866"/>
      <c r="O78" s="1866"/>
      <c r="P78" s="1866"/>
      <c r="Q78" s="1866"/>
      <c r="R78" s="1866"/>
      <c r="S78" s="1866"/>
      <c r="T78" s="1866"/>
      <c r="U78" s="1866"/>
      <c r="V78" s="1866"/>
      <c r="W78" s="1866"/>
      <c r="X78" s="1866"/>
      <c r="Y78" s="1866"/>
      <c r="Z78" s="1866"/>
      <c r="AA78" s="1866"/>
      <c r="AB78" s="1866"/>
      <c r="AC78" s="1866"/>
      <c r="AD78" s="1866"/>
      <c r="AE78" s="1866"/>
      <c r="AF78" s="1866"/>
      <c r="AG78" s="1866"/>
      <c r="AH78" s="1866"/>
      <c r="AI78" s="1866"/>
      <c r="AJ78" s="1866"/>
      <c r="AK78" s="1866"/>
      <c r="AL78" s="1866"/>
      <c r="AM78" s="1866"/>
      <c r="AN78" s="1866"/>
      <c r="AO78" s="1866"/>
    </row>
    <row r="79" spans="1:41" ht="15" customHeight="1">
      <c r="A79" s="1866"/>
      <c r="B79" s="1866"/>
      <c r="C79" s="1866"/>
      <c r="D79" s="1866"/>
      <c r="E79" s="1866"/>
      <c r="F79" s="1866"/>
      <c r="G79" s="1866"/>
      <c r="H79" s="1866"/>
      <c r="I79" s="1866"/>
      <c r="J79" s="1866"/>
      <c r="K79" s="1866"/>
      <c r="L79" s="1866"/>
      <c r="M79" s="1866"/>
      <c r="N79" s="1866"/>
      <c r="O79" s="1866"/>
      <c r="P79" s="1866"/>
      <c r="Q79" s="1866"/>
      <c r="R79" s="1866"/>
      <c r="S79" s="1866"/>
      <c r="T79" s="1866"/>
      <c r="U79" s="1866"/>
      <c r="V79" s="1866"/>
      <c r="W79" s="1866"/>
      <c r="X79" s="1866"/>
      <c r="Y79" s="1866"/>
      <c r="Z79" s="1866"/>
      <c r="AA79" s="1866"/>
      <c r="AB79" s="1866"/>
      <c r="AC79" s="1866"/>
      <c r="AD79" s="1866"/>
      <c r="AE79" s="1866"/>
      <c r="AF79" s="1866"/>
      <c r="AG79" s="1866"/>
      <c r="AH79" s="1866"/>
      <c r="AI79" s="1866"/>
      <c r="AJ79" s="1866"/>
      <c r="AK79" s="1866"/>
      <c r="AL79" s="1866"/>
      <c r="AM79" s="1866"/>
      <c r="AN79" s="1866"/>
      <c r="AO79" s="1866"/>
    </row>
    <row r="80" spans="1:41" ht="15" customHeight="1">
      <c r="A80" s="1866"/>
      <c r="B80" s="1866"/>
      <c r="C80" s="1866"/>
      <c r="D80" s="1866"/>
      <c r="E80" s="1866"/>
      <c r="F80" s="1866"/>
      <c r="G80" s="1866"/>
      <c r="H80" s="1866"/>
      <c r="I80" s="1866"/>
      <c r="J80" s="1866"/>
      <c r="K80" s="1866"/>
      <c r="L80" s="1866"/>
      <c r="M80" s="1866"/>
      <c r="N80" s="1866"/>
      <c r="O80" s="1866"/>
      <c r="P80" s="1866"/>
      <c r="Q80" s="1866"/>
      <c r="R80" s="1866"/>
      <c r="S80" s="1866"/>
      <c r="T80" s="1866"/>
      <c r="U80" s="1866"/>
      <c r="V80" s="1866"/>
      <c r="W80" s="1866"/>
      <c r="X80" s="1866"/>
      <c r="Y80" s="1866"/>
      <c r="Z80" s="1866"/>
      <c r="AA80" s="1866"/>
      <c r="AB80" s="1866"/>
      <c r="AC80" s="1866"/>
      <c r="AD80" s="1866"/>
      <c r="AE80" s="1866"/>
      <c r="AF80" s="1866"/>
      <c r="AG80" s="1866"/>
      <c r="AH80" s="1866"/>
      <c r="AI80" s="1866"/>
      <c r="AJ80" s="1866"/>
      <c r="AK80" s="1866"/>
      <c r="AL80" s="1866"/>
      <c r="AM80" s="1866"/>
      <c r="AN80" s="1866"/>
      <c r="AO80" s="1866"/>
    </row>
    <row r="81" spans="1:41" ht="15" customHeight="1">
      <c r="A81" s="1866"/>
      <c r="B81" s="1866"/>
      <c r="C81" s="1866"/>
      <c r="D81" s="1866"/>
      <c r="E81" s="1866"/>
      <c r="F81" s="1866"/>
      <c r="G81" s="1866"/>
      <c r="H81" s="1866"/>
      <c r="I81" s="1866"/>
      <c r="J81" s="1866"/>
      <c r="K81" s="1866"/>
      <c r="L81" s="1866"/>
      <c r="M81" s="1866"/>
      <c r="N81" s="1866"/>
      <c r="O81" s="1866"/>
      <c r="P81" s="1866"/>
      <c r="Q81" s="1866"/>
      <c r="R81" s="1866"/>
      <c r="S81" s="1866"/>
      <c r="T81" s="1866"/>
      <c r="U81" s="1866"/>
      <c r="V81" s="1866"/>
      <c r="W81" s="1866"/>
      <c r="X81" s="1866"/>
      <c r="Y81" s="1866"/>
      <c r="Z81" s="1866"/>
      <c r="AA81" s="1866"/>
      <c r="AB81" s="1866"/>
      <c r="AC81" s="1866"/>
      <c r="AD81" s="1866"/>
      <c r="AE81" s="1866"/>
      <c r="AF81" s="1866"/>
      <c r="AG81" s="1866"/>
      <c r="AH81" s="1866"/>
      <c r="AI81" s="1866"/>
      <c r="AJ81" s="1866"/>
      <c r="AK81" s="1866"/>
      <c r="AL81" s="1866"/>
      <c r="AM81" s="1866"/>
      <c r="AN81" s="1866"/>
      <c r="AO81" s="1866"/>
    </row>
    <row r="82" spans="1:41" ht="15" customHeight="1">
      <c r="A82" s="1866"/>
      <c r="B82" s="1866"/>
      <c r="C82" s="1866"/>
      <c r="D82" s="1866"/>
      <c r="E82" s="1866"/>
      <c r="F82" s="1866"/>
      <c r="G82" s="1866"/>
      <c r="H82" s="1866"/>
      <c r="I82" s="1866"/>
      <c r="J82" s="1866"/>
      <c r="K82" s="1866"/>
      <c r="L82" s="1866"/>
      <c r="M82" s="1866"/>
      <c r="N82" s="1866"/>
      <c r="O82" s="1866"/>
      <c r="P82" s="1866"/>
      <c r="Q82" s="1866"/>
      <c r="R82" s="1866"/>
      <c r="S82" s="1866"/>
      <c r="T82" s="1866"/>
      <c r="U82" s="1866"/>
      <c r="V82" s="1866"/>
      <c r="W82" s="1866"/>
      <c r="X82" s="1866"/>
      <c r="Y82" s="1866"/>
      <c r="Z82" s="1866"/>
      <c r="AA82" s="1866"/>
      <c r="AB82" s="1866"/>
      <c r="AC82" s="1866"/>
      <c r="AD82" s="1866"/>
      <c r="AE82" s="1866"/>
      <c r="AF82" s="1866"/>
      <c r="AG82" s="1866"/>
      <c r="AH82" s="1866"/>
      <c r="AI82" s="1866"/>
      <c r="AJ82" s="1866"/>
      <c r="AK82" s="1866"/>
      <c r="AL82" s="1866"/>
      <c r="AM82" s="1866"/>
      <c r="AN82" s="1866"/>
      <c r="AO82" s="1866"/>
    </row>
    <row r="83" spans="1:41" ht="15" customHeight="1">
      <c r="A83" s="1866"/>
      <c r="B83" s="1866"/>
      <c r="C83" s="1866"/>
      <c r="D83" s="1866"/>
      <c r="E83" s="1866"/>
      <c r="F83" s="1866"/>
      <c r="G83" s="1866"/>
      <c r="H83" s="1866"/>
      <c r="I83" s="1866"/>
      <c r="J83" s="1866"/>
      <c r="K83" s="1866"/>
      <c r="L83" s="1866"/>
      <c r="M83" s="1866"/>
      <c r="N83" s="1866"/>
      <c r="O83" s="1866"/>
      <c r="P83" s="1866"/>
      <c r="Q83" s="1866"/>
      <c r="R83" s="1866"/>
      <c r="S83" s="1866"/>
      <c r="T83" s="1866"/>
      <c r="U83" s="1866"/>
      <c r="V83" s="1866"/>
      <c r="W83" s="1866"/>
      <c r="X83" s="1866"/>
      <c r="Y83" s="1866"/>
      <c r="Z83" s="1866"/>
      <c r="AA83" s="1866"/>
      <c r="AB83" s="1866"/>
      <c r="AC83" s="1866"/>
      <c r="AD83" s="1866"/>
      <c r="AE83" s="1866"/>
      <c r="AF83" s="1866"/>
      <c r="AG83" s="1866"/>
      <c r="AH83" s="1866"/>
      <c r="AI83" s="1866"/>
      <c r="AJ83" s="1866"/>
      <c r="AK83" s="1866"/>
      <c r="AL83" s="1866"/>
      <c r="AM83" s="1866"/>
      <c r="AN83" s="1866"/>
      <c r="AO83" s="1866"/>
    </row>
    <row r="84" spans="1:41" ht="15" customHeight="1">
      <c r="A84" s="1866"/>
      <c r="B84" s="1866"/>
      <c r="C84" s="1866"/>
      <c r="D84" s="1866"/>
      <c r="E84" s="1866"/>
      <c r="F84" s="1866"/>
      <c r="G84" s="1866"/>
      <c r="H84" s="1866"/>
      <c r="I84" s="1866"/>
      <c r="J84" s="1866"/>
      <c r="K84" s="1866"/>
      <c r="L84" s="1866"/>
      <c r="M84" s="1866"/>
      <c r="N84" s="1866"/>
      <c r="O84" s="1866"/>
      <c r="P84" s="1866"/>
      <c r="Q84" s="1866"/>
      <c r="R84" s="1866"/>
      <c r="S84" s="1866"/>
      <c r="T84" s="1866"/>
      <c r="U84" s="1866"/>
      <c r="V84" s="1866"/>
      <c r="W84" s="1866"/>
      <c r="X84" s="1866"/>
      <c r="Y84" s="1866"/>
      <c r="Z84" s="1866"/>
      <c r="AA84" s="1866"/>
      <c r="AB84" s="1866"/>
      <c r="AC84" s="1866"/>
      <c r="AD84" s="1866"/>
      <c r="AE84" s="1866"/>
      <c r="AF84" s="1866"/>
      <c r="AG84" s="1866"/>
      <c r="AH84" s="1866"/>
      <c r="AI84" s="1866"/>
      <c r="AJ84" s="1866"/>
      <c r="AK84" s="1866"/>
      <c r="AL84" s="1866"/>
      <c r="AM84" s="1866"/>
      <c r="AN84" s="1866"/>
      <c r="AO84" s="1866"/>
    </row>
    <row r="85" spans="1:41" ht="15" customHeight="1">
      <c r="A85" s="1866"/>
      <c r="B85" s="1866"/>
      <c r="C85" s="1866"/>
      <c r="D85" s="1866"/>
      <c r="E85" s="1866"/>
      <c r="F85" s="1866"/>
      <c r="G85" s="1866"/>
      <c r="H85" s="1866"/>
      <c r="I85" s="1866"/>
      <c r="J85" s="1866"/>
      <c r="K85" s="1866"/>
      <c r="L85" s="1866"/>
      <c r="M85" s="1866"/>
      <c r="N85" s="1866"/>
      <c r="O85" s="1866"/>
      <c r="P85" s="1866"/>
      <c r="Q85" s="1866"/>
      <c r="R85" s="1866"/>
      <c r="S85" s="1866"/>
      <c r="T85" s="1866"/>
      <c r="U85" s="1866"/>
      <c r="V85" s="1866"/>
      <c r="W85" s="1866"/>
      <c r="X85" s="1866"/>
      <c r="Y85" s="1866"/>
      <c r="Z85" s="1866"/>
      <c r="AA85" s="1866"/>
      <c r="AB85" s="1866"/>
      <c r="AC85" s="1866"/>
      <c r="AD85" s="1866"/>
      <c r="AE85" s="1866"/>
      <c r="AF85" s="1866"/>
      <c r="AG85" s="1866"/>
      <c r="AH85" s="1866"/>
      <c r="AI85" s="1866"/>
      <c r="AJ85" s="1866"/>
      <c r="AK85" s="1866"/>
      <c r="AL85" s="1866"/>
      <c r="AM85" s="1866"/>
      <c r="AN85" s="1866"/>
      <c r="AO85" s="1866"/>
    </row>
    <row r="86" spans="1:41" ht="15" customHeight="1">
      <c r="A86" s="1866"/>
      <c r="B86" s="1866"/>
      <c r="C86" s="1866"/>
      <c r="D86" s="1866"/>
      <c r="E86" s="1866"/>
      <c r="F86" s="1866"/>
      <c r="G86" s="1866"/>
      <c r="H86" s="1866"/>
      <c r="I86" s="1866"/>
      <c r="J86" s="1866"/>
      <c r="K86" s="1866"/>
      <c r="L86" s="1866"/>
      <c r="M86" s="1866"/>
      <c r="N86" s="1866"/>
      <c r="O86" s="1866"/>
      <c r="P86" s="1866"/>
      <c r="Q86" s="1866"/>
      <c r="R86" s="1866"/>
      <c r="S86" s="1866"/>
      <c r="T86" s="1866"/>
      <c r="U86" s="1866"/>
      <c r="V86" s="1866"/>
      <c r="W86" s="1866"/>
      <c r="X86" s="1866"/>
      <c r="Y86" s="1866"/>
      <c r="Z86" s="1866"/>
      <c r="AA86" s="1866"/>
      <c r="AB86" s="1866"/>
      <c r="AC86" s="1866"/>
      <c r="AD86" s="1866"/>
      <c r="AE86" s="1866"/>
      <c r="AF86" s="1866"/>
      <c r="AG86" s="1866"/>
      <c r="AH86" s="1866"/>
      <c r="AI86" s="1866"/>
      <c r="AJ86" s="1866"/>
      <c r="AK86" s="1866"/>
      <c r="AL86" s="1866"/>
      <c r="AM86" s="1866"/>
      <c r="AN86" s="1866"/>
      <c r="AO86" s="1866"/>
    </row>
    <row r="87" spans="1:41" ht="15" customHeight="1">
      <c r="A87" s="1866"/>
      <c r="B87" s="1866"/>
      <c r="C87" s="1866"/>
      <c r="D87" s="1866"/>
      <c r="E87" s="1866"/>
      <c r="F87" s="1866"/>
      <c r="G87" s="1866"/>
      <c r="H87" s="1866"/>
      <c r="I87" s="1866"/>
      <c r="J87" s="1866"/>
      <c r="K87" s="1866"/>
      <c r="L87" s="1866"/>
      <c r="M87" s="1866"/>
      <c r="N87" s="1866"/>
      <c r="O87" s="1866"/>
      <c r="P87" s="1866"/>
      <c r="Q87" s="1866"/>
      <c r="R87" s="1866"/>
      <c r="S87" s="1866"/>
      <c r="T87" s="1866"/>
      <c r="U87" s="1866"/>
      <c r="V87" s="1866"/>
      <c r="W87" s="1866"/>
      <c r="X87" s="1866"/>
      <c r="Y87" s="1866"/>
      <c r="Z87" s="1866"/>
      <c r="AA87" s="1866"/>
      <c r="AB87" s="1866"/>
      <c r="AC87" s="1866"/>
      <c r="AD87" s="1866"/>
      <c r="AE87" s="1866"/>
      <c r="AF87" s="1866"/>
      <c r="AG87" s="1866"/>
      <c r="AH87" s="1866"/>
      <c r="AI87" s="1866"/>
      <c r="AJ87" s="1866"/>
      <c r="AK87" s="1866"/>
      <c r="AL87" s="1866"/>
      <c r="AM87" s="1866"/>
      <c r="AN87" s="1866"/>
      <c r="AO87" s="1866"/>
    </row>
    <row r="88" spans="1:41" ht="15" customHeight="1">
      <c r="A88" s="1866"/>
      <c r="B88" s="1866"/>
      <c r="C88" s="1866"/>
      <c r="D88" s="1866"/>
      <c r="E88" s="1866"/>
      <c r="F88" s="1866"/>
      <c r="G88" s="1866"/>
      <c r="H88" s="1866"/>
      <c r="I88" s="1866"/>
      <c r="J88" s="1866"/>
      <c r="K88" s="1866"/>
      <c r="L88" s="1866"/>
      <c r="M88" s="1866"/>
      <c r="N88" s="1866"/>
      <c r="O88" s="1866"/>
      <c r="P88" s="1866"/>
      <c r="Q88" s="1866"/>
      <c r="R88" s="1866"/>
      <c r="S88" s="1866"/>
      <c r="T88" s="1866"/>
      <c r="U88" s="1866"/>
      <c r="V88" s="1866"/>
      <c r="W88" s="1866"/>
      <c r="X88" s="1866"/>
      <c r="Y88" s="1866"/>
      <c r="Z88" s="1866"/>
      <c r="AA88" s="1866"/>
      <c r="AB88" s="1866"/>
      <c r="AC88" s="1866"/>
      <c r="AD88" s="1866"/>
      <c r="AE88" s="1866"/>
      <c r="AF88" s="1866"/>
      <c r="AG88" s="1866"/>
      <c r="AH88" s="1866"/>
      <c r="AI88" s="1866"/>
      <c r="AJ88" s="1866"/>
      <c r="AK88" s="1866"/>
      <c r="AL88" s="1866"/>
      <c r="AM88" s="1866"/>
      <c r="AN88" s="1866"/>
      <c r="AO88" s="1866"/>
    </row>
    <row r="89" spans="1:41" ht="15" customHeight="1">
      <c r="A89" s="1866"/>
      <c r="B89" s="1866"/>
      <c r="C89" s="1866"/>
      <c r="D89" s="1866"/>
      <c r="E89" s="1866"/>
      <c r="F89" s="1866"/>
      <c r="G89" s="1866"/>
      <c r="H89" s="1866"/>
      <c r="I89" s="1866"/>
      <c r="J89" s="1866"/>
      <c r="K89" s="1866"/>
      <c r="L89" s="1866"/>
      <c r="M89" s="1866"/>
      <c r="N89" s="1866"/>
      <c r="O89" s="1866"/>
      <c r="P89" s="1866"/>
      <c r="Q89" s="1866"/>
      <c r="R89" s="1866"/>
      <c r="S89" s="1866"/>
      <c r="T89" s="1866"/>
      <c r="U89" s="1866"/>
      <c r="V89" s="1866"/>
      <c r="W89" s="1866"/>
      <c r="X89" s="1866"/>
      <c r="Y89" s="1866"/>
      <c r="Z89" s="1866"/>
      <c r="AA89" s="1866"/>
      <c r="AB89" s="1866"/>
      <c r="AC89" s="1866"/>
      <c r="AD89" s="1866"/>
      <c r="AE89" s="1866"/>
      <c r="AF89" s="1866"/>
      <c r="AG89" s="1866"/>
      <c r="AH89" s="1866"/>
      <c r="AI89" s="1866"/>
      <c r="AJ89" s="1866"/>
      <c r="AK89" s="1866"/>
      <c r="AL89" s="1866"/>
      <c r="AM89" s="1866"/>
      <c r="AN89" s="1866"/>
      <c r="AO89" s="1866"/>
    </row>
    <row r="90" spans="1:41" ht="15" customHeight="1">
      <c r="A90" s="1866"/>
      <c r="B90" s="1866"/>
      <c r="C90" s="1866"/>
      <c r="D90" s="1866"/>
      <c r="E90" s="1866"/>
      <c r="F90" s="1866"/>
      <c r="G90" s="1866"/>
      <c r="H90" s="1866"/>
      <c r="I90" s="1866"/>
      <c r="J90" s="1866"/>
      <c r="K90" s="1866"/>
      <c r="L90" s="1866"/>
      <c r="M90" s="1866"/>
      <c r="N90" s="1866"/>
      <c r="O90" s="1866"/>
      <c r="P90" s="1866"/>
      <c r="Q90" s="1866"/>
      <c r="R90" s="1866"/>
      <c r="S90" s="1866"/>
      <c r="T90" s="1866"/>
      <c r="U90" s="1866"/>
      <c r="V90" s="1866"/>
      <c r="W90" s="1866"/>
      <c r="X90" s="1866"/>
      <c r="Y90" s="1866"/>
      <c r="Z90" s="1866"/>
      <c r="AA90" s="1866"/>
      <c r="AB90" s="1866"/>
      <c r="AC90" s="1866"/>
      <c r="AD90" s="1866"/>
      <c r="AE90" s="1866"/>
      <c r="AF90" s="1866"/>
      <c r="AG90" s="1866"/>
      <c r="AH90" s="1866"/>
      <c r="AI90" s="1866"/>
      <c r="AJ90" s="1866"/>
      <c r="AK90" s="1866"/>
      <c r="AL90" s="1866"/>
      <c r="AM90" s="1866"/>
      <c r="AN90" s="1866"/>
      <c r="AO90" s="1866"/>
    </row>
    <row r="91" spans="1:41" ht="15" customHeight="1">
      <c r="A91" s="1866"/>
      <c r="B91" s="1866"/>
      <c r="C91" s="1866"/>
      <c r="D91" s="1866"/>
      <c r="E91" s="1866"/>
      <c r="F91" s="1866"/>
      <c r="G91" s="1866"/>
      <c r="H91" s="1866"/>
      <c r="I91" s="1866"/>
      <c r="J91" s="1866"/>
      <c r="K91" s="1866"/>
      <c r="L91" s="1866"/>
      <c r="M91" s="1866"/>
      <c r="N91" s="1866"/>
      <c r="O91" s="1866"/>
      <c r="P91" s="1866"/>
      <c r="Q91" s="1866"/>
      <c r="R91" s="1866"/>
      <c r="S91" s="1866"/>
      <c r="T91" s="1866"/>
      <c r="U91" s="1866"/>
      <c r="V91" s="1866"/>
      <c r="W91" s="1866"/>
      <c r="X91" s="1866"/>
      <c r="Y91" s="1866"/>
      <c r="Z91" s="1866"/>
      <c r="AA91" s="1866"/>
      <c r="AB91" s="1866"/>
      <c r="AC91" s="1866"/>
      <c r="AD91" s="1866"/>
      <c r="AE91" s="1866"/>
      <c r="AF91" s="1866"/>
      <c r="AG91" s="1866"/>
      <c r="AH91" s="1866"/>
      <c r="AI91" s="1866"/>
      <c r="AJ91" s="1866"/>
      <c r="AK91" s="1866"/>
      <c r="AL91" s="1866"/>
      <c r="AM91" s="1866"/>
      <c r="AN91" s="1866"/>
      <c r="AO91" s="1866"/>
    </row>
    <row r="92" spans="1:41" ht="15" customHeight="1">
      <c r="A92" s="1866"/>
      <c r="B92" s="1866"/>
      <c r="C92" s="1866"/>
      <c r="D92" s="1866"/>
      <c r="E92" s="1866"/>
      <c r="F92" s="1866"/>
      <c r="G92" s="1866"/>
      <c r="H92" s="1866"/>
      <c r="I92" s="1866"/>
      <c r="J92" s="1866"/>
      <c r="K92" s="1866"/>
      <c r="L92" s="1866"/>
      <c r="M92" s="1866"/>
      <c r="N92" s="1866"/>
      <c r="O92" s="1866"/>
      <c r="P92" s="1866"/>
      <c r="Q92" s="1866"/>
      <c r="R92" s="1866"/>
      <c r="S92" s="1866"/>
      <c r="T92" s="1866"/>
      <c r="U92" s="1866"/>
      <c r="V92" s="1866"/>
      <c r="W92" s="1866"/>
      <c r="X92" s="1866"/>
      <c r="Y92" s="1866"/>
      <c r="Z92" s="1866"/>
      <c r="AA92" s="1866"/>
      <c r="AB92" s="1866"/>
      <c r="AC92" s="1866"/>
      <c r="AD92" s="1866"/>
      <c r="AE92" s="1866"/>
      <c r="AF92" s="1866"/>
      <c r="AG92" s="1866"/>
      <c r="AH92" s="1866"/>
      <c r="AI92" s="1866"/>
      <c r="AJ92" s="1866"/>
      <c r="AK92" s="1866"/>
      <c r="AL92" s="1866"/>
      <c r="AM92" s="1866"/>
      <c r="AN92" s="1866"/>
      <c r="AO92" s="1866"/>
    </row>
    <row r="93" spans="1:41" ht="15" customHeight="1">
      <c r="A93" s="1866"/>
      <c r="B93" s="1866"/>
      <c r="C93" s="1866"/>
      <c r="D93" s="1866"/>
      <c r="E93" s="1866"/>
      <c r="F93" s="1866"/>
      <c r="G93" s="1866"/>
      <c r="H93" s="1866"/>
      <c r="I93" s="1866"/>
      <c r="J93" s="1866"/>
      <c r="K93" s="1866"/>
      <c r="L93" s="1866"/>
      <c r="M93" s="1866"/>
      <c r="N93" s="1866"/>
      <c r="O93" s="1866"/>
      <c r="P93" s="1866"/>
      <c r="Q93" s="1866"/>
      <c r="R93" s="1866"/>
      <c r="S93" s="1866"/>
      <c r="T93" s="1866"/>
      <c r="U93" s="1866"/>
      <c r="V93" s="1866"/>
      <c r="W93" s="1866"/>
      <c r="X93" s="1866"/>
      <c r="Y93" s="1866"/>
      <c r="Z93" s="1866"/>
      <c r="AA93" s="1866"/>
      <c r="AB93" s="1866"/>
      <c r="AC93" s="1866"/>
      <c r="AD93" s="1866"/>
      <c r="AE93" s="1866"/>
      <c r="AF93" s="1866"/>
      <c r="AG93" s="1866"/>
      <c r="AH93" s="1866"/>
      <c r="AI93" s="1866"/>
      <c r="AJ93" s="1866"/>
      <c r="AK93" s="1866"/>
      <c r="AL93" s="1866"/>
      <c r="AM93" s="1866"/>
      <c r="AN93" s="1866"/>
      <c r="AO93" s="1866"/>
    </row>
    <row r="94" spans="1:41" ht="15" customHeight="1">
      <c r="A94" s="1866"/>
      <c r="B94" s="1866"/>
      <c r="C94" s="1866"/>
      <c r="D94" s="1866"/>
      <c r="E94" s="1866"/>
      <c r="F94" s="1866"/>
      <c r="G94" s="1866"/>
      <c r="H94" s="1866"/>
      <c r="I94" s="1866"/>
      <c r="J94" s="1866"/>
      <c r="K94" s="1866"/>
      <c r="L94" s="1866"/>
      <c r="M94" s="1866"/>
      <c r="N94" s="1866"/>
      <c r="O94" s="1866"/>
      <c r="P94" s="1866"/>
      <c r="Q94" s="1866"/>
      <c r="R94" s="1866"/>
      <c r="S94" s="1866"/>
      <c r="T94" s="1866"/>
      <c r="U94" s="1866"/>
      <c r="V94" s="1866"/>
      <c r="W94" s="1866"/>
      <c r="X94" s="1866"/>
      <c r="Y94" s="1866"/>
      <c r="Z94" s="1866"/>
      <c r="AA94" s="1866"/>
      <c r="AB94" s="1866"/>
      <c r="AC94" s="1866"/>
      <c r="AD94" s="1866"/>
      <c r="AE94" s="1866"/>
      <c r="AF94" s="1866"/>
      <c r="AG94" s="1866"/>
      <c r="AH94" s="1866"/>
      <c r="AI94" s="1866"/>
      <c r="AJ94" s="1866"/>
      <c r="AK94" s="1866"/>
      <c r="AL94" s="1866"/>
      <c r="AM94" s="1866"/>
      <c r="AN94" s="1866"/>
      <c r="AO94" s="1866"/>
    </row>
    <row r="95" spans="1:41" ht="15" customHeight="1">
      <c r="A95" s="1866"/>
      <c r="B95" s="1866"/>
      <c r="C95" s="1866"/>
      <c r="D95" s="1866"/>
      <c r="E95" s="1866"/>
      <c r="F95" s="1866"/>
      <c r="G95" s="1866"/>
      <c r="H95" s="1866"/>
      <c r="I95" s="1866"/>
      <c r="J95" s="1866"/>
      <c r="K95" s="1866"/>
      <c r="L95" s="1866"/>
      <c r="M95" s="1866"/>
      <c r="N95" s="1866"/>
      <c r="O95" s="1866"/>
      <c r="P95" s="1866"/>
      <c r="Q95" s="1866"/>
      <c r="R95" s="1866"/>
      <c r="S95" s="1866"/>
      <c r="T95" s="1866"/>
      <c r="U95" s="1866"/>
      <c r="V95" s="1866"/>
      <c r="W95" s="1866"/>
      <c r="X95" s="1866"/>
      <c r="Y95" s="1866"/>
      <c r="Z95" s="1866"/>
      <c r="AA95" s="1866"/>
      <c r="AB95" s="1866"/>
      <c r="AC95" s="1866"/>
      <c r="AD95" s="1866"/>
      <c r="AE95" s="1866"/>
      <c r="AF95" s="1866"/>
      <c r="AG95" s="1866"/>
      <c r="AH95" s="1866"/>
      <c r="AI95" s="1866"/>
      <c r="AJ95" s="1866"/>
      <c r="AK95" s="1866"/>
      <c r="AL95" s="1866"/>
      <c r="AM95" s="1866"/>
      <c r="AN95" s="1866"/>
      <c r="AO95" s="1866"/>
    </row>
    <row r="96" spans="1:41" ht="15" customHeight="1">
      <c r="A96" s="1866"/>
      <c r="B96" s="1866"/>
      <c r="C96" s="1866"/>
      <c r="D96" s="1866"/>
      <c r="E96" s="1866"/>
      <c r="F96" s="1866"/>
      <c r="G96" s="1866"/>
      <c r="H96" s="1866"/>
      <c r="I96" s="1866"/>
      <c r="J96" s="1866"/>
      <c r="K96" s="1866"/>
      <c r="L96" s="1866"/>
      <c r="M96" s="1866"/>
      <c r="N96" s="1866"/>
      <c r="O96" s="1866"/>
      <c r="P96" s="1866"/>
      <c r="Q96" s="1866"/>
      <c r="R96" s="1866"/>
      <c r="S96" s="1866"/>
      <c r="T96" s="1866"/>
      <c r="U96" s="1866"/>
      <c r="V96" s="1866"/>
      <c r="W96" s="1866"/>
      <c r="X96" s="1866"/>
      <c r="Y96" s="1866"/>
      <c r="Z96" s="1866"/>
      <c r="AA96" s="1866"/>
      <c r="AB96" s="1866"/>
      <c r="AC96" s="1866"/>
      <c r="AD96" s="1866"/>
      <c r="AE96" s="1866"/>
      <c r="AF96" s="1866"/>
      <c r="AG96" s="1866"/>
      <c r="AH96" s="1866"/>
      <c r="AI96" s="1866"/>
      <c r="AJ96" s="1866"/>
      <c r="AK96" s="1866"/>
      <c r="AL96" s="1866"/>
      <c r="AM96" s="1866"/>
      <c r="AN96" s="1866"/>
      <c r="AO96" s="1866"/>
    </row>
    <row r="97" spans="1:41" ht="15" customHeight="1">
      <c r="A97" s="1866"/>
      <c r="B97" s="1866"/>
      <c r="C97" s="1866"/>
      <c r="D97" s="1866"/>
      <c r="E97" s="1866"/>
      <c r="F97" s="1866"/>
      <c r="G97" s="1866"/>
      <c r="H97" s="1866"/>
      <c r="I97" s="1866"/>
      <c r="J97" s="1866"/>
      <c r="K97" s="1866"/>
      <c r="L97" s="1866"/>
      <c r="M97" s="1866"/>
      <c r="N97" s="1866"/>
      <c r="O97" s="1866"/>
      <c r="P97" s="1866"/>
      <c r="Q97" s="1866"/>
      <c r="R97" s="1866"/>
      <c r="S97" s="1866"/>
      <c r="T97" s="1866"/>
      <c r="U97" s="1866"/>
      <c r="V97" s="1866"/>
      <c r="W97" s="1866"/>
      <c r="X97" s="1866"/>
      <c r="Y97" s="1866"/>
      <c r="Z97" s="1866"/>
      <c r="AA97" s="1866"/>
      <c r="AB97" s="1866"/>
      <c r="AC97" s="1866"/>
      <c r="AD97" s="1866"/>
      <c r="AE97" s="1866"/>
      <c r="AF97" s="1866"/>
      <c r="AG97" s="1866"/>
      <c r="AH97" s="1866"/>
      <c r="AI97" s="1866"/>
      <c r="AJ97" s="1866"/>
      <c r="AK97" s="1866"/>
      <c r="AL97" s="1866"/>
      <c r="AM97" s="1866"/>
      <c r="AN97" s="1866"/>
      <c r="AO97" s="1866"/>
    </row>
    <row r="98" spans="1:41" ht="15" customHeight="1">
      <c r="A98" s="1866"/>
      <c r="B98" s="1866"/>
      <c r="C98" s="1866"/>
      <c r="D98" s="1866"/>
      <c r="E98" s="1866"/>
      <c r="F98" s="1866"/>
      <c r="G98" s="1866"/>
      <c r="H98" s="1866"/>
      <c r="I98" s="1866"/>
      <c r="J98" s="1866"/>
      <c r="K98" s="1866"/>
      <c r="L98" s="1866"/>
      <c r="M98" s="1866"/>
      <c r="N98" s="1866"/>
      <c r="O98" s="1866"/>
      <c r="P98" s="1866"/>
      <c r="Q98" s="1866"/>
      <c r="R98" s="1866"/>
      <c r="S98" s="1866"/>
      <c r="T98" s="1866"/>
      <c r="U98" s="1866"/>
      <c r="V98" s="1866"/>
      <c r="W98" s="1866"/>
      <c r="X98" s="1866"/>
      <c r="Y98" s="1866"/>
      <c r="Z98" s="1866"/>
      <c r="AA98" s="1866"/>
      <c r="AB98" s="1866"/>
      <c r="AC98" s="1866"/>
      <c r="AD98" s="1866"/>
      <c r="AE98" s="1866"/>
      <c r="AF98" s="1866"/>
      <c r="AG98" s="1866"/>
      <c r="AH98" s="1866"/>
      <c r="AI98" s="1866"/>
      <c r="AJ98" s="1866"/>
      <c r="AK98" s="1866"/>
      <c r="AL98" s="1866"/>
      <c r="AM98" s="1866"/>
      <c r="AN98" s="1866"/>
      <c r="AO98" s="1866"/>
    </row>
    <row r="99" spans="1:41" ht="15" customHeight="1">
      <c r="A99" s="1866"/>
      <c r="B99" s="1866"/>
      <c r="C99" s="1866"/>
      <c r="D99" s="1866"/>
      <c r="E99" s="1866"/>
      <c r="F99" s="1866"/>
      <c r="G99" s="1866"/>
      <c r="H99" s="1866"/>
      <c r="I99" s="1866"/>
      <c r="J99" s="1866"/>
      <c r="K99" s="1866"/>
      <c r="L99" s="1866"/>
      <c r="M99" s="1866"/>
      <c r="N99" s="1866"/>
      <c r="O99" s="1866"/>
      <c r="P99" s="1866"/>
      <c r="Q99" s="1866"/>
      <c r="R99" s="1866"/>
      <c r="S99" s="1866"/>
      <c r="T99" s="1866"/>
      <c r="U99" s="1866"/>
      <c r="V99" s="1866"/>
      <c r="W99" s="1866"/>
      <c r="X99" s="1866"/>
      <c r="Y99" s="1866"/>
      <c r="Z99" s="1866"/>
      <c r="AA99" s="1866"/>
      <c r="AB99" s="1866"/>
      <c r="AC99" s="1866"/>
      <c r="AD99" s="1866"/>
      <c r="AE99" s="1866"/>
      <c r="AF99" s="1866"/>
      <c r="AG99" s="1866"/>
      <c r="AH99" s="1866"/>
      <c r="AI99" s="1866"/>
      <c r="AJ99" s="1866"/>
      <c r="AK99" s="1866"/>
      <c r="AL99" s="1866"/>
      <c r="AM99" s="1866"/>
      <c r="AN99" s="1866"/>
      <c r="AO99" s="1866"/>
    </row>
    <row r="100" spans="1:41" ht="15" customHeight="1">
      <c r="A100" s="1866"/>
      <c r="B100" s="1866"/>
      <c r="C100" s="1866"/>
      <c r="D100" s="1866"/>
      <c r="E100" s="1866"/>
      <c r="F100" s="1866"/>
      <c r="G100" s="1866"/>
      <c r="H100" s="1866"/>
      <c r="I100" s="1866"/>
      <c r="J100" s="1866"/>
      <c r="K100" s="1866"/>
      <c r="L100" s="1866"/>
      <c r="M100" s="1866"/>
      <c r="N100" s="1866"/>
      <c r="O100" s="1866"/>
      <c r="P100" s="1866"/>
      <c r="Q100" s="1866"/>
      <c r="R100" s="1866"/>
      <c r="S100" s="1866"/>
      <c r="T100" s="1866"/>
      <c r="U100" s="1866"/>
      <c r="V100" s="1866"/>
      <c r="W100" s="1866"/>
      <c r="X100" s="1866"/>
      <c r="Y100" s="1866"/>
      <c r="Z100" s="1866"/>
      <c r="AA100" s="1866"/>
      <c r="AB100" s="1866"/>
      <c r="AC100" s="1866"/>
      <c r="AD100" s="1866"/>
      <c r="AE100" s="1866"/>
      <c r="AF100" s="1866"/>
      <c r="AG100" s="1866"/>
      <c r="AH100" s="1866"/>
      <c r="AI100" s="1866"/>
      <c r="AJ100" s="1866"/>
      <c r="AK100" s="1866"/>
      <c r="AL100" s="1866"/>
      <c r="AM100" s="1866"/>
      <c r="AN100" s="1866"/>
      <c r="AO100" s="1866"/>
    </row>
    <row r="101" spans="1:41" ht="15" customHeight="1">
      <c r="A101" s="1866"/>
      <c r="B101" s="1866"/>
      <c r="C101" s="1866"/>
      <c r="D101" s="1866"/>
      <c r="E101" s="1866"/>
      <c r="F101" s="1866"/>
      <c r="G101" s="1866"/>
      <c r="H101" s="1866"/>
      <c r="I101" s="1866"/>
      <c r="J101" s="1866"/>
      <c r="K101" s="1866"/>
      <c r="L101" s="1866"/>
      <c r="M101" s="1866"/>
      <c r="N101" s="1866"/>
      <c r="O101" s="1866"/>
      <c r="P101" s="1866"/>
      <c r="Q101" s="1866"/>
      <c r="R101" s="1866"/>
      <c r="S101" s="1866"/>
      <c r="T101" s="1866"/>
      <c r="U101" s="1866"/>
      <c r="V101" s="1866"/>
      <c r="W101" s="1866"/>
      <c r="X101" s="1866"/>
      <c r="Y101" s="1866"/>
      <c r="Z101" s="1866"/>
      <c r="AA101" s="1866"/>
      <c r="AB101" s="1866"/>
      <c r="AC101" s="1866"/>
      <c r="AD101" s="1866"/>
      <c r="AE101" s="1866"/>
      <c r="AF101" s="1866"/>
      <c r="AG101" s="1866"/>
      <c r="AH101" s="1866"/>
      <c r="AI101" s="1866"/>
      <c r="AJ101" s="1866"/>
      <c r="AK101" s="1866"/>
      <c r="AL101" s="1866"/>
      <c r="AM101" s="1866"/>
      <c r="AN101" s="1866"/>
      <c r="AO101" s="1866"/>
    </row>
    <row r="102" spans="1:41" ht="15" customHeight="1">
      <c r="A102" s="1866"/>
      <c r="B102" s="1866"/>
      <c r="C102" s="1866"/>
      <c r="D102" s="1866"/>
      <c r="E102" s="1866"/>
      <c r="F102" s="1866"/>
      <c r="G102" s="1866"/>
      <c r="H102" s="1866"/>
      <c r="I102" s="1866"/>
      <c r="J102" s="1866"/>
      <c r="K102" s="1866"/>
      <c r="L102" s="1866"/>
      <c r="M102" s="1866"/>
      <c r="N102" s="1866"/>
      <c r="O102" s="1866"/>
      <c r="P102" s="1866"/>
      <c r="Q102" s="1866"/>
      <c r="R102" s="1866"/>
      <c r="S102" s="1866"/>
      <c r="T102" s="1866"/>
      <c r="U102" s="1866"/>
      <c r="V102" s="1866"/>
      <c r="W102" s="1866"/>
      <c r="X102" s="1866"/>
      <c r="Y102" s="1866"/>
      <c r="Z102" s="1866"/>
      <c r="AA102" s="1866"/>
      <c r="AB102" s="1866"/>
      <c r="AC102" s="1866"/>
      <c r="AD102" s="1866"/>
      <c r="AE102" s="1866"/>
      <c r="AF102" s="1866"/>
      <c r="AG102" s="1866"/>
      <c r="AH102" s="1866"/>
      <c r="AI102" s="1866"/>
      <c r="AJ102" s="1866"/>
      <c r="AK102" s="1866"/>
      <c r="AL102" s="1866"/>
      <c r="AM102" s="1866"/>
      <c r="AN102" s="1866"/>
      <c r="AO102" s="1866"/>
    </row>
    <row r="103" spans="1:41" ht="15" customHeight="1">
      <c r="A103" s="1866"/>
      <c r="B103" s="1866"/>
      <c r="C103" s="1866"/>
      <c r="D103" s="1866"/>
      <c r="E103" s="1866"/>
      <c r="F103" s="1866"/>
      <c r="G103" s="1866"/>
      <c r="H103" s="1866"/>
      <c r="I103" s="1866"/>
      <c r="J103" s="1866"/>
      <c r="K103" s="1866"/>
      <c r="L103" s="1866"/>
      <c r="M103" s="1866"/>
      <c r="N103" s="1866"/>
      <c r="O103" s="1866"/>
      <c r="P103" s="1866"/>
      <c r="Q103" s="1866"/>
      <c r="R103" s="1866"/>
      <c r="S103" s="1866"/>
      <c r="T103" s="1866"/>
      <c r="U103" s="1866"/>
      <c r="V103" s="1866"/>
      <c r="W103" s="1866"/>
      <c r="X103" s="1866"/>
      <c r="Y103" s="1866"/>
      <c r="Z103" s="1866"/>
      <c r="AA103" s="1866"/>
      <c r="AB103" s="1866"/>
      <c r="AC103" s="1866"/>
      <c r="AD103" s="1866"/>
      <c r="AE103" s="1866"/>
      <c r="AF103" s="1866"/>
      <c r="AG103" s="1866"/>
      <c r="AH103" s="1866"/>
      <c r="AI103" s="1866"/>
      <c r="AJ103" s="1866"/>
      <c r="AK103" s="1866"/>
      <c r="AL103" s="1866"/>
      <c r="AM103" s="1866"/>
      <c r="AN103" s="1866"/>
      <c r="AO103" s="1866"/>
    </row>
    <row r="104" spans="1:41" ht="15" customHeight="1">
      <c r="A104" s="1866"/>
      <c r="B104" s="1866"/>
      <c r="C104" s="1866"/>
      <c r="D104" s="1866"/>
      <c r="E104" s="1866"/>
      <c r="F104" s="1866"/>
      <c r="G104" s="1866"/>
      <c r="H104" s="1866"/>
      <c r="I104" s="1866"/>
      <c r="J104" s="1866"/>
      <c r="K104" s="1866"/>
      <c r="L104" s="1866"/>
      <c r="M104" s="1866"/>
      <c r="N104" s="1866"/>
      <c r="O104" s="1866"/>
      <c r="P104" s="1866"/>
      <c r="Q104" s="1866"/>
      <c r="R104" s="1866"/>
      <c r="S104" s="1866"/>
      <c r="T104" s="1866"/>
      <c r="U104" s="1866"/>
      <c r="V104" s="1866"/>
      <c r="W104" s="1866"/>
      <c r="X104" s="1866"/>
      <c r="Y104" s="1866"/>
      <c r="Z104" s="1866"/>
      <c r="AA104" s="1866"/>
      <c r="AB104" s="1866"/>
      <c r="AC104" s="1866"/>
      <c r="AD104" s="1866"/>
      <c r="AE104" s="1866"/>
      <c r="AF104" s="1866"/>
      <c r="AG104" s="1866"/>
      <c r="AH104" s="1866"/>
      <c r="AI104" s="1866"/>
      <c r="AJ104" s="1866"/>
      <c r="AK104" s="1866"/>
      <c r="AL104" s="1866"/>
      <c r="AM104" s="1866"/>
      <c r="AN104" s="1866"/>
      <c r="AO104" s="1866"/>
    </row>
    <row r="105" spans="1:41" ht="15" customHeight="1">
      <c r="A105" s="1866"/>
      <c r="B105" s="1866"/>
      <c r="C105" s="1866"/>
      <c r="D105" s="1866"/>
      <c r="E105" s="1866"/>
      <c r="F105" s="1866"/>
      <c r="G105" s="1866"/>
      <c r="H105" s="1866"/>
      <c r="I105" s="1866"/>
      <c r="J105" s="1866"/>
      <c r="K105" s="1866"/>
      <c r="L105" s="1866"/>
      <c r="M105" s="1866"/>
      <c r="N105" s="1866"/>
      <c r="O105" s="1866"/>
      <c r="P105" s="1866"/>
      <c r="Q105" s="1866"/>
      <c r="R105" s="1866"/>
      <c r="S105" s="1866"/>
      <c r="T105" s="1866"/>
      <c r="U105" s="1866"/>
      <c r="V105" s="1866"/>
      <c r="W105" s="1866"/>
      <c r="X105" s="1866"/>
      <c r="Y105" s="1866"/>
      <c r="Z105" s="1866"/>
      <c r="AA105" s="1866"/>
      <c r="AB105" s="1866"/>
      <c r="AC105" s="1866"/>
      <c r="AD105" s="1866"/>
      <c r="AE105" s="1866"/>
      <c r="AF105" s="1866"/>
      <c r="AG105" s="1866"/>
      <c r="AH105" s="1866"/>
      <c r="AI105" s="1866"/>
      <c r="AJ105" s="1866"/>
      <c r="AK105" s="1866"/>
      <c r="AL105" s="1866"/>
      <c r="AM105" s="1866"/>
      <c r="AN105" s="1866"/>
      <c r="AO105" s="1866"/>
    </row>
    <row r="106" spans="1:41" ht="15" customHeight="1">
      <c r="A106" s="1866"/>
      <c r="B106" s="1866"/>
      <c r="C106" s="1866"/>
      <c r="D106" s="1866"/>
      <c r="E106" s="1866"/>
      <c r="F106" s="1866"/>
      <c r="G106" s="1866"/>
      <c r="H106" s="1866"/>
      <c r="I106" s="1866"/>
      <c r="J106" s="1866"/>
      <c r="K106" s="1866"/>
      <c r="L106" s="1866"/>
      <c r="M106" s="1866"/>
      <c r="N106" s="1866"/>
      <c r="O106" s="1866"/>
      <c r="P106" s="1866"/>
      <c r="Q106" s="1866"/>
      <c r="R106" s="1866"/>
      <c r="S106" s="1866"/>
      <c r="T106" s="1866"/>
      <c r="U106" s="1866"/>
      <c r="V106" s="1866"/>
      <c r="W106" s="1866"/>
      <c r="X106" s="1866"/>
      <c r="Y106" s="1866"/>
      <c r="Z106" s="1866"/>
      <c r="AA106" s="1866"/>
      <c r="AB106" s="1866"/>
      <c r="AC106" s="1866"/>
      <c r="AD106" s="1866"/>
      <c r="AE106" s="1866"/>
      <c r="AF106" s="1866"/>
      <c r="AG106" s="1866"/>
      <c r="AH106" s="1866"/>
      <c r="AI106" s="1866"/>
      <c r="AJ106" s="1866"/>
      <c r="AK106" s="1866"/>
      <c r="AL106" s="1866"/>
      <c r="AM106" s="1866"/>
      <c r="AN106" s="1866"/>
      <c r="AO106" s="1866"/>
    </row>
    <row r="107" spans="1:41" ht="15" customHeight="1">
      <c r="A107" s="1866"/>
      <c r="B107" s="1866"/>
      <c r="C107" s="1866"/>
      <c r="D107" s="1866"/>
      <c r="E107" s="1866"/>
      <c r="F107" s="1866"/>
      <c r="G107" s="1866"/>
      <c r="H107" s="1866"/>
      <c r="I107" s="1866"/>
      <c r="J107" s="1866"/>
      <c r="K107" s="1866"/>
      <c r="L107" s="1866"/>
      <c r="M107" s="1866"/>
      <c r="N107" s="1866"/>
      <c r="O107" s="1866"/>
      <c r="P107" s="1866"/>
      <c r="Q107" s="1866"/>
      <c r="R107" s="1866"/>
      <c r="S107" s="1866"/>
      <c r="T107" s="1866"/>
      <c r="U107" s="1866"/>
      <c r="V107" s="1866"/>
      <c r="W107" s="1866"/>
      <c r="X107" s="1866"/>
      <c r="Y107" s="1866"/>
      <c r="Z107" s="1866"/>
      <c r="AA107" s="1866"/>
      <c r="AB107" s="1866"/>
      <c r="AC107" s="1866"/>
      <c r="AD107" s="1866"/>
      <c r="AE107" s="1866"/>
      <c r="AF107" s="1866"/>
      <c r="AG107" s="1866"/>
      <c r="AH107" s="1866"/>
      <c r="AI107" s="1866"/>
      <c r="AJ107" s="1866"/>
      <c r="AK107" s="1866"/>
      <c r="AL107" s="1866"/>
      <c r="AM107" s="1866"/>
      <c r="AN107" s="1866"/>
      <c r="AO107" s="1866"/>
    </row>
    <row r="108" spans="1:41" ht="15" customHeight="1">
      <c r="A108" s="1866"/>
      <c r="B108" s="1866"/>
      <c r="C108" s="1866"/>
      <c r="D108" s="1866"/>
      <c r="E108" s="1866"/>
      <c r="F108" s="1866"/>
      <c r="G108" s="1866"/>
      <c r="H108" s="1866"/>
      <c r="I108" s="1866"/>
      <c r="J108" s="1866"/>
      <c r="K108" s="1866"/>
      <c r="L108" s="1866"/>
      <c r="M108" s="1866"/>
      <c r="N108" s="1866"/>
      <c r="O108" s="1866"/>
      <c r="P108" s="1866"/>
      <c r="Q108" s="1866"/>
      <c r="R108" s="1866"/>
      <c r="S108" s="1866"/>
      <c r="T108" s="1866"/>
      <c r="U108" s="1866"/>
      <c r="V108" s="1866"/>
      <c r="W108" s="1866"/>
      <c r="X108" s="1866"/>
      <c r="Y108" s="1866"/>
      <c r="Z108" s="1866"/>
      <c r="AA108" s="1866"/>
      <c r="AB108" s="1866"/>
      <c r="AC108" s="1866"/>
      <c r="AD108" s="1866"/>
      <c r="AE108" s="1866"/>
      <c r="AF108" s="1866"/>
      <c r="AG108" s="1866"/>
      <c r="AH108" s="1866"/>
      <c r="AI108" s="1866"/>
      <c r="AJ108" s="1866"/>
      <c r="AK108" s="1866"/>
      <c r="AL108" s="1866"/>
      <c r="AM108" s="1866"/>
      <c r="AN108" s="1866"/>
      <c r="AO108" s="1866"/>
    </row>
    <row r="109" spans="1:41" ht="15" customHeight="1">
      <c r="A109" s="1866"/>
      <c r="B109" s="1866"/>
      <c r="C109" s="1866"/>
      <c r="D109" s="1866"/>
      <c r="E109" s="1866"/>
      <c r="F109" s="1866"/>
      <c r="G109" s="1866"/>
      <c r="H109" s="1866"/>
      <c r="I109" s="1866"/>
      <c r="J109" s="1866"/>
      <c r="K109" s="1866"/>
      <c r="L109" s="1866"/>
      <c r="M109" s="1866"/>
      <c r="N109" s="1866"/>
      <c r="O109" s="1866"/>
      <c r="P109" s="1866"/>
      <c r="Q109" s="1866"/>
      <c r="R109" s="1866"/>
      <c r="S109" s="1866"/>
      <c r="T109" s="1866"/>
      <c r="U109" s="1866"/>
      <c r="V109" s="1866"/>
      <c r="W109" s="1866"/>
      <c r="X109" s="1866"/>
      <c r="Y109" s="1866"/>
      <c r="Z109" s="1866"/>
      <c r="AA109" s="1866"/>
      <c r="AB109" s="1866"/>
      <c r="AC109" s="1866"/>
      <c r="AD109" s="1866"/>
      <c r="AE109" s="1866"/>
      <c r="AF109" s="1866"/>
      <c r="AG109" s="1866"/>
      <c r="AH109" s="1866"/>
      <c r="AI109" s="1866"/>
      <c r="AJ109" s="1866"/>
      <c r="AK109" s="1866"/>
      <c r="AL109" s="1866"/>
      <c r="AM109" s="1866"/>
      <c r="AN109" s="1866"/>
      <c r="AO109" s="1866"/>
    </row>
    <row r="110" spans="1:41" ht="15" customHeight="1">
      <c r="A110" s="1866"/>
      <c r="B110" s="1866"/>
      <c r="C110" s="1866"/>
      <c r="D110" s="1866"/>
      <c r="E110" s="1866"/>
      <c r="F110" s="1866"/>
      <c r="G110" s="1866"/>
      <c r="H110" s="1866"/>
      <c r="I110" s="1866"/>
      <c r="J110" s="1866"/>
      <c r="K110" s="1866"/>
      <c r="L110" s="1866"/>
      <c r="M110" s="1866"/>
      <c r="N110" s="1866"/>
      <c r="O110" s="1866"/>
      <c r="P110" s="1866"/>
      <c r="Q110" s="1866"/>
      <c r="R110" s="1866"/>
      <c r="S110" s="1866"/>
      <c r="T110" s="1866"/>
      <c r="U110" s="1866"/>
      <c r="V110" s="1866"/>
      <c r="W110" s="1866"/>
      <c r="X110" s="1866"/>
      <c r="Y110" s="1866"/>
      <c r="Z110" s="1866"/>
      <c r="AA110" s="1866"/>
      <c r="AB110" s="1866"/>
      <c r="AC110" s="1866"/>
      <c r="AD110" s="1866"/>
      <c r="AE110" s="1866"/>
      <c r="AF110" s="1866"/>
      <c r="AG110" s="1866"/>
      <c r="AH110" s="1866"/>
      <c r="AI110" s="1866"/>
      <c r="AJ110" s="1866"/>
      <c r="AK110" s="1866"/>
      <c r="AL110" s="1866"/>
      <c r="AM110" s="1866"/>
      <c r="AN110" s="1866"/>
      <c r="AO110" s="1866"/>
    </row>
    <row r="111" spans="1:41" ht="15" customHeight="1">
      <c r="A111" s="1866"/>
      <c r="B111" s="1866"/>
      <c r="C111" s="1866"/>
      <c r="D111" s="1866"/>
      <c r="E111" s="1866"/>
      <c r="F111" s="1866"/>
      <c r="G111" s="1866"/>
      <c r="H111" s="1866"/>
      <c r="I111" s="1866"/>
      <c r="J111" s="1866"/>
      <c r="K111" s="1866"/>
      <c r="L111" s="1866"/>
      <c r="M111" s="1866"/>
      <c r="N111" s="1866"/>
      <c r="O111" s="1866"/>
      <c r="P111" s="1866"/>
      <c r="Q111" s="1866"/>
      <c r="R111" s="1866"/>
      <c r="S111" s="1866"/>
      <c r="T111" s="1866"/>
      <c r="U111" s="1866"/>
      <c r="V111" s="1866"/>
      <c r="W111" s="1866"/>
      <c r="X111" s="1866"/>
      <c r="Y111" s="1866"/>
      <c r="Z111" s="1866"/>
      <c r="AA111" s="1866"/>
      <c r="AB111" s="1866"/>
      <c r="AC111" s="1866"/>
      <c r="AD111" s="1866"/>
      <c r="AE111" s="1866"/>
      <c r="AF111" s="1866"/>
      <c r="AG111" s="1866"/>
      <c r="AH111" s="1866"/>
      <c r="AI111" s="1866"/>
      <c r="AJ111" s="1866"/>
      <c r="AK111" s="1866"/>
      <c r="AL111" s="1866"/>
      <c r="AM111" s="1866"/>
      <c r="AN111" s="1866"/>
      <c r="AO111" s="1866"/>
    </row>
    <row r="112" spans="1:41" ht="15" customHeight="1">
      <c r="A112" s="1866"/>
      <c r="B112" s="1866"/>
      <c r="C112" s="1866"/>
      <c r="D112" s="1866"/>
      <c r="E112" s="1866"/>
      <c r="F112" s="1866"/>
      <c r="G112" s="1866"/>
      <c r="H112" s="1866"/>
      <c r="I112" s="1866"/>
      <c r="J112" s="1866"/>
      <c r="K112" s="1866"/>
      <c r="L112" s="1866"/>
      <c r="M112" s="1866"/>
      <c r="N112" s="1866"/>
      <c r="O112" s="1866"/>
      <c r="P112" s="1866"/>
      <c r="Q112" s="1866"/>
      <c r="R112" s="1866"/>
      <c r="S112" s="1866"/>
      <c r="T112" s="1866"/>
      <c r="U112" s="1866"/>
      <c r="V112" s="1866"/>
      <c r="W112" s="1866"/>
      <c r="X112" s="1866"/>
      <c r="Y112" s="1866"/>
      <c r="Z112" s="1866"/>
      <c r="AA112" s="1866"/>
      <c r="AB112" s="1866"/>
      <c r="AC112" s="1866"/>
      <c r="AD112" s="1866"/>
      <c r="AE112" s="1866"/>
      <c r="AF112" s="1866"/>
      <c r="AG112" s="1866"/>
      <c r="AH112" s="1866"/>
      <c r="AI112" s="1866"/>
      <c r="AJ112" s="1866"/>
      <c r="AK112" s="1866"/>
      <c r="AL112" s="1866"/>
      <c r="AM112" s="1866"/>
      <c r="AN112" s="1866"/>
      <c r="AO112" s="1866"/>
    </row>
    <row r="113" spans="1:41" ht="15" customHeight="1">
      <c r="A113" s="1866"/>
      <c r="B113" s="1866"/>
      <c r="C113" s="1866"/>
      <c r="D113" s="1866"/>
      <c r="E113" s="1866"/>
      <c r="F113" s="1866"/>
      <c r="G113" s="1866"/>
      <c r="H113" s="1866"/>
      <c r="I113" s="1866"/>
      <c r="J113" s="1866"/>
      <c r="K113" s="1866"/>
      <c r="L113" s="1866"/>
      <c r="M113" s="1866"/>
      <c r="N113" s="1866"/>
      <c r="O113" s="1866"/>
      <c r="P113" s="1866"/>
      <c r="Q113" s="1866"/>
      <c r="R113" s="1866"/>
      <c r="S113" s="1866"/>
      <c r="T113" s="1866"/>
      <c r="U113" s="1866"/>
      <c r="V113" s="1866"/>
      <c r="W113" s="1866"/>
      <c r="X113" s="1866"/>
      <c r="Y113" s="1866"/>
      <c r="Z113" s="1866"/>
      <c r="AA113" s="1866"/>
      <c r="AB113" s="1866"/>
      <c r="AC113" s="1866"/>
      <c r="AD113" s="1866"/>
      <c r="AE113" s="1866"/>
      <c r="AF113" s="1866"/>
      <c r="AG113" s="1866"/>
      <c r="AH113" s="1866"/>
      <c r="AI113" s="1866"/>
      <c r="AJ113" s="1866"/>
      <c r="AK113" s="1866"/>
      <c r="AL113" s="1866"/>
      <c r="AM113" s="1866"/>
      <c r="AN113" s="1866"/>
      <c r="AO113" s="1866"/>
    </row>
    <row r="114" spans="1:41" ht="15" customHeight="1">
      <c r="A114" s="1866"/>
      <c r="B114" s="1866"/>
      <c r="C114" s="1866"/>
      <c r="D114" s="1866"/>
      <c r="E114" s="1866"/>
      <c r="F114" s="1866"/>
      <c r="G114" s="1866"/>
      <c r="H114" s="1866"/>
      <c r="I114" s="1866"/>
      <c r="J114" s="1866"/>
      <c r="K114" s="1866"/>
      <c r="L114" s="1866"/>
      <c r="M114" s="1866"/>
      <c r="N114" s="1866"/>
      <c r="O114" s="1866"/>
      <c r="P114" s="1866"/>
      <c r="Q114" s="1866"/>
      <c r="R114" s="1866"/>
      <c r="S114" s="1866"/>
      <c r="T114" s="1866"/>
      <c r="U114" s="1866"/>
      <c r="V114" s="1866"/>
      <c r="W114" s="1866"/>
      <c r="X114" s="1866"/>
      <c r="Y114" s="1866"/>
      <c r="Z114" s="1866"/>
      <c r="AA114" s="1866"/>
      <c r="AB114" s="1866"/>
      <c r="AC114" s="1866"/>
      <c r="AD114" s="1866"/>
      <c r="AE114" s="1866"/>
      <c r="AF114" s="1866"/>
      <c r="AG114" s="1866"/>
      <c r="AH114" s="1866"/>
      <c r="AI114" s="1866"/>
      <c r="AJ114" s="1866"/>
      <c r="AK114" s="1866"/>
      <c r="AL114" s="1866"/>
      <c r="AM114" s="1866"/>
      <c r="AN114" s="1866"/>
      <c r="AO114" s="1866"/>
    </row>
    <row r="115" spans="1:41" ht="15" customHeight="1">
      <c r="A115" s="1866"/>
      <c r="B115" s="1866"/>
      <c r="C115" s="1866"/>
      <c r="D115" s="1866"/>
      <c r="E115" s="1866"/>
      <c r="F115" s="1866"/>
      <c r="G115" s="1866"/>
      <c r="H115" s="1866"/>
      <c r="I115" s="1866"/>
      <c r="J115" s="1866"/>
      <c r="K115" s="1866"/>
      <c r="L115" s="1866"/>
      <c r="M115" s="1866"/>
      <c r="N115" s="1866"/>
      <c r="O115" s="1866"/>
      <c r="P115" s="1866"/>
      <c r="Q115" s="1866"/>
      <c r="R115" s="1866"/>
      <c r="S115" s="1866"/>
      <c r="T115" s="1866"/>
      <c r="U115" s="1866"/>
      <c r="V115" s="1866"/>
      <c r="W115" s="1866"/>
      <c r="X115" s="1866"/>
      <c r="Y115" s="1866"/>
      <c r="Z115" s="1866"/>
      <c r="AA115" s="1866"/>
      <c r="AB115" s="1866"/>
      <c r="AC115" s="1866"/>
      <c r="AD115" s="1866"/>
      <c r="AE115" s="1866"/>
      <c r="AF115" s="1866"/>
      <c r="AG115" s="1866"/>
      <c r="AH115" s="1866"/>
      <c r="AI115" s="1866"/>
      <c r="AJ115" s="1866"/>
      <c r="AK115" s="1866"/>
      <c r="AL115" s="1866"/>
      <c r="AM115" s="1866"/>
      <c r="AN115" s="1866"/>
      <c r="AO115" s="1866"/>
    </row>
    <row r="116" spans="1:41" ht="15" customHeight="1">
      <c r="A116" s="1866"/>
      <c r="B116" s="1866"/>
      <c r="C116" s="1866"/>
      <c r="D116" s="1866"/>
      <c r="E116" s="1866"/>
      <c r="F116" s="1866"/>
      <c r="G116" s="1866"/>
      <c r="H116" s="1866"/>
      <c r="I116" s="1866"/>
      <c r="J116" s="1866"/>
      <c r="K116" s="1866"/>
      <c r="L116" s="1866"/>
      <c r="M116" s="1866"/>
      <c r="N116" s="1866"/>
      <c r="O116" s="1866"/>
      <c r="P116" s="1866"/>
      <c r="Q116" s="1866"/>
      <c r="R116" s="1866"/>
      <c r="S116" s="1866"/>
      <c r="T116" s="1866"/>
      <c r="U116" s="1866"/>
      <c r="V116" s="1866"/>
      <c r="W116" s="1866"/>
      <c r="X116" s="1866"/>
      <c r="Y116" s="1866"/>
      <c r="Z116" s="1866"/>
      <c r="AA116" s="1866"/>
      <c r="AB116" s="1866"/>
      <c r="AC116" s="1866"/>
      <c r="AD116" s="1866"/>
      <c r="AE116" s="1866"/>
      <c r="AF116" s="1866"/>
      <c r="AG116" s="1866"/>
      <c r="AH116" s="1866"/>
      <c r="AI116" s="1866"/>
      <c r="AJ116" s="1866"/>
      <c r="AK116" s="1866"/>
      <c r="AL116" s="1866"/>
      <c r="AM116" s="1866"/>
      <c r="AN116" s="1866"/>
      <c r="AO116" s="1866"/>
    </row>
    <row r="117" spans="1:41" ht="15" customHeight="1">
      <c r="A117" s="1866"/>
      <c r="B117" s="1866"/>
      <c r="C117" s="1866"/>
      <c r="D117" s="1866"/>
      <c r="E117" s="1866"/>
      <c r="F117" s="1866"/>
      <c r="G117" s="1866"/>
      <c r="H117" s="1866"/>
      <c r="I117" s="1866"/>
      <c r="J117" s="1866"/>
      <c r="K117" s="1866"/>
      <c r="L117" s="1866"/>
      <c r="M117" s="1866"/>
      <c r="N117" s="1866"/>
      <c r="O117" s="1866"/>
      <c r="P117" s="1866"/>
      <c r="Q117" s="1866"/>
      <c r="R117" s="1866"/>
      <c r="S117" s="1866"/>
      <c r="T117" s="1866"/>
      <c r="U117" s="1866"/>
      <c r="V117" s="1866"/>
      <c r="W117" s="1866"/>
      <c r="X117" s="1866"/>
      <c r="Y117" s="1866"/>
      <c r="Z117" s="1866"/>
      <c r="AA117" s="1866"/>
      <c r="AB117" s="1866"/>
      <c r="AC117" s="1866"/>
      <c r="AD117" s="1866"/>
      <c r="AE117" s="1866"/>
      <c r="AF117" s="1866"/>
      <c r="AG117" s="1866"/>
      <c r="AH117" s="1866"/>
      <c r="AI117" s="1866"/>
      <c r="AJ117" s="1866"/>
      <c r="AK117" s="1866"/>
      <c r="AL117" s="1866"/>
      <c r="AM117" s="1866"/>
      <c r="AN117" s="1866"/>
      <c r="AO117" s="1866"/>
    </row>
    <row r="118" spans="1:41" ht="15" customHeight="1">
      <c r="A118" s="1866"/>
      <c r="B118" s="1866"/>
      <c r="C118" s="1866"/>
      <c r="D118" s="1866"/>
      <c r="E118" s="1866"/>
      <c r="F118" s="1866"/>
      <c r="G118" s="1866"/>
      <c r="H118" s="1866"/>
      <c r="I118" s="1866"/>
      <c r="J118" s="1866"/>
      <c r="K118" s="1866"/>
      <c r="L118" s="1866"/>
      <c r="M118" s="1866"/>
      <c r="N118" s="1866"/>
      <c r="O118" s="1866"/>
      <c r="P118" s="1866"/>
      <c r="Q118" s="1866"/>
      <c r="R118" s="1866"/>
      <c r="S118" s="1866"/>
      <c r="T118" s="1866"/>
      <c r="U118" s="1866"/>
      <c r="V118" s="1866"/>
      <c r="W118" s="1866"/>
      <c r="X118" s="1866"/>
      <c r="Y118" s="1866"/>
      <c r="Z118" s="1866"/>
      <c r="AA118" s="1866"/>
      <c r="AB118" s="1866"/>
      <c r="AC118" s="1866"/>
      <c r="AD118" s="1866"/>
      <c r="AE118" s="1866"/>
      <c r="AF118" s="1866"/>
      <c r="AG118" s="1866"/>
      <c r="AH118" s="1866"/>
      <c r="AI118" s="1866"/>
      <c r="AJ118" s="1866"/>
      <c r="AK118" s="1866"/>
      <c r="AL118" s="1866"/>
      <c r="AM118" s="1866"/>
      <c r="AN118" s="1866"/>
      <c r="AO118" s="1866"/>
    </row>
    <row r="119" spans="1:41" ht="15" customHeight="1">
      <c r="A119" s="1866"/>
      <c r="B119" s="1866"/>
      <c r="C119" s="1866"/>
      <c r="D119" s="1866"/>
      <c r="E119" s="1866"/>
      <c r="F119" s="1866"/>
      <c r="G119" s="1866"/>
      <c r="H119" s="1866"/>
      <c r="I119" s="1866"/>
      <c r="J119" s="1866"/>
      <c r="K119" s="1866"/>
      <c r="L119" s="1866"/>
      <c r="M119" s="1866"/>
      <c r="N119" s="1866"/>
      <c r="O119" s="1866"/>
      <c r="P119" s="1866"/>
      <c r="Q119" s="1866"/>
      <c r="R119" s="1866"/>
      <c r="S119" s="1866"/>
      <c r="T119" s="1866"/>
      <c r="U119" s="1866"/>
      <c r="V119" s="1866"/>
      <c r="W119" s="1866"/>
      <c r="X119" s="1866"/>
      <c r="Y119" s="1866"/>
      <c r="Z119" s="1866"/>
      <c r="AA119" s="1866"/>
      <c r="AB119" s="1866"/>
      <c r="AC119" s="1866"/>
      <c r="AD119" s="1866"/>
      <c r="AE119" s="1866"/>
      <c r="AF119" s="1866"/>
      <c r="AG119" s="1866"/>
      <c r="AH119" s="1866"/>
      <c r="AI119" s="1866"/>
      <c r="AJ119" s="1866"/>
      <c r="AK119" s="1866"/>
      <c r="AL119" s="1866"/>
      <c r="AM119" s="1866"/>
      <c r="AN119" s="1866"/>
      <c r="AO119" s="1866"/>
    </row>
    <row r="120" spans="1:41" ht="15" customHeight="1">
      <c r="A120" s="1866"/>
      <c r="B120" s="1866"/>
      <c r="C120" s="1866"/>
      <c r="D120" s="1866"/>
      <c r="E120" s="1866"/>
      <c r="F120" s="1866"/>
      <c r="G120" s="1866"/>
      <c r="H120" s="1866"/>
      <c r="I120" s="1866"/>
      <c r="J120" s="1866"/>
      <c r="K120" s="1866"/>
      <c r="L120" s="1866"/>
      <c r="M120" s="1866"/>
      <c r="N120" s="1866"/>
      <c r="O120" s="1866"/>
      <c r="P120" s="1866"/>
      <c r="Q120" s="1866"/>
      <c r="R120" s="1866"/>
      <c r="S120" s="1866"/>
      <c r="T120" s="1866"/>
      <c r="U120" s="1866"/>
      <c r="V120" s="1866"/>
      <c r="W120" s="1866"/>
      <c r="X120" s="1866"/>
      <c r="Y120" s="1866"/>
      <c r="Z120" s="1866"/>
      <c r="AA120" s="1866"/>
      <c r="AB120" s="1866"/>
      <c r="AC120" s="1866"/>
      <c r="AD120" s="1866"/>
      <c r="AE120" s="1866"/>
      <c r="AF120" s="1866"/>
      <c r="AG120" s="1866"/>
      <c r="AH120" s="1866"/>
      <c r="AI120" s="1866"/>
      <c r="AJ120" s="1866"/>
      <c r="AK120" s="1866"/>
      <c r="AL120" s="1866"/>
      <c r="AM120" s="1866"/>
      <c r="AN120" s="1866"/>
      <c r="AO120" s="1866"/>
    </row>
    <row r="121" spans="1:41" ht="15" customHeight="1">
      <c r="A121" s="1866"/>
      <c r="B121" s="1866"/>
      <c r="C121" s="1866"/>
      <c r="D121" s="1866"/>
      <c r="E121" s="1866"/>
      <c r="F121" s="1866"/>
      <c r="G121" s="1866"/>
      <c r="H121" s="1866"/>
      <c r="I121" s="1866"/>
      <c r="J121" s="1866"/>
      <c r="K121" s="1866"/>
      <c r="L121" s="1866"/>
      <c r="M121" s="1866"/>
      <c r="N121" s="1866"/>
      <c r="O121" s="1866"/>
      <c r="P121" s="1866"/>
      <c r="Q121" s="1866"/>
      <c r="R121" s="1866"/>
      <c r="S121" s="1866"/>
      <c r="T121" s="1866"/>
      <c r="U121" s="1866"/>
      <c r="V121" s="1866"/>
      <c r="W121" s="1866"/>
      <c r="X121" s="1866"/>
      <c r="Y121" s="1866"/>
      <c r="Z121" s="1866"/>
      <c r="AA121" s="1866"/>
      <c r="AB121" s="1866"/>
      <c r="AC121" s="1866"/>
      <c r="AD121" s="1866"/>
      <c r="AE121" s="1866"/>
      <c r="AF121" s="1866"/>
      <c r="AG121" s="1866"/>
      <c r="AH121" s="1866"/>
      <c r="AI121" s="1866"/>
      <c r="AJ121" s="1866"/>
      <c r="AK121" s="1866"/>
      <c r="AL121" s="1866"/>
      <c r="AM121" s="1866"/>
      <c r="AN121" s="1866"/>
      <c r="AO121" s="1866"/>
    </row>
    <row r="122" spans="1:41" ht="15" customHeight="1">
      <c r="A122" s="1866"/>
      <c r="B122" s="1866"/>
      <c r="C122" s="1866"/>
      <c r="D122" s="1866"/>
      <c r="E122" s="1866"/>
      <c r="F122" s="1866"/>
      <c r="G122" s="1866"/>
      <c r="H122" s="1866"/>
      <c r="I122" s="1866"/>
      <c r="J122" s="1866"/>
      <c r="K122" s="1866"/>
      <c r="L122" s="1866"/>
      <c r="M122" s="1866"/>
      <c r="N122" s="1866"/>
      <c r="O122" s="1866"/>
      <c r="P122" s="1866"/>
      <c r="Q122" s="1866"/>
      <c r="R122" s="1866"/>
      <c r="S122" s="1866"/>
      <c r="T122" s="1866"/>
      <c r="U122" s="1866"/>
      <c r="V122" s="1866"/>
      <c r="W122" s="1866"/>
      <c r="X122" s="1866"/>
      <c r="Y122" s="1866"/>
      <c r="Z122" s="1866"/>
      <c r="AA122" s="1866"/>
      <c r="AB122" s="1866"/>
      <c r="AC122" s="1866"/>
      <c r="AD122" s="1866"/>
      <c r="AE122" s="1866"/>
      <c r="AF122" s="1866"/>
      <c r="AG122" s="1866"/>
      <c r="AH122" s="1866"/>
      <c r="AI122" s="1866"/>
      <c r="AJ122" s="1866"/>
      <c r="AK122" s="1866"/>
      <c r="AL122" s="1866"/>
      <c r="AM122" s="1866"/>
      <c r="AN122" s="1866"/>
      <c r="AO122" s="1866"/>
    </row>
    <row r="123" spans="1:41" ht="15" customHeight="1">
      <c r="A123" s="1866"/>
      <c r="B123" s="1866"/>
      <c r="C123" s="1866"/>
      <c r="D123" s="1866"/>
      <c r="E123" s="1866"/>
      <c r="F123" s="1866"/>
      <c r="G123" s="1866"/>
      <c r="H123" s="1866"/>
      <c r="I123" s="1866"/>
      <c r="J123" s="1866"/>
      <c r="K123" s="1866"/>
      <c r="L123" s="1866"/>
      <c r="M123" s="1866"/>
      <c r="N123" s="1866"/>
      <c r="O123" s="1866"/>
      <c r="P123" s="1866"/>
      <c r="Q123" s="1866"/>
      <c r="R123" s="1866"/>
      <c r="S123" s="1866"/>
      <c r="T123" s="1866"/>
      <c r="U123" s="1866"/>
      <c r="V123" s="1866"/>
      <c r="W123" s="1866"/>
      <c r="X123" s="1866"/>
      <c r="Y123" s="1866"/>
      <c r="Z123" s="1866"/>
      <c r="AA123" s="1866"/>
      <c r="AB123" s="1866"/>
      <c r="AC123" s="1866"/>
      <c r="AD123" s="1866"/>
      <c r="AE123" s="1866"/>
      <c r="AF123" s="1866"/>
      <c r="AG123" s="1866"/>
      <c r="AH123" s="1866"/>
      <c r="AI123" s="1866"/>
      <c r="AJ123" s="1866"/>
      <c r="AK123" s="1866"/>
      <c r="AL123" s="1866"/>
      <c r="AM123" s="1866"/>
      <c r="AN123" s="1866"/>
      <c r="AO123" s="1866"/>
    </row>
    <row r="124" spans="1:41" ht="15" customHeight="1">
      <c r="A124" s="1866"/>
      <c r="B124" s="1866"/>
      <c r="C124" s="1866"/>
      <c r="D124" s="1866"/>
      <c r="E124" s="1866"/>
      <c r="F124" s="1866"/>
      <c r="G124" s="1866"/>
      <c r="H124" s="1866"/>
      <c r="I124" s="1866"/>
      <c r="J124" s="1866"/>
      <c r="K124" s="1866"/>
      <c r="L124" s="1866"/>
      <c r="M124" s="1866"/>
      <c r="N124" s="1866"/>
      <c r="O124" s="1866"/>
      <c r="P124" s="1866"/>
      <c r="Q124" s="1866"/>
      <c r="R124" s="1866"/>
      <c r="S124" s="1866"/>
      <c r="T124" s="1866"/>
      <c r="U124" s="1866"/>
      <c r="V124" s="1866"/>
      <c r="W124" s="1866"/>
      <c r="X124" s="1866"/>
      <c r="Y124" s="1866"/>
      <c r="Z124" s="1866"/>
      <c r="AA124" s="1866"/>
      <c r="AB124" s="1866"/>
      <c r="AC124" s="1866"/>
      <c r="AD124" s="1866"/>
      <c r="AE124" s="1866"/>
      <c r="AF124" s="1866"/>
      <c r="AG124" s="1866"/>
      <c r="AH124" s="1866"/>
      <c r="AI124" s="1866"/>
      <c r="AJ124" s="1866"/>
      <c r="AK124" s="1866"/>
      <c r="AL124" s="1866"/>
      <c r="AM124" s="1866"/>
      <c r="AN124" s="1866"/>
      <c r="AO124" s="1866"/>
    </row>
    <row r="125" spans="1:41" ht="15" customHeight="1">
      <c r="A125" s="1866"/>
      <c r="B125" s="1866"/>
      <c r="C125" s="1866"/>
      <c r="D125" s="1866"/>
      <c r="E125" s="1866"/>
      <c r="F125" s="1866"/>
      <c r="G125" s="1866"/>
      <c r="H125" s="1866"/>
      <c r="I125" s="1866"/>
      <c r="J125" s="1866"/>
      <c r="K125" s="1866"/>
      <c r="L125" s="1866"/>
      <c r="M125" s="1866"/>
      <c r="N125" s="1866"/>
      <c r="O125" s="1866"/>
      <c r="P125" s="1866"/>
      <c r="Q125" s="1866"/>
      <c r="R125" s="1866"/>
      <c r="S125" s="1866"/>
      <c r="T125" s="1866"/>
      <c r="U125" s="1866"/>
      <c r="V125" s="1866"/>
      <c r="W125" s="1866"/>
      <c r="X125" s="1866"/>
      <c r="Y125" s="1866"/>
      <c r="Z125" s="1866"/>
      <c r="AA125" s="1866"/>
      <c r="AB125" s="1866"/>
      <c r="AC125" s="1866"/>
      <c r="AD125" s="1866"/>
      <c r="AE125" s="1866"/>
      <c r="AF125" s="1866"/>
      <c r="AG125" s="1866"/>
      <c r="AH125" s="1866"/>
      <c r="AI125" s="1866"/>
      <c r="AJ125" s="1866"/>
      <c r="AK125" s="1866"/>
      <c r="AL125" s="1866"/>
      <c r="AM125" s="1866"/>
      <c r="AN125" s="1866"/>
      <c r="AO125" s="1866"/>
    </row>
    <row r="126" spans="1:41" ht="15" customHeight="1">
      <c r="A126" s="1866"/>
      <c r="B126" s="1866"/>
      <c r="C126" s="1866"/>
      <c r="D126" s="1866"/>
      <c r="E126" s="1866"/>
      <c r="F126" s="1866"/>
      <c r="G126" s="1866"/>
      <c r="H126" s="1866"/>
      <c r="I126" s="1866"/>
      <c r="J126" s="1866"/>
      <c r="K126" s="1866"/>
      <c r="L126" s="1866"/>
      <c r="M126" s="1866"/>
      <c r="N126" s="1866"/>
      <c r="O126" s="1866"/>
      <c r="P126" s="1866"/>
      <c r="Q126" s="1866"/>
      <c r="R126" s="1866"/>
      <c r="S126" s="1866"/>
      <c r="T126" s="1866"/>
      <c r="U126" s="1866"/>
      <c r="V126" s="1866"/>
      <c r="W126" s="1866"/>
      <c r="X126" s="1866"/>
      <c r="Y126" s="1866"/>
      <c r="Z126" s="1866"/>
      <c r="AA126" s="1866"/>
      <c r="AB126" s="1866"/>
      <c r="AC126" s="1866"/>
      <c r="AD126" s="1866"/>
      <c r="AE126" s="1866"/>
      <c r="AF126" s="1866"/>
      <c r="AG126" s="1866"/>
      <c r="AH126" s="1866"/>
      <c r="AI126" s="1866"/>
      <c r="AJ126" s="1866"/>
      <c r="AK126" s="1866"/>
      <c r="AL126" s="1866"/>
      <c r="AM126" s="1866"/>
      <c r="AN126" s="1866"/>
      <c r="AO126" s="1866"/>
    </row>
    <row r="127" spans="1:41" ht="15" customHeight="1">
      <c r="A127" s="1866"/>
      <c r="B127" s="1866"/>
      <c r="C127" s="1866"/>
      <c r="D127" s="1866"/>
      <c r="E127" s="1866"/>
      <c r="F127" s="1866"/>
      <c r="G127" s="1866"/>
      <c r="H127" s="1866"/>
      <c r="I127" s="1866"/>
      <c r="J127" s="1866"/>
      <c r="K127" s="1866"/>
      <c r="L127" s="1866"/>
      <c r="M127" s="1866"/>
      <c r="N127" s="1866"/>
      <c r="O127" s="1866"/>
      <c r="P127" s="1866"/>
      <c r="Q127" s="1866"/>
      <c r="R127" s="1866"/>
      <c r="S127" s="1866"/>
      <c r="T127" s="1866"/>
      <c r="U127" s="1866"/>
      <c r="V127" s="1866"/>
      <c r="W127" s="1866"/>
      <c r="X127" s="1866"/>
      <c r="Y127" s="1866"/>
      <c r="Z127" s="1866"/>
      <c r="AA127" s="1866"/>
      <c r="AB127" s="1866"/>
      <c r="AC127" s="1866"/>
      <c r="AD127" s="1866"/>
      <c r="AE127" s="1866"/>
      <c r="AF127" s="1866"/>
      <c r="AG127" s="1866"/>
      <c r="AH127" s="1866"/>
      <c r="AI127" s="1866"/>
      <c r="AJ127" s="1866"/>
      <c r="AK127" s="1866"/>
      <c r="AL127" s="1866"/>
      <c r="AM127" s="1866"/>
      <c r="AN127" s="1866"/>
      <c r="AO127" s="1866"/>
    </row>
    <row r="128" spans="1:41" ht="15" customHeight="1">
      <c r="A128" s="1866"/>
      <c r="B128" s="1866"/>
      <c r="C128" s="1866"/>
      <c r="D128" s="1866"/>
      <c r="E128" s="1866"/>
      <c r="F128" s="1866"/>
      <c r="G128" s="1866"/>
      <c r="H128" s="1866"/>
      <c r="I128" s="1866"/>
      <c r="J128" s="1866"/>
      <c r="K128" s="1866"/>
      <c r="L128" s="1866"/>
      <c r="M128" s="1866"/>
      <c r="N128" s="1866"/>
      <c r="O128" s="1866"/>
      <c r="P128" s="1866"/>
      <c r="Q128" s="1866"/>
      <c r="R128" s="1866"/>
      <c r="S128" s="1866"/>
      <c r="T128" s="1866"/>
      <c r="U128" s="1866"/>
      <c r="V128" s="1866"/>
      <c r="W128" s="1866"/>
      <c r="X128" s="1866"/>
      <c r="Y128" s="1866"/>
      <c r="Z128" s="1866"/>
      <c r="AA128" s="1866"/>
      <c r="AB128" s="1866"/>
      <c r="AC128" s="1866"/>
      <c r="AD128" s="1866"/>
      <c r="AE128" s="1866"/>
      <c r="AF128" s="1866"/>
      <c r="AG128" s="1866"/>
      <c r="AH128" s="1866"/>
      <c r="AI128" s="1866"/>
      <c r="AJ128" s="1866"/>
      <c r="AK128" s="1866"/>
      <c r="AL128" s="1866"/>
      <c r="AM128" s="1866"/>
      <c r="AN128" s="1866"/>
      <c r="AO128" s="1866"/>
    </row>
    <row r="129" spans="1:41" ht="15" customHeight="1">
      <c r="A129" s="1866"/>
      <c r="B129" s="1866"/>
      <c r="C129" s="1866"/>
      <c r="D129" s="1866"/>
      <c r="E129" s="1866"/>
      <c r="F129" s="1866"/>
      <c r="G129" s="1866"/>
      <c r="H129" s="1866"/>
      <c r="I129" s="1866"/>
      <c r="J129" s="1866"/>
      <c r="K129" s="1866"/>
      <c r="L129" s="1866"/>
      <c r="M129" s="1866"/>
      <c r="N129" s="1866"/>
      <c r="O129" s="1866"/>
      <c r="P129" s="1866"/>
      <c r="Q129" s="1866"/>
      <c r="R129" s="1866"/>
      <c r="S129" s="1866"/>
      <c r="T129" s="1866"/>
      <c r="U129" s="1866"/>
      <c r="V129" s="1866"/>
      <c r="W129" s="1866"/>
      <c r="X129" s="1866"/>
      <c r="Y129" s="1866"/>
      <c r="Z129" s="1866"/>
      <c r="AA129" s="1866"/>
      <c r="AB129" s="1866"/>
      <c r="AC129" s="1866"/>
      <c r="AD129" s="1866"/>
      <c r="AE129" s="1866"/>
      <c r="AF129" s="1866"/>
      <c r="AG129" s="1866"/>
      <c r="AH129" s="1866"/>
      <c r="AI129" s="1866"/>
      <c r="AJ129" s="1866"/>
      <c r="AK129" s="1866"/>
      <c r="AL129" s="1866"/>
      <c r="AM129" s="1866"/>
      <c r="AN129" s="1866"/>
      <c r="AO129" s="1866"/>
    </row>
    <row r="130" spans="1:41" ht="15" customHeight="1">
      <c r="A130" s="1866"/>
      <c r="B130" s="1866"/>
      <c r="C130" s="1866"/>
      <c r="D130" s="1866"/>
      <c r="E130" s="1866"/>
      <c r="F130" s="1866"/>
      <c r="G130" s="1866"/>
      <c r="H130" s="1866"/>
      <c r="I130" s="1866"/>
      <c r="J130" s="1866"/>
      <c r="K130" s="1866"/>
      <c r="L130" s="1866"/>
      <c r="M130" s="1866"/>
      <c r="N130" s="1866"/>
      <c r="O130" s="1866"/>
      <c r="P130" s="1866"/>
      <c r="Q130" s="1866"/>
      <c r="R130" s="1866"/>
      <c r="S130" s="1866"/>
      <c r="T130" s="1866"/>
      <c r="U130" s="1866"/>
      <c r="V130" s="1866"/>
      <c r="W130" s="1866"/>
      <c r="X130" s="1866"/>
      <c r="Y130" s="1866"/>
      <c r="Z130" s="1866"/>
      <c r="AA130" s="1866"/>
      <c r="AB130" s="1866"/>
      <c r="AC130" s="1866"/>
      <c r="AD130" s="1866"/>
      <c r="AE130" s="1866"/>
      <c r="AF130" s="1866"/>
      <c r="AG130" s="1866"/>
      <c r="AH130" s="1866"/>
      <c r="AI130" s="1866"/>
      <c r="AJ130" s="1866"/>
      <c r="AK130" s="1866"/>
      <c r="AL130" s="1866"/>
      <c r="AM130" s="1866"/>
      <c r="AN130" s="1866"/>
      <c r="AO130" s="1866"/>
    </row>
    <row r="131" spans="1:41" ht="15" customHeight="1">
      <c r="A131" s="1866"/>
      <c r="B131" s="1866"/>
      <c r="C131" s="1866"/>
      <c r="D131" s="1866"/>
      <c r="E131" s="1866"/>
      <c r="F131" s="1866"/>
      <c r="G131" s="1866"/>
      <c r="H131" s="1866"/>
      <c r="I131" s="1866"/>
      <c r="J131" s="1866"/>
      <c r="K131" s="1866"/>
      <c r="L131" s="1866"/>
      <c r="M131" s="1866"/>
      <c r="N131" s="1866"/>
      <c r="O131" s="1866"/>
      <c r="P131" s="1866"/>
      <c r="Q131" s="1866"/>
      <c r="R131" s="1866"/>
      <c r="S131" s="1866"/>
      <c r="T131" s="1866"/>
      <c r="U131" s="1866"/>
      <c r="V131" s="1866"/>
      <c r="W131" s="1866"/>
      <c r="X131" s="1866"/>
      <c r="Y131" s="1866"/>
      <c r="Z131" s="1866"/>
      <c r="AA131" s="1866"/>
      <c r="AB131" s="1866"/>
      <c r="AC131" s="1866"/>
      <c r="AD131" s="1866"/>
      <c r="AE131" s="1866"/>
      <c r="AF131" s="1866"/>
      <c r="AG131" s="1866"/>
      <c r="AH131" s="1866"/>
      <c r="AI131" s="1866"/>
      <c r="AJ131" s="1866"/>
      <c r="AK131" s="1866"/>
      <c r="AL131" s="1866"/>
      <c r="AM131" s="1866"/>
      <c r="AN131" s="1866"/>
      <c r="AO131" s="1866"/>
    </row>
    <row r="132" spans="1:41" ht="15" customHeight="1">
      <c r="A132" s="1866"/>
      <c r="B132" s="1866"/>
      <c r="C132" s="1866"/>
      <c r="D132" s="1866"/>
      <c r="E132" s="1866"/>
      <c r="F132" s="1866"/>
      <c r="G132" s="1866"/>
      <c r="H132" s="1866"/>
      <c r="I132" s="1866"/>
      <c r="J132" s="1866"/>
      <c r="K132" s="1866"/>
      <c r="L132" s="1866"/>
      <c r="M132" s="1866"/>
      <c r="N132" s="1866"/>
      <c r="O132" s="1866"/>
      <c r="P132" s="1866"/>
      <c r="Q132" s="1866"/>
      <c r="R132" s="1866"/>
      <c r="S132" s="1866"/>
      <c r="T132" s="1866"/>
      <c r="U132" s="1866"/>
      <c r="V132" s="1866"/>
      <c r="W132" s="1866"/>
      <c r="X132" s="1866"/>
      <c r="Y132" s="1866"/>
      <c r="Z132" s="1866"/>
      <c r="AA132" s="1866"/>
      <c r="AB132" s="1866"/>
      <c r="AC132" s="1866"/>
      <c r="AD132" s="1866"/>
      <c r="AE132" s="1866"/>
      <c r="AF132" s="1866"/>
      <c r="AG132" s="1866"/>
      <c r="AH132" s="1866"/>
      <c r="AI132" s="1866"/>
      <c r="AJ132" s="1866"/>
      <c r="AK132" s="1866"/>
      <c r="AL132" s="1866"/>
      <c r="AM132" s="1866"/>
      <c r="AN132" s="1866"/>
      <c r="AO132" s="1866"/>
    </row>
    <row r="133" spans="1:41" ht="15" customHeight="1">
      <c r="A133" s="1866"/>
      <c r="B133" s="1866"/>
      <c r="C133" s="1866"/>
      <c r="D133" s="1866"/>
      <c r="E133" s="1866"/>
      <c r="F133" s="1866"/>
      <c r="G133" s="1866"/>
      <c r="H133" s="1866"/>
      <c r="I133" s="1866"/>
      <c r="J133" s="1866"/>
      <c r="K133" s="1866"/>
      <c r="L133" s="1866"/>
      <c r="M133" s="1866"/>
      <c r="N133" s="1866"/>
      <c r="O133" s="1866"/>
      <c r="P133" s="1866"/>
      <c r="Q133" s="1866"/>
      <c r="R133" s="1866"/>
      <c r="S133" s="1866"/>
      <c r="T133" s="1866"/>
      <c r="U133" s="1866"/>
      <c r="V133" s="1866"/>
      <c r="W133" s="1866"/>
      <c r="X133" s="1866"/>
      <c r="Y133" s="1866"/>
      <c r="Z133" s="1866"/>
      <c r="AA133" s="1866"/>
      <c r="AB133" s="1866"/>
      <c r="AC133" s="1866"/>
      <c r="AD133" s="1866"/>
      <c r="AE133" s="1866"/>
      <c r="AF133" s="1866"/>
      <c r="AG133" s="1866"/>
      <c r="AH133" s="1866"/>
      <c r="AI133" s="1866"/>
      <c r="AJ133" s="1866"/>
      <c r="AK133" s="1866"/>
      <c r="AL133" s="1866"/>
      <c r="AM133" s="1866"/>
      <c r="AN133" s="1866"/>
      <c r="AO133" s="1866"/>
    </row>
    <row r="134" spans="1:41" ht="15" customHeight="1">
      <c r="A134" s="1866"/>
      <c r="B134" s="1866"/>
      <c r="C134" s="1866"/>
      <c r="D134" s="1866"/>
      <c r="E134" s="1866"/>
      <c r="F134" s="1866"/>
      <c r="G134" s="1866"/>
      <c r="H134" s="1866"/>
      <c r="I134" s="1866"/>
      <c r="J134" s="1866"/>
      <c r="K134" s="1866"/>
      <c r="L134" s="1866"/>
      <c r="M134" s="1866"/>
      <c r="N134" s="1866"/>
      <c r="O134" s="1866"/>
      <c r="P134" s="1866"/>
      <c r="Q134" s="1866"/>
      <c r="R134" s="1866"/>
      <c r="S134" s="1866"/>
      <c r="T134" s="1866"/>
      <c r="U134" s="1866"/>
      <c r="V134" s="1866"/>
      <c r="W134" s="1866"/>
      <c r="X134" s="1866"/>
      <c r="Y134" s="1866"/>
      <c r="Z134" s="1866"/>
      <c r="AA134" s="1866"/>
      <c r="AB134" s="1866"/>
      <c r="AC134" s="1866"/>
      <c r="AD134" s="1866"/>
      <c r="AE134" s="1866"/>
      <c r="AF134" s="1866"/>
      <c r="AG134" s="1866"/>
      <c r="AH134" s="1866"/>
      <c r="AI134" s="1866"/>
      <c r="AJ134" s="1866"/>
      <c r="AK134" s="1866"/>
      <c r="AL134" s="1866"/>
      <c r="AM134" s="1866"/>
      <c r="AN134" s="1866"/>
      <c r="AO134" s="1866"/>
    </row>
    <row r="135" spans="1:41" ht="15" customHeight="1">
      <c r="A135" s="1866"/>
      <c r="B135" s="1866"/>
      <c r="C135" s="1866"/>
      <c r="D135" s="1866"/>
      <c r="E135" s="1866"/>
      <c r="F135" s="1866"/>
      <c r="G135" s="1866"/>
      <c r="H135" s="1866"/>
      <c r="I135" s="1866"/>
      <c r="J135" s="1866"/>
      <c r="K135" s="1866"/>
      <c r="L135" s="1866"/>
      <c r="M135" s="1866"/>
      <c r="N135" s="1866"/>
      <c r="O135" s="1866"/>
      <c r="P135" s="1866"/>
      <c r="Q135" s="1866"/>
      <c r="R135" s="1866"/>
      <c r="S135" s="1866"/>
      <c r="T135" s="1866"/>
      <c r="U135" s="1866"/>
      <c r="V135" s="1866"/>
      <c r="W135" s="1866"/>
      <c r="X135" s="1866"/>
      <c r="Y135" s="1866"/>
      <c r="Z135" s="1866"/>
      <c r="AA135" s="1866"/>
      <c r="AB135" s="1866"/>
      <c r="AC135" s="1866"/>
      <c r="AD135" s="1866"/>
      <c r="AE135" s="1866"/>
      <c r="AF135" s="1866"/>
      <c r="AG135" s="1866"/>
      <c r="AH135" s="1866"/>
      <c r="AI135" s="1866"/>
      <c r="AJ135" s="1866"/>
      <c r="AK135" s="1866"/>
      <c r="AL135" s="1866"/>
      <c r="AM135" s="1866"/>
      <c r="AN135" s="1866"/>
      <c r="AO135" s="1866"/>
    </row>
    <row r="136" spans="1:41" ht="15" customHeight="1">
      <c r="A136" s="1866"/>
      <c r="B136" s="1866"/>
      <c r="C136" s="1866"/>
      <c r="D136" s="1866"/>
      <c r="E136" s="1866"/>
      <c r="F136" s="1866"/>
      <c r="G136" s="1866"/>
      <c r="H136" s="1866"/>
      <c r="I136" s="1866"/>
      <c r="J136" s="1866"/>
      <c r="K136" s="1866"/>
      <c r="L136" s="1866"/>
      <c r="M136" s="1866"/>
      <c r="N136" s="1866"/>
      <c r="O136" s="1866"/>
      <c r="P136" s="1866"/>
      <c r="Q136" s="1866"/>
      <c r="R136" s="1866"/>
      <c r="S136" s="1866"/>
      <c r="T136" s="1866"/>
      <c r="U136" s="1866"/>
      <c r="V136" s="1866"/>
      <c r="W136" s="1866"/>
      <c r="X136" s="1866"/>
      <c r="Y136" s="1866"/>
      <c r="Z136" s="1866"/>
      <c r="AA136" s="1866"/>
      <c r="AB136" s="1866"/>
      <c r="AC136" s="1866"/>
      <c r="AD136" s="1866"/>
      <c r="AE136" s="1866"/>
      <c r="AF136" s="1866"/>
      <c r="AG136" s="1866"/>
      <c r="AH136" s="1866"/>
      <c r="AI136" s="1866"/>
      <c r="AJ136" s="1866"/>
      <c r="AK136" s="1866"/>
      <c r="AL136" s="1866"/>
      <c r="AM136" s="1866"/>
      <c r="AN136" s="1866"/>
      <c r="AO136" s="1866"/>
    </row>
    <row r="137" spans="1:41" ht="15" customHeight="1">
      <c r="A137" s="1866"/>
      <c r="B137" s="1866"/>
      <c r="C137" s="1866"/>
      <c r="D137" s="1866"/>
      <c r="E137" s="1866"/>
      <c r="F137" s="1866"/>
      <c r="G137" s="1866"/>
      <c r="H137" s="1866"/>
      <c r="I137" s="1866"/>
      <c r="J137" s="1866"/>
      <c r="K137" s="1866"/>
      <c r="L137" s="1866"/>
      <c r="M137" s="1866"/>
      <c r="N137" s="1866"/>
      <c r="O137" s="1866"/>
      <c r="P137" s="1866"/>
      <c r="Q137" s="1866"/>
      <c r="R137" s="1866"/>
      <c r="S137" s="1866"/>
      <c r="T137" s="1866"/>
      <c r="U137" s="1866"/>
      <c r="V137" s="1866"/>
      <c r="W137" s="1866"/>
      <c r="X137" s="1866"/>
      <c r="Y137" s="1866"/>
      <c r="Z137" s="1866"/>
      <c r="AA137" s="1866"/>
      <c r="AB137" s="1866"/>
      <c r="AC137" s="1866"/>
      <c r="AD137" s="1866"/>
      <c r="AE137" s="1866"/>
      <c r="AF137" s="1866"/>
      <c r="AG137" s="1866"/>
      <c r="AH137" s="1866"/>
      <c r="AI137" s="1866"/>
      <c r="AJ137" s="1866"/>
      <c r="AK137" s="1866"/>
      <c r="AL137" s="1866"/>
      <c r="AM137" s="1866"/>
      <c r="AN137" s="1866"/>
      <c r="AO137" s="1866"/>
    </row>
    <row r="138" spans="1:41" ht="15" customHeight="1">
      <c r="A138" s="1866"/>
      <c r="B138" s="1866"/>
      <c r="C138" s="1866"/>
      <c r="D138" s="1866"/>
      <c r="E138" s="1866"/>
      <c r="F138" s="1866"/>
      <c r="G138" s="1866"/>
      <c r="H138" s="1866"/>
      <c r="I138" s="1866"/>
      <c r="J138" s="1866"/>
      <c r="K138" s="1866"/>
      <c r="L138" s="1866"/>
      <c r="M138" s="1866"/>
      <c r="N138" s="1866"/>
      <c r="O138" s="1866"/>
      <c r="P138" s="1866"/>
      <c r="Q138" s="1866"/>
      <c r="R138" s="1866"/>
      <c r="S138" s="1866"/>
      <c r="T138" s="1866"/>
      <c r="U138" s="1866"/>
      <c r="V138" s="1866"/>
      <c r="W138" s="1866"/>
      <c r="X138" s="1866"/>
      <c r="Y138" s="1866"/>
      <c r="Z138" s="1866"/>
      <c r="AA138" s="1866"/>
      <c r="AB138" s="1866"/>
      <c r="AC138" s="1866"/>
      <c r="AD138" s="1866"/>
      <c r="AE138" s="1866"/>
      <c r="AF138" s="1866"/>
      <c r="AG138" s="1866"/>
      <c r="AH138" s="1866"/>
      <c r="AI138" s="1866"/>
      <c r="AJ138" s="1866"/>
      <c r="AK138" s="1866"/>
      <c r="AL138" s="1866"/>
      <c r="AM138" s="1866"/>
      <c r="AN138" s="1866"/>
      <c r="AO138" s="1866"/>
    </row>
    <row r="139" spans="1:41" ht="15" customHeight="1">
      <c r="A139" s="1866"/>
      <c r="B139" s="1866"/>
      <c r="C139" s="1866"/>
      <c r="D139" s="1866"/>
      <c r="E139" s="1866"/>
      <c r="F139" s="1866"/>
      <c r="G139" s="1866"/>
      <c r="H139" s="1866"/>
      <c r="I139" s="1866"/>
      <c r="J139" s="1866"/>
      <c r="K139" s="1866"/>
      <c r="L139" s="1866"/>
      <c r="M139" s="1866"/>
      <c r="N139" s="1866"/>
      <c r="O139" s="1866"/>
      <c r="P139" s="1866"/>
      <c r="Q139" s="1866"/>
      <c r="R139" s="1866"/>
      <c r="S139" s="1866"/>
      <c r="T139" s="1866"/>
      <c r="U139" s="1866"/>
      <c r="V139" s="1866"/>
      <c r="W139" s="1866"/>
      <c r="X139" s="1866"/>
      <c r="Y139" s="1866"/>
      <c r="Z139" s="1866"/>
      <c r="AA139" s="1866"/>
      <c r="AB139" s="1866"/>
      <c r="AC139" s="1866"/>
      <c r="AD139" s="1866"/>
      <c r="AE139" s="1866"/>
      <c r="AF139" s="1866"/>
      <c r="AG139" s="1866"/>
      <c r="AH139" s="1866"/>
      <c r="AI139" s="1866"/>
      <c r="AJ139" s="1866"/>
      <c r="AK139" s="1866"/>
      <c r="AL139" s="1866"/>
      <c r="AM139" s="1866"/>
      <c r="AN139" s="1866"/>
      <c r="AO139" s="1866"/>
    </row>
    <row r="140" spans="1:41" ht="15" customHeight="1">
      <c r="A140" s="1866"/>
      <c r="B140" s="1866"/>
      <c r="C140" s="1866"/>
      <c r="D140" s="1866"/>
      <c r="E140" s="1866"/>
      <c r="F140" s="1866"/>
      <c r="G140" s="1866"/>
      <c r="H140" s="1866"/>
      <c r="I140" s="1866"/>
      <c r="J140" s="1866"/>
      <c r="K140" s="1866"/>
      <c r="L140" s="1866"/>
      <c r="M140" s="1866"/>
      <c r="N140" s="1866"/>
      <c r="O140" s="1866"/>
      <c r="P140" s="1866"/>
      <c r="Q140" s="1866"/>
      <c r="R140" s="1866"/>
      <c r="S140" s="1866"/>
      <c r="T140" s="1866"/>
      <c r="U140" s="1866"/>
      <c r="V140" s="1866"/>
      <c r="W140" s="1866"/>
      <c r="X140" s="1866"/>
      <c r="Y140" s="1866"/>
      <c r="Z140" s="1866"/>
      <c r="AA140" s="1866"/>
      <c r="AB140" s="1866"/>
      <c r="AC140" s="1866"/>
      <c r="AD140" s="1866"/>
      <c r="AE140" s="1866"/>
      <c r="AF140" s="1866"/>
      <c r="AG140" s="1866"/>
      <c r="AH140" s="1866"/>
      <c r="AI140" s="1866"/>
      <c r="AJ140" s="1866"/>
      <c r="AK140" s="1866"/>
      <c r="AL140" s="1866"/>
      <c r="AM140" s="1866"/>
      <c r="AN140" s="1866"/>
      <c r="AO140" s="1866"/>
    </row>
    <row r="141" spans="1:41" ht="15" customHeight="1">
      <c r="A141" s="1866"/>
      <c r="B141" s="1866"/>
      <c r="C141" s="1866"/>
      <c r="D141" s="1866"/>
      <c r="E141" s="1866"/>
      <c r="F141" s="1866"/>
      <c r="G141" s="1866"/>
      <c r="H141" s="1866"/>
      <c r="I141" s="1866"/>
      <c r="J141" s="1866"/>
      <c r="K141" s="1866"/>
      <c r="L141" s="1866"/>
      <c r="M141" s="1866"/>
      <c r="N141" s="1866"/>
      <c r="O141" s="1866"/>
      <c r="P141" s="1866"/>
      <c r="Q141" s="1866"/>
      <c r="R141" s="1866"/>
      <c r="S141" s="1866"/>
      <c r="T141" s="1866"/>
      <c r="U141" s="1866"/>
      <c r="V141" s="1866"/>
      <c r="W141" s="1866"/>
      <c r="X141" s="1866"/>
      <c r="Y141" s="1866"/>
      <c r="Z141" s="1866"/>
      <c r="AA141" s="1866"/>
      <c r="AB141" s="1866"/>
      <c r="AC141" s="1866"/>
      <c r="AD141" s="1866"/>
      <c r="AE141" s="1866"/>
      <c r="AF141" s="1866"/>
      <c r="AG141" s="1866"/>
      <c r="AH141" s="1866"/>
      <c r="AI141" s="1866"/>
      <c r="AJ141" s="1866"/>
      <c r="AK141" s="1866"/>
      <c r="AL141" s="1866"/>
      <c r="AM141" s="1866"/>
      <c r="AN141" s="1866"/>
      <c r="AO141" s="1866"/>
    </row>
    <row r="142" spans="1:41" ht="15" customHeight="1">
      <c r="A142" s="1866"/>
      <c r="B142" s="1866"/>
      <c r="C142" s="1866"/>
      <c r="D142" s="1866"/>
      <c r="E142" s="1866"/>
      <c r="F142" s="1866"/>
      <c r="G142" s="1866"/>
      <c r="H142" s="1866"/>
      <c r="I142" s="1866"/>
      <c r="J142" s="1866"/>
      <c r="K142" s="1866"/>
      <c r="L142" s="1866"/>
      <c r="M142" s="1866"/>
      <c r="N142" s="1866"/>
      <c r="O142" s="1866"/>
      <c r="P142" s="1866"/>
      <c r="Q142" s="1866"/>
      <c r="R142" s="1866"/>
      <c r="S142" s="1866"/>
      <c r="T142" s="1866"/>
      <c r="U142" s="1866"/>
      <c r="V142" s="1866"/>
      <c r="W142" s="1866"/>
      <c r="X142" s="1866"/>
      <c r="Y142" s="1866"/>
      <c r="Z142" s="1866"/>
      <c r="AA142" s="1866"/>
      <c r="AB142" s="1866"/>
      <c r="AC142" s="1866"/>
      <c r="AD142" s="1866"/>
      <c r="AE142" s="1866"/>
      <c r="AF142" s="1866"/>
      <c r="AG142" s="1866"/>
      <c r="AH142" s="1866"/>
      <c r="AI142" s="1866"/>
      <c r="AJ142" s="1866"/>
      <c r="AK142" s="1866"/>
      <c r="AL142" s="1866"/>
      <c r="AM142" s="1866"/>
      <c r="AN142" s="1866"/>
      <c r="AO142" s="1866"/>
    </row>
    <row r="143" spans="1:41" ht="15" customHeight="1">
      <c r="A143" s="1866"/>
      <c r="B143" s="1866"/>
      <c r="C143" s="1866"/>
      <c r="D143" s="1866"/>
      <c r="E143" s="1866"/>
      <c r="F143" s="1866"/>
      <c r="G143" s="1866"/>
      <c r="H143" s="1866"/>
      <c r="I143" s="1866"/>
      <c r="J143" s="1866"/>
      <c r="K143" s="1866"/>
      <c r="L143" s="1866"/>
      <c r="M143" s="1866"/>
      <c r="N143" s="1866"/>
      <c r="O143" s="1866"/>
      <c r="P143" s="1866"/>
      <c r="Q143" s="1866"/>
      <c r="R143" s="1866"/>
      <c r="S143" s="1866"/>
      <c r="T143" s="1866"/>
      <c r="U143" s="1866"/>
      <c r="V143" s="1866"/>
      <c r="W143" s="1866"/>
      <c r="X143" s="1866"/>
      <c r="Y143" s="1866"/>
      <c r="Z143" s="1866"/>
      <c r="AA143" s="1866"/>
      <c r="AB143" s="1866"/>
      <c r="AC143" s="1866"/>
      <c r="AD143" s="1866"/>
      <c r="AE143" s="1866"/>
      <c r="AF143" s="1866"/>
      <c r="AG143" s="1866"/>
      <c r="AH143" s="1866"/>
      <c r="AI143" s="1866"/>
      <c r="AJ143" s="1866"/>
      <c r="AK143" s="1866"/>
      <c r="AL143" s="1866"/>
      <c r="AM143" s="1866"/>
      <c r="AN143" s="1866"/>
      <c r="AO143" s="1866"/>
    </row>
    <row r="144" spans="1:41" ht="15" customHeight="1">
      <c r="A144" s="1866"/>
      <c r="B144" s="1866"/>
      <c r="C144" s="1866"/>
      <c r="D144" s="1866"/>
      <c r="E144" s="1866"/>
      <c r="F144" s="1866"/>
      <c r="G144" s="1866"/>
      <c r="H144" s="1866"/>
      <c r="I144" s="1866"/>
      <c r="J144" s="1866"/>
      <c r="K144" s="1866"/>
      <c r="L144" s="1866"/>
      <c r="M144" s="1866"/>
      <c r="N144" s="1866"/>
      <c r="O144" s="1866"/>
      <c r="P144" s="1866"/>
      <c r="Q144" s="1866"/>
      <c r="R144" s="1866"/>
      <c r="S144" s="1866"/>
      <c r="T144" s="1866"/>
      <c r="U144" s="1866"/>
      <c r="V144" s="1866"/>
      <c r="W144" s="1866"/>
      <c r="X144" s="1866"/>
      <c r="Y144" s="1866"/>
      <c r="Z144" s="1866"/>
      <c r="AA144" s="1866"/>
      <c r="AB144" s="1866"/>
      <c r="AC144" s="1866"/>
      <c r="AD144" s="1866"/>
      <c r="AE144" s="1866"/>
      <c r="AF144" s="1866"/>
      <c r="AG144" s="1866"/>
      <c r="AH144" s="1866"/>
      <c r="AI144" s="1866"/>
      <c r="AJ144" s="1866"/>
      <c r="AK144" s="1866"/>
      <c r="AL144" s="1866"/>
      <c r="AM144" s="1866"/>
      <c r="AN144" s="1866"/>
      <c r="AO144" s="1866"/>
    </row>
    <row r="145" spans="1:41" ht="15" customHeight="1">
      <c r="A145" s="1866"/>
      <c r="B145" s="1866"/>
      <c r="C145" s="1866"/>
      <c r="D145" s="1866"/>
      <c r="E145" s="1866"/>
      <c r="F145" s="1866"/>
      <c r="G145" s="1866"/>
      <c r="H145" s="1866"/>
      <c r="I145" s="1866"/>
      <c r="J145" s="1866"/>
      <c r="K145" s="1866"/>
      <c r="L145" s="1866"/>
      <c r="M145" s="1866"/>
      <c r="N145" s="1866"/>
      <c r="O145" s="1866"/>
      <c r="P145" s="1866"/>
      <c r="Q145" s="1866"/>
      <c r="R145" s="1866"/>
      <c r="S145" s="1866"/>
      <c r="T145" s="1866"/>
      <c r="U145" s="1866"/>
      <c r="V145" s="1866"/>
      <c r="W145" s="1866"/>
      <c r="X145" s="1866"/>
      <c r="Y145" s="1866"/>
      <c r="Z145" s="1866"/>
      <c r="AA145" s="1866"/>
      <c r="AB145" s="1866"/>
      <c r="AC145" s="1866"/>
      <c r="AD145" s="1866"/>
      <c r="AE145" s="1866"/>
      <c r="AF145" s="1866"/>
      <c r="AG145" s="1866"/>
      <c r="AH145" s="1866"/>
      <c r="AI145" s="1866"/>
      <c r="AJ145" s="1866"/>
      <c r="AK145" s="1866"/>
      <c r="AL145" s="1866"/>
      <c r="AM145" s="1866"/>
      <c r="AN145" s="1866"/>
      <c r="AO145" s="1866"/>
    </row>
    <row r="146" spans="1:41" ht="15" customHeight="1">
      <c r="A146" s="1866"/>
      <c r="B146" s="1866"/>
      <c r="C146" s="1866"/>
      <c r="D146" s="1866"/>
      <c r="E146" s="1866"/>
      <c r="F146" s="1866"/>
      <c r="G146" s="1866"/>
      <c r="H146" s="1866"/>
      <c r="I146" s="1866"/>
      <c r="J146" s="1866"/>
      <c r="K146" s="1866"/>
      <c r="L146" s="1866"/>
      <c r="M146" s="1866"/>
      <c r="N146" s="1866"/>
      <c r="O146" s="1866"/>
      <c r="P146" s="1866"/>
      <c r="Q146" s="1866"/>
      <c r="R146" s="1866"/>
      <c r="S146" s="1866"/>
      <c r="T146" s="1866"/>
      <c r="U146" s="1866"/>
      <c r="V146" s="1866"/>
      <c r="W146" s="1866"/>
      <c r="X146" s="1866"/>
      <c r="Y146" s="1866"/>
      <c r="Z146" s="1866"/>
      <c r="AA146" s="1866"/>
      <c r="AB146" s="1866"/>
      <c r="AC146" s="1866"/>
      <c r="AD146" s="1866"/>
      <c r="AE146" s="1866"/>
      <c r="AF146" s="1866"/>
      <c r="AG146" s="1866"/>
      <c r="AH146" s="1866"/>
      <c r="AI146" s="1866"/>
      <c r="AJ146" s="1866"/>
      <c r="AK146" s="1866"/>
      <c r="AL146" s="1866"/>
      <c r="AM146" s="1866"/>
      <c r="AN146" s="1866"/>
      <c r="AO146" s="1866"/>
    </row>
    <row r="147" spans="1:41" ht="15" customHeight="1">
      <c r="A147" s="1866"/>
      <c r="B147" s="1866"/>
      <c r="C147" s="1866"/>
      <c r="D147" s="1866"/>
      <c r="E147" s="1866"/>
      <c r="F147" s="1866"/>
      <c r="G147" s="1866"/>
      <c r="H147" s="1866"/>
      <c r="I147" s="1866"/>
      <c r="J147" s="1866"/>
      <c r="K147" s="1866"/>
      <c r="L147" s="1866"/>
      <c r="M147" s="1866"/>
      <c r="N147" s="1866"/>
      <c r="O147" s="1866"/>
      <c r="P147" s="1866"/>
      <c r="Q147" s="1866"/>
      <c r="R147" s="1866"/>
      <c r="S147" s="1866"/>
      <c r="T147" s="1866"/>
      <c r="U147" s="1866"/>
      <c r="V147" s="1866"/>
      <c r="W147" s="1866"/>
      <c r="X147" s="1866"/>
      <c r="Y147" s="1866"/>
      <c r="Z147" s="1866"/>
      <c r="AA147" s="1866"/>
      <c r="AB147" s="1866"/>
      <c r="AC147" s="1866"/>
      <c r="AD147" s="1866"/>
      <c r="AE147" s="1866"/>
      <c r="AF147" s="1866"/>
      <c r="AG147" s="1866"/>
      <c r="AH147" s="1866"/>
      <c r="AI147" s="1866"/>
      <c r="AJ147" s="1866"/>
      <c r="AK147" s="1866"/>
      <c r="AL147" s="1866"/>
      <c r="AM147" s="1866"/>
      <c r="AN147" s="1866"/>
      <c r="AO147" s="1866"/>
    </row>
    <row r="148" spans="1:41" ht="15" customHeight="1">
      <c r="A148" s="1866"/>
      <c r="B148" s="1866"/>
      <c r="C148" s="1866"/>
      <c r="D148" s="1866"/>
      <c r="E148" s="1866"/>
      <c r="F148" s="1866"/>
      <c r="G148" s="1866"/>
      <c r="H148" s="1866"/>
      <c r="I148" s="1866"/>
      <c r="J148" s="1866"/>
      <c r="K148" s="1866"/>
      <c r="L148" s="1866"/>
      <c r="M148" s="1866"/>
      <c r="N148" s="1866"/>
      <c r="O148" s="1866"/>
      <c r="P148" s="1866"/>
      <c r="Q148" s="1866"/>
      <c r="R148" s="1866"/>
      <c r="S148" s="1866"/>
      <c r="T148" s="1866"/>
      <c r="U148" s="1866"/>
      <c r="V148" s="1866"/>
      <c r="W148" s="1866"/>
      <c r="X148" s="1866"/>
      <c r="Y148" s="1866"/>
      <c r="Z148" s="1866"/>
      <c r="AA148" s="1866"/>
      <c r="AB148" s="1866"/>
      <c r="AC148" s="1866"/>
      <c r="AD148" s="1866"/>
      <c r="AE148" s="1866"/>
      <c r="AF148" s="1866"/>
      <c r="AG148" s="1866"/>
      <c r="AH148" s="1866"/>
      <c r="AI148" s="1866"/>
      <c r="AJ148" s="1866"/>
      <c r="AK148" s="1866"/>
      <c r="AL148" s="1866"/>
      <c r="AM148" s="1866"/>
      <c r="AN148" s="1866"/>
      <c r="AO148" s="1866"/>
    </row>
    <row r="149" spans="1:41" ht="15" customHeight="1">
      <c r="A149" s="1866"/>
      <c r="B149" s="1866"/>
      <c r="C149" s="1866"/>
      <c r="D149" s="1866"/>
      <c r="E149" s="1866"/>
      <c r="F149" s="1866"/>
      <c r="G149" s="1866"/>
      <c r="H149" s="1866"/>
      <c r="I149" s="1866"/>
      <c r="J149" s="1866"/>
      <c r="K149" s="1866"/>
      <c r="L149" s="1866"/>
      <c r="M149" s="1866"/>
      <c r="N149" s="1866"/>
      <c r="O149" s="1866"/>
      <c r="P149" s="1866"/>
      <c r="Q149" s="1866"/>
      <c r="R149" s="1866"/>
      <c r="S149" s="1866"/>
      <c r="T149" s="1866"/>
      <c r="U149" s="1866"/>
      <c r="V149" s="1866"/>
      <c r="W149" s="1866"/>
      <c r="X149" s="1866"/>
      <c r="Y149" s="1866"/>
      <c r="Z149" s="1866"/>
      <c r="AA149" s="1866"/>
      <c r="AB149" s="1866"/>
      <c r="AC149" s="1866"/>
      <c r="AD149" s="1866"/>
      <c r="AE149" s="1866"/>
      <c r="AF149" s="1866"/>
      <c r="AG149" s="1866"/>
      <c r="AH149" s="1866"/>
      <c r="AI149" s="1866"/>
      <c r="AJ149" s="1866"/>
      <c r="AK149" s="1866"/>
      <c r="AL149" s="1866"/>
      <c r="AM149" s="1866"/>
      <c r="AN149" s="1866"/>
      <c r="AO149" s="1866"/>
    </row>
    <row r="150" spans="1:41" ht="15" customHeight="1">
      <c r="A150" s="1866"/>
      <c r="B150" s="1866"/>
      <c r="C150" s="1866"/>
      <c r="D150" s="1866"/>
      <c r="E150" s="1866"/>
      <c r="F150" s="1866"/>
      <c r="G150" s="1866"/>
      <c r="H150" s="1866"/>
      <c r="I150" s="1866"/>
      <c r="J150" s="1866"/>
      <c r="K150" s="1866"/>
      <c r="L150" s="1866"/>
      <c r="M150" s="1866"/>
      <c r="N150" s="1866"/>
      <c r="O150" s="1866"/>
      <c r="P150" s="1866"/>
      <c r="Q150" s="1866"/>
      <c r="R150" s="1866"/>
      <c r="S150" s="1866"/>
      <c r="T150" s="1866"/>
      <c r="U150" s="1866"/>
      <c r="V150" s="1866"/>
      <c r="W150" s="1866"/>
      <c r="X150" s="1866"/>
      <c r="Y150" s="1866"/>
      <c r="Z150" s="1866"/>
      <c r="AA150" s="1866"/>
      <c r="AB150" s="1866"/>
      <c r="AC150" s="1866"/>
      <c r="AD150" s="1866"/>
      <c r="AE150" s="1866"/>
      <c r="AF150" s="1866"/>
      <c r="AG150" s="1866"/>
      <c r="AH150" s="1866"/>
      <c r="AI150" s="1866"/>
      <c r="AJ150" s="1866"/>
      <c r="AK150" s="1866"/>
      <c r="AL150" s="1866"/>
      <c r="AM150" s="1866"/>
      <c r="AN150" s="1866"/>
      <c r="AO150" s="1866"/>
    </row>
    <row r="151" spans="1:41" ht="15" customHeight="1">
      <c r="A151" s="1866"/>
      <c r="B151" s="1866"/>
      <c r="C151" s="1866"/>
      <c r="D151" s="1866"/>
      <c r="E151" s="1866"/>
      <c r="F151" s="1866"/>
      <c r="G151" s="1866"/>
      <c r="H151" s="1866"/>
      <c r="I151" s="1866"/>
      <c r="J151" s="1866"/>
      <c r="K151" s="1866"/>
      <c r="L151" s="1866"/>
      <c r="M151" s="1866"/>
      <c r="N151" s="1866"/>
      <c r="O151" s="1866"/>
      <c r="P151" s="1866"/>
      <c r="Q151" s="1866"/>
      <c r="R151" s="1866"/>
      <c r="S151" s="1866"/>
      <c r="T151" s="1866"/>
      <c r="U151" s="1866"/>
      <c r="V151" s="1866"/>
      <c r="W151" s="1866"/>
      <c r="X151" s="1866"/>
      <c r="Y151" s="1866"/>
      <c r="Z151" s="1866"/>
      <c r="AA151" s="1866"/>
      <c r="AB151" s="1866"/>
      <c r="AC151" s="1866"/>
      <c r="AD151" s="1866"/>
      <c r="AE151" s="1866"/>
      <c r="AF151" s="1866"/>
      <c r="AG151" s="1866"/>
      <c r="AH151" s="1866"/>
      <c r="AI151" s="1866"/>
      <c r="AJ151" s="1866"/>
      <c r="AK151" s="1866"/>
      <c r="AL151" s="1866"/>
      <c r="AM151" s="1866"/>
      <c r="AN151" s="1866"/>
      <c r="AO151" s="1866"/>
    </row>
    <row r="152" spans="1:41" ht="15" customHeight="1">
      <c r="A152" s="1866"/>
      <c r="B152" s="1866"/>
      <c r="C152" s="1866"/>
      <c r="D152" s="1866"/>
      <c r="E152" s="1866"/>
      <c r="F152" s="1866"/>
      <c r="G152" s="1866"/>
      <c r="H152" s="1866"/>
      <c r="I152" s="1866"/>
      <c r="J152" s="1866"/>
      <c r="K152" s="1866"/>
      <c r="L152" s="1866"/>
      <c r="M152" s="1866"/>
      <c r="N152" s="1866"/>
      <c r="O152" s="1866"/>
      <c r="P152" s="1866"/>
      <c r="Q152" s="1866"/>
      <c r="R152" s="1866"/>
      <c r="S152" s="1866"/>
      <c r="T152" s="1866"/>
      <c r="U152" s="1866"/>
      <c r="V152" s="1866"/>
      <c r="W152" s="1866"/>
      <c r="X152" s="1866"/>
      <c r="Y152" s="1866"/>
      <c r="Z152" s="1866"/>
      <c r="AA152" s="1866"/>
      <c r="AB152" s="1866"/>
      <c r="AC152" s="1866"/>
      <c r="AD152" s="1866"/>
      <c r="AE152" s="1866"/>
      <c r="AF152" s="1866"/>
      <c r="AG152" s="1866"/>
      <c r="AH152" s="1866"/>
      <c r="AI152" s="1866"/>
      <c r="AJ152" s="1866"/>
      <c r="AK152" s="1866"/>
      <c r="AL152" s="1866"/>
      <c r="AM152" s="1866"/>
      <c r="AN152" s="1866"/>
      <c r="AO152" s="1866"/>
    </row>
    <row r="153" spans="1:41" ht="15" customHeight="1">
      <c r="A153" s="1866"/>
      <c r="B153" s="1866"/>
      <c r="C153" s="1866"/>
      <c r="D153" s="1866"/>
      <c r="E153" s="1866"/>
      <c r="F153" s="1866"/>
      <c r="G153" s="1866"/>
      <c r="H153" s="1866"/>
      <c r="I153" s="1866"/>
      <c r="J153" s="1866"/>
      <c r="K153" s="1866"/>
      <c r="L153" s="1866"/>
      <c r="M153" s="1866"/>
      <c r="N153" s="1866"/>
      <c r="O153" s="1866"/>
      <c r="P153" s="1866"/>
      <c r="Q153" s="1866"/>
      <c r="R153" s="1866"/>
      <c r="S153" s="1866"/>
      <c r="T153" s="1866"/>
      <c r="U153" s="1866"/>
      <c r="V153" s="1866"/>
      <c r="W153" s="1866"/>
      <c r="X153" s="1866"/>
      <c r="Y153" s="1866"/>
      <c r="Z153" s="1866"/>
      <c r="AA153" s="1866"/>
      <c r="AB153" s="1866"/>
      <c r="AC153" s="1866"/>
      <c r="AD153" s="1866"/>
      <c r="AE153" s="1866"/>
      <c r="AF153" s="1866"/>
      <c r="AG153" s="1866"/>
      <c r="AH153" s="1866"/>
      <c r="AI153" s="1866"/>
      <c r="AJ153" s="1866"/>
      <c r="AK153" s="1866"/>
      <c r="AL153" s="1866"/>
      <c r="AM153" s="1866"/>
      <c r="AN153" s="1866"/>
      <c r="AO153" s="1866"/>
    </row>
    <row r="154" spans="1:41" ht="15" customHeight="1">
      <c r="A154" s="1866"/>
      <c r="B154" s="1866"/>
      <c r="C154" s="1866"/>
      <c r="D154" s="1866"/>
      <c r="E154" s="1866"/>
      <c r="F154" s="1866"/>
      <c r="G154" s="1866"/>
      <c r="H154" s="1866"/>
      <c r="I154" s="1866"/>
      <c r="J154" s="1866"/>
      <c r="K154" s="1866"/>
      <c r="L154" s="1866"/>
      <c r="M154" s="1866"/>
      <c r="N154" s="1866"/>
      <c r="O154" s="1866"/>
      <c r="P154" s="1866"/>
      <c r="Q154" s="1866"/>
      <c r="R154" s="1866"/>
      <c r="S154" s="1866"/>
      <c r="T154" s="1866"/>
      <c r="U154" s="1866"/>
      <c r="V154" s="1866"/>
      <c r="W154" s="1866"/>
      <c r="X154" s="1866"/>
      <c r="Y154" s="1866"/>
      <c r="Z154" s="1866"/>
      <c r="AA154" s="1866"/>
      <c r="AB154" s="1866"/>
      <c r="AC154" s="1866"/>
      <c r="AD154" s="1866"/>
      <c r="AE154" s="1866"/>
      <c r="AF154" s="1866"/>
      <c r="AG154" s="1866"/>
      <c r="AH154" s="1866"/>
      <c r="AI154" s="1866"/>
      <c r="AJ154" s="1866"/>
      <c r="AK154" s="1866"/>
      <c r="AL154" s="1866"/>
      <c r="AM154" s="1866"/>
      <c r="AN154" s="1866"/>
      <c r="AO154" s="1866"/>
    </row>
    <row r="155" spans="1:41" ht="15" customHeight="1">
      <c r="A155" s="1866"/>
      <c r="B155" s="1866"/>
      <c r="C155" s="1866"/>
      <c r="D155" s="1866"/>
      <c r="E155" s="1866"/>
      <c r="F155" s="1866"/>
      <c r="G155" s="1866"/>
      <c r="H155" s="1866"/>
      <c r="I155" s="1866"/>
      <c r="J155" s="1866"/>
      <c r="K155" s="1866"/>
      <c r="L155" s="1866"/>
      <c r="M155" s="1866"/>
      <c r="N155" s="1866"/>
      <c r="O155" s="1866"/>
      <c r="P155" s="1866"/>
      <c r="Q155" s="1866"/>
      <c r="R155" s="1866"/>
      <c r="S155" s="1866"/>
      <c r="T155" s="1866"/>
      <c r="U155" s="1866"/>
      <c r="V155" s="1866"/>
      <c r="W155" s="1866"/>
      <c r="X155" s="1866"/>
      <c r="Y155" s="1866"/>
      <c r="Z155" s="1866"/>
      <c r="AA155" s="1866"/>
      <c r="AB155" s="1866"/>
      <c r="AC155" s="1866"/>
      <c r="AD155" s="1866"/>
      <c r="AE155" s="1866"/>
      <c r="AF155" s="1866"/>
      <c r="AG155" s="1866"/>
      <c r="AH155" s="1866"/>
      <c r="AI155" s="1866"/>
      <c r="AJ155" s="1866"/>
      <c r="AK155" s="1866"/>
      <c r="AL155" s="1866"/>
      <c r="AM155" s="1866"/>
      <c r="AN155" s="1866"/>
      <c r="AO155" s="1866"/>
    </row>
    <row r="156" spans="1:41" ht="15" customHeight="1">
      <c r="A156" s="1866"/>
      <c r="B156" s="1866"/>
      <c r="C156" s="1866"/>
      <c r="D156" s="1866"/>
      <c r="E156" s="1866"/>
      <c r="F156" s="1866"/>
      <c r="G156" s="1866"/>
      <c r="H156" s="1866"/>
      <c r="I156" s="1866"/>
      <c r="J156" s="1866"/>
      <c r="K156" s="1866"/>
      <c r="L156" s="1866"/>
      <c r="M156" s="1866"/>
      <c r="N156" s="1866"/>
      <c r="O156" s="1866"/>
      <c r="P156" s="1866"/>
      <c r="Q156" s="1866"/>
      <c r="R156" s="1866"/>
      <c r="S156" s="1866"/>
      <c r="T156" s="1866"/>
      <c r="U156" s="1866"/>
      <c r="V156" s="1866"/>
      <c r="W156" s="1866"/>
      <c r="X156" s="1866"/>
      <c r="Y156" s="1866"/>
      <c r="Z156" s="1866"/>
      <c r="AA156" s="1866"/>
      <c r="AB156" s="1866"/>
      <c r="AC156" s="1866"/>
      <c r="AD156" s="1866"/>
      <c r="AE156" s="1866"/>
      <c r="AF156" s="1866"/>
      <c r="AG156" s="1866"/>
      <c r="AH156" s="1866"/>
      <c r="AI156" s="1866"/>
      <c r="AJ156" s="1866"/>
      <c r="AK156" s="1866"/>
      <c r="AL156" s="1866"/>
      <c r="AM156" s="1866"/>
      <c r="AN156" s="1866"/>
      <c r="AO156" s="1866"/>
    </row>
    <row r="157" spans="1:41" ht="15" customHeight="1">
      <c r="A157" s="1866"/>
      <c r="B157" s="1866"/>
      <c r="C157" s="1866"/>
      <c r="D157" s="1866"/>
      <c r="E157" s="1866"/>
      <c r="F157" s="1866"/>
      <c r="G157" s="1866"/>
      <c r="H157" s="1866"/>
      <c r="I157" s="1866"/>
      <c r="J157" s="1866"/>
      <c r="K157" s="1866"/>
      <c r="L157" s="1866"/>
      <c r="M157" s="1866"/>
      <c r="N157" s="1866"/>
      <c r="O157" s="1866"/>
      <c r="P157" s="1866"/>
      <c r="Q157" s="1866"/>
      <c r="R157" s="1866"/>
      <c r="S157" s="1866"/>
      <c r="T157" s="1866"/>
      <c r="U157" s="1866"/>
      <c r="V157" s="1866"/>
      <c r="W157" s="1866"/>
      <c r="X157" s="1866"/>
      <c r="Y157" s="1866"/>
      <c r="Z157" s="1866"/>
      <c r="AA157" s="1866"/>
      <c r="AB157" s="1866"/>
      <c r="AC157" s="1866"/>
      <c r="AD157" s="1866"/>
      <c r="AE157" s="1866"/>
      <c r="AF157" s="1866"/>
      <c r="AG157" s="1866"/>
      <c r="AH157" s="1866"/>
      <c r="AI157" s="1866"/>
      <c r="AJ157" s="1866"/>
      <c r="AK157" s="1866"/>
      <c r="AL157" s="1866"/>
      <c r="AM157" s="1866"/>
      <c r="AN157" s="1866"/>
      <c r="AO157" s="1866"/>
    </row>
    <row r="158" spans="1:41" ht="15" customHeight="1">
      <c r="A158" s="1866"/>
      <c r="B158" s="1866"/>
      <c r="C158" s="1866"/>
      <c r="D158" s="1866"/>
      <c r="E158" s="1866"/>
      <c r="F158" s="1866"/>
      <c r="G158" s="1866"/>
      <c r="H158" s="1866"/>
      <c r="I158" s="1866"/>
      <c r="J158" s="1866"/>
      <c r="K158" s="1866"/>
      <c r="L158" s="1866"/>
      <c r="M158" s="1866"/>
      <c r="N158" s="1866"/>
      <c r="O158" s="1866"/>
      <c r="P158" s="1866"/>
      <c r="Q158" s="1866"/>
      <c r="R158" s="1866"/>
      <c r="S158" s="1866"/>
      <c r="T158" s="1866"/>
      <c r="U158" s="1866"/>
      <c r="V158" s="1866"/>
      <c r="W158" s="1866"/>
      <c r="X158" s="1866"/>
      <c r="Y158" s="1866"/>
      <c r="Z158" s="1866"/>
      <c r="AA158" s="1866"/>
      <c r="AB158" s="1866"/>
      <c r="AC158" s="1866"/>
      <c r="AD158" s="1866"/>
      <c r="AE158" s="1866"/>
      <c r="AF158" s="1866"/>
      <c r="AG158" s="1866"/>
      <c r="AH158" s="1866"/>
      <c r="AI158" s="1866"/>
      <c r="AJ158" s="1866"/>
      <c r="AK158" s="1866"/>
      <c r="AL158" s="1866"/>
      <c r="AM158" s="1866"/>
      <c r="AN158" s="1866"/>
      <c r="AO158" s="1866"/>
    </row>
    <row r="159" spans="1:41" ht="15" customHeight="1">
      <c r="A159" s="1866"/>
      <c r="B159" s="1866"/>
      <c r="C159" s="1866"/>
      <c r="D159" s="1866"/>
      <c r="E159" s="1866"/>
      <c r="F159" s="1866"/>
      <c r="G159" s="1866"/>
      <c r="H159" s="1866"/>
      <c r="I159" s="1866"/>
      <c r="J159" s="1866"/>
      <c r="K159" s="1866"/>
      <c r="L159" s="1866"/>
      <c r="M159" s="1866"/>
      <c r="N159" s="1866"/>
      <c r="O159" s="1866"/>
      <c r="P159" s="1866"/>
      <c r="Q159" s="1866"/>
      <c r="R159" s="1866"/>
      <c r="S159" s="1866"/>
      <c r="T159" s="1866"/>
      <c r="U159" s="1866"/>
      <c r="V159" s="1866"/>
      <c r="W159" s="1866"/>
      <c r="X159" s="1866"/>
      <c r="Y159" s="1866"/>
      <c r="Z159" s="1866"/>
      <c r="AA159" s="1866"/>
      <c r="AB159" s="1866"/>
      <c r="AC159" s="1866"/>
      <c r="AD159" s="1866"/>
      <c r="AE159" s="1866"/>
      <c r="AF159" s="1866"/>
      <c r="AG159" s="1866"/>
      <c r="AH159" s="1866"/>
      <c r="AI159" s="1866"/>
      <c r="AJ159" s="1866"/>
      <c r="AK159" s="1866"/>
      <c r="AL159" s="1866"/>
      <c r="AM159" s="1866"/>
      <c r="AN159" s="1866"/>
      <c r="AO159" s="1866"/>
    </row>
    <row r="160" spans="1:41" ht="15" customHeight="1">
      <c r="A160" s="1866"/>
      <c r="B160" s="1866"/>
      <c r="C160" s="1866"/>
      <c r="D160" s="1866"/>
      <c r="E160" s="1866"/>
      <c r="F160" s="1866"/>
      <c r="G160" s="1866"/>
      <c r="H160" s="1866"/>
      <c r="I160" s="1866"/>
      <c r="J160" s="1866"/>
      <c r="K160" s="1866"/>
      <c r="L160" s="1866"/>
      <c r="M160" s="1866"/>
      <c r="N160" s="1866"/>
      <c r="O160" s="1866"/>
      <c r="P160" s="1866"/>
      <c r="Q160" s="1866"/>
      <c r="R160" s="1866"/>
      <c r="S160" s="1866"/>
      <c r="T160" s="1866"/>
      <c r="U160" s="1866"/>
      <c r="V160" s="1866"/>
      <c r="W160" s="1866"/>
      <c r="X160" s="1866"/>
      <c r="Y160" s="1866"/>
      <c r="Z160" s="1866"/>
      <c r="AA160" s="1866"/>
      <c r="AB160" s="1866"/>
      <c r="AC160" s="1866"/>
      <c r="AD160" s="1866"/>
      <c r="AE160" s="1866"/>
      <c r="AF160" s="1866"/>
      <c r="AG160" s="1866"/>
      <c r="AH160" s="1866"/>
      <c r="AI160" s="1866"/>
      <c r="AJ160" s="1866"/>
      <c r="AK160" s="1866"/>
      <c r="AL160" s="1866"/>
      <c r="AM160" s="1866"/>
      <c r="AN160" s="1866"/>
      <c r="AO160" s="1866"/>
    </row>
    <row r="161" spans="1:41" ht="15" customHeight="1">
      <c r="A161" s="1866"/>
      <c r="B161" s="1866"/>
      <c r="C161" s="1866"/>
      <c r="D161" s="1866"/>
      <c r="E161" s="1866"/>
      <c r="F161" s="1866"/>
      <c r="G161" s="1866"/>
      <c r="H161" s="1866"/>
      <c r="I161" s="1866"/>
      <c r="J161" s="1866"/>
      <c r="K161" s="1866"/>
      <c r="L161" s="1866"/>
      <c r="M161" s="1866"/>
      <c r="N161" s="1866"/>
      <c r="O161" s="1866"/>
      <c r="P161" s="1866"/>
      <c r="Q161" s="1866"/>
      <c r="R161" s="1866"/>
      <c r="S161" s="1866"/>
      <c r="T161" s="1866"/>
      <c r="U161" s="1866"/>
      <c r="V161" s="1866"/>
      <c r="W161" s="1866"/>
      <c r="X161" s="1866"/>
      <c r="Y161" s="1866"/>
      <c r="Z161" s="1866"/>
      <c r="AA161" s="1866"/>
      <c r="AB161" s="1866"/>
      <c r="AC161" s="1866"/>
      <c r="AD161" s="1866"/>
      <c r="AE161" s="1866"/>
      <c r="AF161" s="1866"/>
      <c r="AG161" s="1866"/>
      <c r="AH161" s="1866"/>
      <c r="AI161" s="1866"/>
      <c r="AJ161" s="1866"/>
      <c r="AK161" s="1866"/>
      <c r="AL161" s="1866"/>
      <c r="AM161" s="1866"/>
      <c r="AN161" s="1866"/>
      <c r="AO161" s="1866"/>
    </row>
    <row r="162" spans="1:41" ht="15" customHeight="1">
      <c r="A162" s="1866"/>
      <c r="B162" s="1866"/>
      <c r="C162" s="1866"/>
      <c r="D162" s="1866"/>
      <c r="E162" s="1866"/>
      <c r="F162" s="1866"/>
      <c r="G162" s="1866"/>
      <c r="H162" s="1866"/>
      <c r="I162" s="1866"/>
      <c r="J162" s="1866"/>
      <c r="K162" s="1866"/>
      <c r="L162" s="1866"/>
      <c r="M162" s="1866"/>
      <c r="N162" s="1866"/>
      <c r="O162" s="1866"/>
      <c r="P162" s="1866"/>
      <c r="Q162" s="1866"/>
      <c r="R162" s="1866"/>
      <c r="S162" s="1866"/>
      <c r="T162" s="1866"/>
      <c r="U162" s="1866"/>
      <c r="V162" s="1866"/>
      <c r="W162" s="1866"/>
      <c r="X162" s="1866"/>
      <c r="Y162" s="1866"/>
      <c r="Z162" s="1866"/>
      <c r="AA162" s="1866"/>
      <c r="AB162" s="1866"/>
      <c r="AC162" s="1866"/>
      <c r="AD162" s="1866"/>
      <c r="AE162" s="1866"/>
      <c r="AF162" s="1866"/>
      <c r="AG162" s="1866"/>
      <c r="AH162" s="1866"/>
      <c r="AI162" s="1866"/>
      <c r="AJ162" s="1866"/>
      <c r="AK162" s="1866"/>
      <c r="AL162" s="1866"/>
      <c r="AM162" s="1866"/>
      <c r="AN162" s="1866"/>
      <c r="AO162" s="1866"/>
    </row>
    <row r="163" spans="1:41" ht="15" customHeight="1">
      <c r="A163" s="1866"/>
      <c r="B163" s="1866"/>
      <c r="C163" s="1866"/>
      <c r="D163" s="1866"/>
      <c r="E163" s="1866"/>
      <c r="F163" s="1866"/>
      <c r="G163" s="1866"/>
      <c r="H163" s="1866"/>
      <c r="I163" s="1866"/>
      <c r="J163" s="1866"/>
      <c r="K163" s="1866"/>
      <c r="L163" s="1866"/>
      <c r="M163" s="1866"/>
      <c r="N163" s="1866"/>
      <c r="O163" s="1866"/>
      <c r="P163" s="1866"/>
      <c r="Q163" s="1866"/>
      <c r="R163" s="1866"/>
      <c r="S163" s="1866"/>
      <c r="T163" s="1866"/>
      <c r="U163" s="1866"/>
      <c r="V163" s="1866"/>
      <c r="W163" s="1866"/>
      <c r="X163" s="1866"/>
      <c r="Y163" s="1866"/>
      <c r="Z163" s="1866"/>
      <c r="AA163" s="1866"/>
      <c r="AB163" s="1866"/>
      <c r="AC163" s="1866"/>
      <c r="AD163" s="1866"/>
      <c r="AE163" s="1866"/>
      <c r="AF163" s="1866"/>
      <c r="AG163" s="1866"/>
      <c r="AH163" s="1866"/>
      <c r="AI163" s="1866"/>
      <c r="AJ163" s="1866"/>
      <c r="AK163" s="1866"/>
      <c r="AL163" s="1866"/>
      <c r="AM163" s="1866"/>
      <c r="AN163" s="1866"/>
      <c r="AO163" s="1866"/>
    </row>
    <row r="164" spans="1:41" ht="15" customHeight="1">
      <c r="A164" s="1866"/>
      <c r="B164" s="1866"/>
      <c r="C164" s="1866"/>
      <c r="D164" s="1866"/>
      <c r="E164" s="1866"/>
      <c r="F164" s="1866"/>
      <c r="G164" s="1866"/>
      <c r="H164" s="1866"/>
      <c r="I164" s="1866"/>
      <c r="J164" s="1866"/>
      <c r="K164" s="1866"/>
      <c r="L164" s="1866"/>
      <c r="M164" s="1866"/>
      <c r="N164" s="1866"/>
      <c r="O164" s="1866"/>
      <c r="P164" s="1866"/>
      <c r="Q164" s="1866"/>
      <c r="R164" s="1866"/>
      <c r="S164" s="1866"/>
      <c r="T164" s="1866"/>
      <c r="U164" s="1866"/>
      <c r="V164" s="1866"/>
      <c r="W164" s="1866"/>
      <c r="X164" s="1866"/>
      <c r="Y164" s="1866"/>
      <c r="Z164" s="1866"/>
      <c r="AA164" s="1866"/>
      <c r="AB164" s="1866"/>
      <c r="AC164" s="1866"/>
      <c r="AD164" s="1866"/>
      <c r="AE164" s="1866"/>
      <c r="AF164" s="1866"/>
      <c r="AG164" s="1866"/>
      <c r="AH164" s="1866"/>
      <c r="AI164" s="1866"/>
      <c r="AJ164" s="1866"/>
      <c r="AK164" s="1866"/>
      <c r="AL164" s="1866"/>
      <c r="AM164" s="1866"/>
      <c r="AN164" s="1866"/>
      <c r="AO164" s="1866"/>
    </row>
    <row r="165" spans="1:41" ht="15" customHeight="1">
      <c r="A165" s="1866"/>
      <c r="B165" s="1866"/>
      <c r="C165" s="1866"/>
      <c r="D165" s="1866"/>
      <c r="E165" s="1866"/>
      <c r="F165" s="1866"/>
      <c r="G165" s="1866"/>
      <c r="H165" s="1866"/>
      <c r="I165" s="1866"/>
      <c r="J165" s="1866"/>
      <c r="K165" s="1866"/>
      <c r="L165" s="1866"/>
      <c r="M165" s="1866"/>
      <c r="N165" s="1866"/>
      <c r="O165" s="1866"/>
      <c r="P165" s="1866"/>
      <c r="Q165" s="1866"/>
      <c r="R165" s="1866"/>
      <c r="S165" s="1866"/>
      <c r="T165" s="1866"/>
      <c r="U165" s="1866"/>
      <c r="V165" s="1866"/>
      <c r="W165" s="1866"/>
      <c r="X165" s="1866"/>
      <c r="Y165" s="1866"/>
      <c r="Z165" s="1866"/>
      <c r="AA165" s="1866"/>
      <c r="AB165" s="1866"/>
      <c r="AC165" s="1866"/>
      <c r="AD165" s="1866"/>
      <c r="AE165" s="1866"/>
      <c r="AF165" s="1866"/>
      <c r="AG165" s="1866"/>
      <c r="AH165" s="1866"/>
      <c r="AI165" s="1866"/>
      <c r="AJ165" s="1866"/>
      <c r="AK165" s="1866"/>
      <c r="AL165" s="1866"/>
      <c r="AM165" s="1866"/>
      <c r="AN165" s="1866"/>
      <c r="AO165" s="1866"/>
    </row>
    <row r="166" spans="1:41" ht="15" customHeight="1">
      <c r="A166" s="1866"/>
      <c r="B166" s="1866"/>
      <c r="C166" s="1866"/>
      <c r="D166" s="1866"/>
      <c r="E166" s="1866"/>
      <c r="F166" s="1866"/>
      <c r="G166" s="1866"/>
      <c r="H166" s="1866"/>
      <c r="I166" s="1866"/>
      <c r="J166" s="1866"/>
      <c r="K166" s="1866"/>
      <c r="L166" s="1866"/>
      <c r="M166" s="1866"/>
      <c r="N166" s="1866"/>
      <c r="O166" s="1866"/>
      <c r="P166" s="1866"/>
      <c r="Q166" s="1866"/>
      <c r="R166" s="1866"/>
      <c r="S166" s="1866"/>
      <c r="T166" s="1866"/>
      <c r="U166" s="1866"/>
      <c r="V166" s="1866"/>
      <c r="W166" s="1866"/>
      <c r="X166" s="1866"/>
      <c r="Y166" s="1866"/>
      <c r="Z166" s="1866"/>
      <c r="AA166" s="1866"/>
      <c r="AB166" s="1866"/>
      <c r="AC166" s="1866"/>
      <c r="AD166" s="1866"/>
      <c r="AE166" s="1866"/>
      <c r="AF166" s="1866"/>
      <c r="AG166" s="1866"/>
      <c r="AH166" s="1866"/>
      <c r="AI166" s="1866"/>
      <c r="AJ166" s="1866"/>
      <c r="AK166" s="1866"/>
      <c r="AL166" s="1866"/>
      <c r="AM166" s="1866"/>
      <c r="AN166" s="1866"/>
      <c r="AO166" s="1866"/>
    </row>
    <row r="167" spans="1:41" ht="15" customHeight="1">
      <c r="A167" s="1866"/>
      <c r="B167" s="1866"/>
      <c r="C167" s="1866"/>
      <c r="D167" s="1866"/>
      <c r="E167" s="1866"/>
      <c r="F167" s="1866"/>
      <c r="G167" s="1866"/>
      <c r="H167" s="1866"/>
      <c r="I167" s="1866"/>
      <c r="J167" s="1866"/>
      <c r="K167" s="1866"/>
      <c r="L167" s="1866"/>
      <c r="M167" s="1866"/>
      <c r="N167" s="1866"/>
      <c r="O167" s="1866"/>
      <c r="P167" s="1866"/>
      <c r="Q167" s="1866"/>
      <c r="R167" s="1866"/>
      <c r="S167" s="1866"/>
      <c r="T167" s="1866"/>
      <c r="U167" s="1866"/>
      <c r="V167" s="1866"/>
      <c r="W167" s="1866"/>
      <c r="X167" s="1866"/>
      <c r="Y167" s="1866"/>
      <c r="Z167" s="1866"/>
      <c r="AA167" s="1866"/>
      <c r="AB167" s="1866"/>
      <c r="AC167" s="1866"/>
      <c r="AD167" s="1866"/>
      <c r="AE167" s="1866"/>
      <c r="AF167" s="1866"/>
      <c r="AG167" s="1866"/>
      <c r="AH167" s="1866"/>
      <c r="AI167" s="1866"/>
      <c r="AJ167" s="1866"/>
      <c r="AK167" s="1866"/>
      <c r="AL167" s="1866"/>
      <c r="AM167" s="1866"/>
      <c r="AN167" s="1866"/>
      <c r="AO167" s="1866"/>
    </row>
    <row r="168" spans="1:41" ht="15" customHeight="1">
      <c r="A168" s="1866"/>
      <c r="B168" s="1866"/>
      <c r="C168" s="1866"/>
      <c r="D168" s="1866"/>
      <c r="E168" s="1866"/>
      <c r="F168" s="1866"/>
      <c r="G168" s="1866"/>
      <c r="H168" s="1866"/>
      <c r="I168" s="1866"/>
      <c r="J168" s="1866"/>
      <c r="K168" s="1866"/>
      <c r="L168" s="1866"/>
      <c r="M168" s="1866"/>
      <c r="N168" s="1866"/>
      <c r="O168" s="1866"/>
      <c r="P168" s="1866"/>
      <c r="Q168" s="1866"/>
      <c r="R168" s="1866"/>
      <c r="S168" s="1866"/>
      <c r="T168" s="1866"/>
      <c r="U168" s="1866"/>
      <c r="V168" s="1866"/>
      <c r="W168" s="1866"/>
      <c r="X168" s="1866"/>
      <c r="Y168" s="1866"/>
      <c r="Z168" s="1866"/>
      <c r="AA168" s="1866"/>
      <c r="AB168" s="1866"/>
      <c r="AC168" s="1866"/>
      <c r="AD168" s="1866"/>
      <c r="AE168" s="1866"/>
      <c r="AF168" s="1866"/>
      <c r="AG168" s="1866"/>
      <c r="AH168" s="1866"/>
      <c r="AI168" s="1866"/>
      <c r="AJ168" s="1866"/>
      <c r="AK168" s="1866"/>
      <c r="AL168" s="1866"/>
      <c r="AM168" s="1866"/>
      <c r="AN168" s="1866"/>
      <c r="AO168" s="1866"/>
    </row>
    <row r="169" spans="1:41" ht="15" customHeight="1">
      <c r="A169" s="1866"/>
      <c r="B169" s="1866"/>
      <c r="C169" s="1866"/>
      <c r="D169" s="1866"/>
      <c r="E169" s="1866"/>
      <c r="F169" s="1866"/>
      <c r="G169" s="1866"/>
      <c r="H169" s="1866"/>
      <c r="I169" s="1866"/>
      <c r="J169" s="1866"/>
      <c r="K169" s="1866"/>
      <c r="L169" s="1866"/>
      <c r="M169" s="1866"/>
      <c r="N169" s="1866"/>
      <c r="O169" s="1866"/>
      <c r="P169" s="1866"/>
      <c r="Q169" s="1866"/>
      <c r="R169" s="1866"/>
      <c r="S169" s="1866"/>
      <c r="T169" s="1866"/>
      <c r="U169" s="1866"/>
      <c r="V169" s="1866"/>
      <c r="W169" s="1866"/>
      <c r="X169" s="1866"/>
      <c r="Y169" s="1866"/>
      <c r="Z169" s="1866"/>
      <c r="AA169" s="1866"/>
      <c r="AB169" s="1866"/>
      <c r="AC169" s="1866"/>
      <c r="AD169" s="1866"/>
      <c r="AE169" s="1866"/>
      <c r="AF169" s="1866"/>
      <c r="AG169" s="1866"/>
      <c r="AH169" s="1866"/>
      <c r="AI169" s="1866"/>
      <c r="AJ169" s="1866"/>
      <c r="AK169" s="1866"/>
      <c r="AL169" s="1866"/>
      <c r="AM169" s="1866"/>
      <c r="AN169" s="1866"/>
      <c r="AO169" s="1866"/>
    </row>
    <row r="170" spans="1:41" ht="15" customHeight="1">
      <c r="A170" s="1866"/>
      <c r="B170" s="1866"/>
      <c r="C170" s="1866"/>
      <c r="D170" s="1866"/>
      <c r="E170" s="1866"/>
      <c r="F170" s="1866"/>
      <c r="G170" s="1866"/>
      <c r="H170" s="1866"/>
      <c r="I170" s="1866"/>
      <c r="J170" s="1866"/>
      <c r="K170" s="1866"/>
      <c r="L170" s="1866"/>
      <c r="M170" s="1866"/>
      <c r="N170" s="1866"/>
      <c r="O170" s="1866"/>
      <c r="P170" s="1866"/>
      <c r="Q170" s="1866"/>
      <c r="R170" s="1866"/>
      <c r="S170" s="1866"/>
      <c r="T170" s="1866"/>
      <c r="U170" s="1866"/>
      <c r="V170" s="1866"/>
      <c r="W170" s="1866"/>
      <c r="X170" s="1866"/>
      <c r="Y170" s="1866"/>
      <c r="Z170" s="1866"/>
      <c r="AA170" s="1866"/>
      <c r="AB170" s="1866"/>
      <c r="AC170" s="1866"/>
      <c r="AD170" s="1866"/>
      <c r="AE170" s="1866"/>
      <c r="AF170" s="1866"/>
      <c r="AG170" s="1866"/>
      <c r="AH170" s="1866"/>
      <c r="AI170" s="1866"/>
      <c r="AJ170" s="1866"/>
      <c r="AK170" s="1866"/>
      <c r="AL170" s="1866"/>
      <c r="AM170" s="1866"/>
      <c r="AN170" s="1866"/>
      <c r="AO170" s="1866"/>
    </row>
    <row r="171" spans="1:41" ht="15" customHeight="1">
      <c r="A171" s="1866"/>
      <c r="B171" s="1866"/>
      <c r="C171" s="1866"/>
      <c r="D171" s="1866"/>
      <c r="E171" s="1866"/>
      <c r="F171" s="1866"/>
      <c r="G171" s="1866"/>
      <c r="H171" s="1866"/>
      <c r="I171" s="1866"/>
      <c r="J171" s="1866"/>
      <c r="K171" s="1866"/>
      <c r="L171" s="1866"/>
      <c r="M171" s="1866"/>
      <c r="N171" s="1866"/>
      <c r="O171" s="1866"/>
      <c r="P171" s="1866"/>
      <c r="Q171" s="1866"/>
      <c r="R171" s="1866"/>
      <c r="S171" s="1866"/>
      <c r="T171" s="1866"/>
      <c r="U171" s="1866"/>
      <c r="V171" s="1866"/>
      <c r="W171" s="1866"/>
      <c r="X171" s="1866"/>
      <c r="Y171" s="1866"/>
      <c r="Z171" s="1866"/>
      <c r="AA171" s="1866"/>
      <c r="AB171" s="1866"/>
      <c r="AC171" s="1866"/>
      <c r="AD171" s="1866"/>
      <c r="AE171" s="1866"/>
      <c r="AF171" s="1866"/>
      <c r="AG171" s="1866"/>
      <c r="AH171" s="1866"/>
      <c r="AI171" s="1866"/>
      <c r="AJ171" s="1866"/>
      <c r="AK171" s="1866"/>
      <c r="AL171" s="1866"/>
      <c r="AM171" s="1866"/>
      <c r="AN171" s="1866"/>
      <c r="AO171" s="1866"/>
    </row>
    <row r="172" spans="1:41" ht="15" customHeight="1">
      <c r="A172" s="1866"/>
      <c r="B172" s="1866"/>
      <c r="C172" s="1866"/>
      <c r="D172" s="1866"/>
      <c r="E172" s="1866"/>
      <c r="F172" s="1866"/>
      <c r="G172" s="1866"/>
      <c r="H172" s="1866"/>
      <c r="I172" s="1866"/>
      <c r="J172" s="1866"/>
      <c r="K172" s="1866"/>
      <c r="L172" s="1866"/>
      <c r="M172" s="1866"/>
      <c r="N172" s="1866"/>
      <c r="O172" s="1866"/>
      <c r="P172" s="1866"/>
      <c r="Q172" s="1866"/>
      <c r="R172" s="1866"/>
      <c r="S172" s="1866"/>
      <c r="T172" s="1866"/>
      <c r="U172" s="1866"/>
      <c r="V172" s="1866"/>
      <c r="W172" s="1866"/>
      <c r="X172" s="1866"/>
      <c r="Y172" s="1866"/>
      <c r="Z172" s="1866"/>
      <c r="AA172" s="1866"/>
      <c r="AB172" s="1866"/>
      <c r="AC172" s="1866"/>
      <c r="AD172" s="1866"/>
      <c r="AE172" s="1866"/>
      <c r="AF172" s="1866"/>
      <c r="AG172" s="1866"/>
      <c r="AH172" s="1866"/>
      <c r="AI172" s="1866"/>
      <c r="AJ172" s="1866"/>
      <c r="AK172" s="1866"/>
      <c r="AL172" s="1866"/>
      <c r="AM172" s="1866"/>
      <c r="AN172" s="1866"/>
      <c r="AO172" s="1866"/>
    </row>
    <row r="173" spans="1:41" ht="15" customHeight="1">
      <c r="A173" s="1866"/>
      <c r="B173" s="1866"/>
      <c r="C173" s="1866"/>
      <c r="D173" s="1866"/>
      <c r="E173" s="1866"/>
      <c r="F173" s="1866"/>
      <c r="G173" s="1866"/>
      <c r="H173" s="1866"/>
      <c r="I173" s="1866"/>
      <c r="J173" s="1866"/>
      <c r="K173" s="1866"/>
      <c r="L173" s="1866"/>
      <c r="M173" s="1866"/>
      <c r="N173" s="1866"/>
      <c r="O173" s="1866"/>
      <c r="P173" s="1866"/>
      <c r="Q173" s="1866"/>
      <c r="R173" s="1866"/>
      <c r="S173" s="1866"/>
      <c r="T173" s="1866"/>
      <c r="U173" s="1866"/>
      <c r="V173" s="1866"/>
      <c r="W173" s="1866"/>
      <c r="X173" s="1866"/>
      <c r="Y173" s="1866"/>
      <c r="Z173" s="1866"/>
      <c r="AA173" s="1866"/>
      <c r="AB173" s="1866"/>
      <c r="AC173" s="1866"/>
      <c r="AD173" s="1866"/>
      <c r="AE173" s="1866"/>
      <c r="AF173" s="1866"/>
      <c r="AG173" s="1866"/>
      <c r="AH173" s="1866"/>
      <c r="AI173" s="1866"/>
      <c r="AJ173" s="1866"/>
      <c r="AK173" s="1866"/>
      <c r="AL173" s="1866"/>
      <c r="AM173" s="1866"/>
      <c r="AN173" s="1866"/>
      <c r="AO173" s="1866"/>
    </row>
    <row r="174" spans="1:41" ht="15" customHeight="1">
      <c r="A174" s="1866"/>
      <c r="B174" s="1866"/>
      <c r="C174" s="1866"/>
      <c r="D174" s="1866"/>
      <c r="E174" s="1866"/>
      <c r="F174" s="1866"/>
      <c r="G174" s="1866"/>
      <c r="H174" s="1866"/>
      <c r="I174" s="1866"/>
      <c r="J174" s="1866"/>
      <c r="K174" s="1866"/>
      <c r="L174" s="1866"/>
      <c r="M174" s="1866"/>
      <c r="N174" s="1866"/>
      <c r="O174" s="1866"/>
      <c r="P174" s="1866"/>
      <c r="Q174" s="1866"/>
      <c r="R174" s="1866"/>
      <c r="S174" s="1866"/>
      <c r="T174" s="1866"/>
      <c r="U174" s="1866"/>
      <c r="V174" s="1866"/>
      <c r="W174" s="1866"/>
      <c r="X174" s="1866"/>
      <c r="Y174" s="1866"/>
      <c r="Z174" s="1866"/>
      <c r="AA174" s="1866"/>
      <c r="AB174" s="1866"/>
      <c r="AC174" s="1866"/>
      <c r="AD174" s="1866"/>
      <c r="AE174" s="1866"/>
      <c r="AF174" s="1866"/>
      <c r="AG174" s="1866"/>
      <c r="AH174" s="1866"/>
      <c r="AI174" s="1866"/>
      <c r="AJ174" s="1866"/>
      <c r="AK174" s="1866"/>
      <c r="AL174" s="1866"/>
      <c r="AM174" s="1866"/>
      <c r="AN174" s="1866"/>
      <c r="AO174" s="1866"/>
    </row>
    <row r="175" spans="1:41" ht="15" customHeight="1">
      <c r="A175" s="1866"/>
      <c r="B175" s="1866"/>
      <c r="C175" s="1866"/>
      <c r="D175" s="1866"/>
      <c r="E175" s="1866"/>
      <c r="F175" s="1866"/>
      <c r="G175" s="1866"/>
      <c r="H175" s="1866"/>
      <c r="I175" s="1866"/>
      <c r="J175" s="1866"/>
      <c r="K175" s="1866"/>
      <c r="L175" s="1866"/>
      <c r="M175" s="1866"/>
      <c r="N175" s="1866"/>
      <c r="O175" s="1866"/>
      <c r="P175" s="1866"/>
      <c r="Q175" s="1866"/>
      <c r="R175" s="1866"/>
      <c r="S175" s="1866"/>
      <c r="T175" s="1866"/>
      <c r="U175" s="1866"/>
      <c r="V175" s="1866"/>
      <c r="W175" s="1866"/>
      <c r="X175" s="1866"/>
      <c r="Y175" s="1866"/>
      <c r="Z175" s="1866"/>
      <c r="AA175" s="1866"/>
      <c r="AB175" s="1866"/>
      <c r="AC175" s="1866"/>
      <c r="AD175" s="1866"/>
      <c r="AE175" s="1866"/>
      <c r="AF175" s="1866"/>
      <c r="AG175" s="1866"/>
      <c r="AH175" s="1866"/>
      <c r="AI175" s="1866"/>
      <c r="AJ175" s="1866"/>
      <c r="AK175" s="1866"/>
      <c r="AL175" s="1866"/>
      <c r="AM175" s="1866"/>
      <c r="AN175" s="1866"/>
      <c r="AO175" s="1866"/>
    </row>
    <row r="176" spans="1:41" ht="15" customHeight="1">
      <c r="A176" s="1866"/>
      <c r="B176" s="1866"/>
      <c r="C176" s="1866"/>
      <c r="D176" s="1866"/>
      <c r="E176" s="1866"/>
      <c r="F176" s="1866"/>
      <c r="G176" s="1866"/>
      <c r="H176" s="1866"/>
      <c r="I176" s="1866"/>
      <c r="J176" s="1866"/>
      <c r="K176" s="1866"/>
      <c r="L176" s="1866"/>
      <c r="M176" s="1866"/>
      <c r="N176" s="1866"/>
      <c r="O176" s="1866"/>
      <c r="P176" s="1866"/>
      <c r="Q176" s="1866"/>
      <c r="R176" s="1866"/>
      <c r="S176" s="1866"/>
      <c r="T176" s="1866"/>
      <c r="U176" s="1866"/>
      <c r="V176" s="1866"/>
      <c r="W176" s="1866"/>
      <c r="X176" s="1866"/>
      <c r="Y176" s="1866"/>
      <c r="Z176" s="1866"/>
      <c r="AA176" s="1866"/>
      <c r="AB176" s="1866"/>
      <c r="AC176" s="1866"/>
      <c r="AD176" s="1866"/>
      <c r="AE176" s="1866"/>
      <c r="AF176" s="1866"/>
      <c r="AG176" s="1866"/>
      <c r="AH176" s="1866"/>
      <c r="AI176" s="1866"/>
      <c r="AJ176" s="1866"/>
      <c r="AK176" s="1866"/>
      <c r="AL176" s="1866"/>
      <c r="AM176" s="1866"/>
      <c r="AN176" s="1866"/>
      <c r="AO176" s="1866"/>
    </row>
    <row r="177" spans="1:41" ht="15" customHeight="1">
      <c r="A177" s="1866"/>
      <c r="B177" s="1866"/>
      <c r="C177" s="1866"/>
      <c r="D177" s="1866"/>
      <c r="E177" s="1866"/>
      <c r="F177" s="1866"/>
      <c r="G177" s="1866"/>
      <c r="H177" s="1866"/>
      <c r="I177" s="1866"/>
      <c r="J177" s="1866"/>
      <c r="K177" s="1866"/>
      <c r="L177" s="1866"/>
      <c r="M177" s="1866"/>
      <c r="N177" s="1866"/>
      <c r="O177" s="1866"/>
      <c r="P177" s="1866"/>
      <c r="Q177" s="1866"/>
      <c r="R177" s="1866"/>
      <c r="S177" s="1866"/>
      <c r="T177" s="1866"/>
      <c r="U177" s="1866"/>
      <c r="V177" s="1866"/>
      <c r="W177" s="1866"/>
      <c r="X177" s="1866"/>
      <c r="Y177" s="1866"/>
      <c r="Z177" s="1866"/>
      <c r="AA177" s="1866"/>
      <c r="AB177" s="1866"/>
      <c r="AC177" s="1866"/>
      <c r="AD177" s="1866"/>
      <c r="AE177" s="1866"/>
      <c r="AF177" s="1866"/>
      <c r="AG177" s="1866"/>
      <c r="AH177" s="1866"/>
      <c r="AI177" s="1866"/>
      <c r="AJ177" s="1866"/>
      <c r="AK177" s="1866"/>
      <c r="AL177" s="1866"/>
      <c r="AM177" s="1866"/>
      <c r="AN177" s="1866"/>
      <c r="AO177" s="1866"/>
    </row>
    <row r="178" spans="1:41" ht="15" customHeight="1">
      <c r="A178" s="1866"/>
      <c r="B178" s="1866"/>
      <c r="C178" s="1866"/>
      <c r="D178" s="1866"/>
      <c r="E178" s="1866"/>
      <c r="F178" s="1866"/>
      <c r="G178" s="1866"/>
      <c r="H178" s="1866"/>
      <c r="I178" s="1866"/>
      <c r="J178" s="1866"/>
      <c r="K178" s="1866"/>
      <c r="L178" s="1866"/>
      <c r="M178" s="1866"/>
      <c r="N178" s="1866"/>
      <c r="O178" s="1866"/>
      <c r="P178" s="1866"/>
      <c r="Q178" s="1866"/>
      <c r="R178" s="1866"/>
      <c r="S178" s="1866"/>
      <c r="T178" s="1866"/>
      <c r="U178" s="1866"/>
      <c r="V178" s="1866"/>
      <c r="W178" s="1866"/>
      <c r="X178" s="1866"/>
      <c r="Y178" s="1866"/>
      <c r="Z178" s="1866"/>
      <c r="AA178" s="1866"/>
      <c r="AB178" s="1866"/>
      <c r="AC178" s="1866"/>
      <c r="AD178" s="1866"/>
      <c r="AE178" s="1866"/>
      <c r="AF178" s="1866"/>
      <c r="AG178" s="1866"/>
      <c r="AH178" s="1866"/>
      <c r="AI178" s="1866"/>
      <c r="AJ178" s="1866"/>
      <c r="AK178" s="1866"/>
      <c r="AL178" s="1866"/>
      <c r="AM178" s="1866"/>
      <c r="AN178" s="1866"/>
      <c r="AO178" s="1866"/>
    </row>
    <row r="179" spans="1:41" ht="15" customHeight="1">
      <c r="A179" s="1866"/>
      <c r="B179" s="1866"/>
      <c r="C179" s="1866"/>
      <c r="D179" s="1866"/>
      <c r="E179" s="1866"/>
      <c r="F179" s="1866"/>
      <c r="G179" s="1866"/>
      <c r="H179" s="1866"/>
      <c r="I179" s="1866"/>
      <c r="J179" s="1866"/>
      <c r="K179" s="1866"/>
      <c r="L179" s="1866"/>
      <c r="M179" s="1866"/>
      <c r="N179" s="1866"/>
      <c r="O179" s="1866"/>
      <c r="P179" s="1866"/>
      <c r="Q179" s="1866"/>
      <c r="R179" s="1866"/>
      <c r="S179" s="1866"/>
      <c r="T179" s="1866"/>
      <c r="U179" s="1866"/>
      <c r="V179" s="1866"/>
      <c r="W179" s="1866"/>
      <c r="X179" s="1866"/>
      <c r="Y179" s="1866"/>
      <c r="Z179" s="1866"/>
      <c r="AA179" s="1866"/>
      <c r="AB179" s="1866"/>
      <c r="AC179" s="1866"/>
      <c r="AD179" s="1866"/>
      <c r="AE179" s="1866"/>
      <c r="AF179" s="1866"/>
      <c r="AG179" s="1866"/>
      <c r="AH179" s="1866"/>
      <c r="AI179" s="1866"/>
      <c r="AJ179" s="1866"/>
      <c r="AK179" s="1866"/>
      <c r="AL179" s="1866"/>
      <c r="AM179" s="1866"/>
      <c r="AN179" s="1866"/>
      <c r="AO179" s="1866"/>
    </row>
    <row r="180" spans="1:41" ht="15" customHeight="1">
      <c r="A180" s="1866"/>
      <c r="B180" s="1866"/>
      <c r="C180" s="1866"/>
      <c r="D180" s="1866"/>
      <c r="E180" s="1866"/>
      <c r="F180" s="1866"/>
      <c r="G180" s="1866"/>
      <c r="H180" s="1866"/>
      <c r="I180" s="1866"/>
      <c r="J180" s="1866"/>
      <c r="K180" s="1866"/>
      <c r="L180" s="1866"/>
      <c r="M180" s="1866"/>
      <c r="N180" s="1866"/>
      <c r="O180" s="1866"/>
      <c r="P180" s="1866"/>
      <c r="Q180" s="1866"/>
      <c r="R180" s="1866"/>
      <c r="S180" s="1866"/>
      <c r="T180" s="1866"/>
      <c r="U180" s="1866"/>
      <c r="V180" s="1866"/>
      <c r="W180" s="1866"/>
      <c r="X180" s="1866"/>
      <c r="Y180" s="1866"/>
      <c r="Z180" s="1866"/>
      <c r="AA180" s="1866"/>
      <c r="AB180" s="1866"/>
      <c r="AC180" s="1866"/>
      <c r="AD180" s="1866"/>
      <c r="AE180" s="1866"/>
      <c r="AF180" s="1866"/>
      <c r="AG180" s="1866"/>
      <c r="AH180" s="1866"/>
      <c r="AI180" s="1866"/>
      <c r="AJ180" s="1866"/>
      <c r="AK180" s="1866"/>
      <c r="AL180" s="1866"/>
      <c r="AM180" s="1866"/>
      <c r="AN180" s="1866"/>
      <c r="AO180" s="1866"/>
    </row>
    <row r="181" spans="1:41" ht="15" customHeight="1">
      <c r="A181" s="1866"/>
      <c r="B181" s="1866"/>
      <c r="C181" s="1866"/>
      <c r="D181" s="1866"/>
      <c r="E181" s="1866"/>
      <c r="F181" s="1866"/>
      <c r="G181" s="1866"/>
      <c r="H181" s="1866"/>
      <c r="I181" s="1866"/>
      <c r="J181" s="1866"/>
      <c r="K181" s="1866"/>
      <c r="L181" s="1866"/>
      <c r="M181" s="1866"/>
      <c r="N181" s="1866"/>
      <c r="O181" s="1866"/>
      <c r="P181" s="1866"/>
      <c r="Q181" s="1866"/>
      <c r="R181" s="1866"/>
      <c r="S181" s="1866"/>
      <c r="T181" s="1866"/>
      <c r="U181" s="1866"/>
      <c r="V181" s="1866"/>
      <c r="W181" s="1866"/>
      <c r="X181" s="1866"/>
      <c r="Y181" s="1866"/>
      <c r="Z181" s="1866"/>
      <c r="AA181" s="1866"/>
      <c r="AB181" s="1866"/>
      <c r="AC181" s="1866"/>
      <c r="AD181" s="1866"/>
      <c r="AE181" s="1866"/>
      <c r="AF181" s="1866"/>
      <c r="AG181" s="1866"/>
      <c r="AH181" s="1866"/>
      <c r="AI181" s="1866"/>
      <c r="AJ181" s="1866"/>
      <c r="AK181" s="1866"/>
      <c r="AL181" s="1866"/>
      <c r="AM181" s="1866"/>
      <c r="AN181" s="1866"/>
      <c r="AO181" s="1866"/>
    </row>
    <row r="182" spans="1:41" ht="15" customHeight="1">
      <c r="A182" s="1866"/>
      <c r="B182" s="1866"/>
      <c r="C182" s="1866"/>
      <c r="D182" s="1866"/>
      <c r="E182" s="1866"/>
      <c r="F182" s="1866"/>
      <c r="G182" s="1866"/>
      <c r="H182" s="1866"/>
      <c r="I182" s="1866"/>
      <c r="J182" s="1866"/>
      <c r="K182" s="1866"/>
      <c r="L182" s="1866"/>
      <c r="M182" s="1866"/>
      <c r="N182" s="1866"/>
      <c r="O182" s="1866"/>
      <c r="P182" s="1866"/>
      <c r="Q182" s="1866"/>
      <c r="R182" s="1866"/>
      <c r="S182" s="1866"/>
      <c r="T182" s="1866"/>
      <c r="U182" s="1866"/>
      <c r="V182" s="1866"/>
      <c r="W182" s="1866"/>
      <c r="X182" s="1866"/>
      <c r="Y182" s="1866"/>
      <c r="Z182" s="1866"/>
      <c r="AA182" s="1866"/>
      <c r="AB182" s="1866"/>
      <c r="AC182" s="1866"/>
      <c r="AD182" s="1866"/>
      <c r="AE182" s="1866"/>
      <c r="AF182" s="1866"/>
      <c r="AG182" s="1866"/>
      <c r="AH182" s="1866"/>
      <c r="AI182" s="1866"/>
      <c r="AJ182" s="1866"/>
      <c r="AK182" s="1866"/>
      <c r="AL182" s="1866"/>
      <c r="AM182" s="1866"/>
      <c r="AN182" s="1866"/>
      <c r="AO182" s="1866"/>
    </row>
    <row r="183" spans="1:41" ht="15" customHeight="1">
      <c r="A183" s="1866"/>
      <c r="B183" s="1866"/>
      <c r="C183" s="1866"/>
      <c r="D183" s="1866"/>
      <c r="E183" s="1866"/>
      <c r="F183" s="1866"/>
      <c r="G183" s="1866"/>
      <c r="H183" s="1866"/>
      <c r="I183" s="1866"/>
      <c r="J183" s="1866"/>
      <c r="K183" s="1866"/>
      <c r="L183" s="1866"/>
      <c r="M183" s="1866"/>
      <c r="N183" s="1866"/>
      <c r="O183" s="1866"/>
      <c r="P183" s="1866"/>
      <c r="Q183" s="1866"/>
      <c r="R183" s="1866"/>
      <c r="S183" s="1866"/>
      <c r="T183" s="1866"/>
      <c r="U183" s="1866"/>
      <c r="V183" s="1866"/>
      <c r="W183" s="1866"/>
      <c r="X183" s="1866"/>
      <c r="Y183" s="1866"/>
      <c r="Z183" s="1866"/>
      <c r="AA183" s="1866"/>
      <c r="AB183" s="1866"/>
      <c r="AC183" s="1866"/>
      <c r="AD183" s="1866"/>
      <c r="AE183" s="1866"/>
      <c r="AF183" s="1866"/>
      <c r="AG183" s="1866"/>
      <c r="AH183" s="1866"/>
      <c r="AI183" s="1866"/>
      <c r="AJ183" s="1866"/>
      <c r="AK183" s="1866"/>
      <c r="AL183" s="1866"/>
      <c r="AM183" s="1866"/>
      <c r="AN183" s="1866"/>
      <c r="AO183" s="1866"/>
    </row>
    <row r="184" spans="1:41" ht="15" customHeight="1">
      <c r="A184" s="1866"/>
      <c r="B184" s="1866"/>
      <c r="C184" s="1866"/>
      <c r="D184" s="1866"/>
      <c r="E184" s="1866"/>
      <c r="F184" s="1866"/>
      <c r="G184" s="1866"/>
      <c r="H184" s="1866"/>
      <c r="I184" s="1866"/>
      <c r="J184" s="1866"/>
      <c r="K184" s="1866"/>
      <c r="L184" s="1866"/>
      <c r="M184" s="1866"/>
      <c r="N184" s="1866"/>
      <c r="O184" s="1866"/>
      <c r="P184" s="1866"/>
      <c r="Q184" s="1866"/>
      <c r="R184" s="1866"/>
      <c r="S184" s="1866"/>
      <c r="T184" s="1866"/>
      <c r="U184" s="1866"/>
      <c r="V184" s="1866"/>
      <c r="W184" s="1866"/>
      <c r="X184" s="1866"/>
      <c r="Y184" s="1866"/>
      <c r="Z184" s="1866"/>
      <c r="AA184" s="1866"/>
      <c r="AB184" s="1866"/>
      <c r="AC184" s="1866"/>
      <c r="AD184" s="1866"/>
      <c r="AE184" s="1866"/>
      <c r="AF184" s="1866"/>
      <c r="AG184" s="1866"/>
      <c r="AH184" s="1866"/>
      <c r="AI184" s="1866"/>
      <c r="AJ184" s="1866"/>
      <c r="AK184" s="1866"/>
      <c r="AL184" s="1866"/>
      <c r="AM184" s="1866"/>
      <c r="AN184" s="1866"/>
      <c r="AO184" s="1866"/>
    </row>
    <row r="185" spans="1:41" ht="15" customHeight="1">
      <c r="A185" s="1866"/>
      <c r="B185" s="1866"/>
      <c r="C185" s="1866"/>
      <c r="D185" s="1866"/>
      <c r="E185" s="1866"/>
      <c r="F185" s="1866"/>
      <c r="G185" s="1866"/>
      <c r="H185" s="1866"/>
      <c r="I185" s="1866"/>
      <c r="J185" s="1866"/>
      <c r="K185" s="1866"/>
      <c r="L185" s="1866"/>
      <c r="M185" s="1866"/>
      <c r="N185" s="1866"/>
      <c r="O185" s="1866"/>
      <c r="P185" s="1866"/>
      <c r="Q185" s="1866"/>
      <c r="R185" s="1866"/>
      <c r="S185" s="1866"/>
      <c r="T185" s="1866"/>
      <c r="U185" s="1866"/>
      <c r="V185" s="1866"/>
      <c r="W185" s="1866"/>
      <c r="X185" s="1866"/>
      <c r="Y185" s="1866"/>
      <c r="Z185" s="1866"/>
      <c r="AA185" s="1866"/>
      <c r="AB185" s="1866"/>
      <c r="AC185" s="1866"/>
      <c r="AD185" s="1866"/>
      <c r="AE185" s="1866"/>
      <c r="AF185" s="1866"/>
      <c r="AG185" s="1866"/>
      <c r="AH185" s="1866"/>
      <c r="AI185" s="1866"/>
      <c r="AJ185" s="1866"/>
      <c r="AK185" s="1866"/>
      <c r="AL185" s="1866"/>
      <c r="AM185" s="1866"/>
      <c r="AN185" s="1866"/>
      <c r="AO185" s="1866"/>
    </row>
    <row r="186" spans="1:41" ht="15" customHeight="1">
      <c r="A186" s="1866"/>
      <c r="B186" s="1866"/>
      <c r="C186" s="1866"/>
      <c r="D186" s="1866"/>
      <c r="E186" s="1866"/>
      <c r="F186" s="1866"/>
      <c r="G186" s="1866"/>
      <c r="H186" s="1866"/>
      <c r="I186" s="1866"/>
      <c r="J186" s="1866"/>
      <c r="K186" s="1866"/>
      <c r="L186" s="1866"/>
      <c r="M186" s="1866"/>
      <c r="N186" s="1866"/>
      <c r="O186" s="1866"/>
      <c r="P186" s="1866"/>
      <c r="Q186" s="1866"/>
      <c r="R186" s="1866"/>
      <c r="S186" s="1866"/>
      <c r="T186" s="1866"/>
      <c r="U186" s="1866"/>
      <c r="V186" s="1866"/>
      <c r="W186" s="1866"/>
      <c r="X186" s="1866"/>
      <c r="Y186" s="1866"/>
      <c r="Z186" s="1866"/>
      <c r="AA186" s="1866"/>
      <c r="AB186" s="1866"/>
      <c r="AC186" s="1866"/>
      <c r="AD186" s="1866"/>
      <c r="AE186" s="1866"/>
      <c r="AF186" s="1866"/>
      <c r="AG186" s="1866"/>
      <c r="AH186" s="1866"/>
      <c r="AI186" s="1866"/>
      <c r="AJ186" s="1866"/>
      <c r="AK186" s="1866"/>
      <c r="AL186" s="1866"/>
      <c r="AM186" s="1866"/>
      <c r="AN186" s="1866"/>
      <c r="AO186" s="1866"/>
    </row>
    <row r="187" spans="1:41" ht="15" customHeight="1">
      <c r="A187" s="1866"/>
      <c r="B187" s="1866"/>
      <c r="C187" s="1866"/>
      <c r="D187" s="1866"/>
      <c r="E187" s="1866"/>
      <c r="F187" s="1866"/>
      <c r="G187" s="1866"/>
      <c r="H187" s="1866"/>
      <c r="I187" s="1866"/>
      <c r="J187" s="1866"/>
      <c r="K187" s="1866"/>
      <c r="L187" s="1866"/>
      <c r="M187" s="1866"/>
      <c r="N187" s="1866"/>
      <c r="O187" s="1866"/>
      <c r="P187" s="1866"/>
      <c r="Q187" s="1866"/>
      <c r="R187" s="1866"/>
      <c r="S187" s="1866"/>
      <c r="T187" s="1866"/>
      <c r="U187" s="1866"/>
      <c r="V187" s="1866"/>
      <c r="W187" s="1866"/>
      <c r="X187" s="1866"/>
      <c r="Y187" s="1866"/>
      <c r="Z187" s="1866"/>
      <c r="AA187" s="1866"/>
      <c r="AB187" s="1866"/>
      <c r="AC187" s="1866"/>
      <c r="AD187" s="1866"/>
      <c r="AE187" s="1866"/>
      <c r="AF187" s="1866"/>
      <c r="AG187" s="1866"/>
      <c r="AH187" s="1866"/>
      <c r="AI187" s="1866"/>
      <c r="AJ187" s="1866"/>
      <c r="AK187" s="1866"/>
      <c r="AL187" s="1866"/>
      <c r="AM187" s="1866"/>
      <c r="AN187" s="1866"/>
      <c r="AO187" s="1866"/>
    </row>
    <row r="188" spans="1:41" ht="15" customHeight="1">
      <c r="A188" s="1866"/>
      <c r="B188" s="1866"/>
      <c r="C188" s="1866"/>
      <c r="D188" s="1866"/>
      <c r="E188" s="1866"/>
      <c r="F188" s="1866"/>
      <c r="G188" s="1866"/>
      <c r="H188" s="1866"/>
      <c r="I188" s="1866"/>
      <c r="J188" s="1866"/>
      <c r="K188" s="1866"/>
      <c r="L188" s="1866"/>
      <c r="M188" s="1866"/>
      <c r="N188" s="1866"/>
      <c r="O188" s="1866"/>
      <c r="P188" s="1866"/>
      <c r="Q188" s="1866"/>
      <c r="R188" s="1866"/>
      <c r="S188" s="1866"/>
      <c r="T188" s="1866"/>
      <c r="U188" s="1866"/>
      <c r="V188" s="1866"/>
      <c r="W188" s="1866"/>
      <c r="X188" s="1866"/>
      <c r="Y188" s="1866"/>
      <c r="Z188" s="1866"/>
      <c r="AA188" s="1866"/>
      <c r="AB188" s="1866"/>
      <c r="AC188" s="1866"/>
      <c r="AD188" s="1866"/>
      <c r="AE188" s="1866"/>
      <c r="AF188" s="1866"/>
      <c r="AG188" s="1866"/>
      <c r="AH188" s="1866"/>
      <c r="AI188" s="1866"/>
      <c r="AJ188" s="1866"/>
      <c r="AK188" s="1866"/>
      <c r="AL188" s="1866"/>
      <c r="AM188" s="1866"/>
      <c r="AN188" s="1866"/>
      <c r="AO188" s="1866"/>
    </row>
    <row r="189" spans="1:41" ht="15" customHeight="1">
      <c r="A189" s="1866"/>
      <c r="B189" s="1866"/>
      <c r="C189" s="1866"/>
      <c r="D189" s="1866"/>
      <c r="E189" s="1866"/>
      <c r="F189" s="1866"/>
      <c r="G189" s="1866"/>
      <c r="H189" s="1866"/>
      <c r="I189" s="1866"/>
      <c r="J189" s="1866"/>
      <c r="K189" s="1866"/>
      <c r="L189" s="1866"/>
      <c r="M189" s="1866"/>
      <c r="N189" s="1866"/>
      <c r="O189" s="1866"/>
      <c r="P189" s="1866"/>
      <c r="Q189" s="1866"/>
      <c r="R189" s="1866"/>
      <c r="S189" s="1866"/>
      <c r="T189" s="1866"/>
      <c r="U189" s="1866"/>
      <c r="V189" s="1866"/>
      <c r="W189" s="1866"/>
      <c r="X189" s="1866"/>
      <c r="Y189" s="1866"/>
      <c r="Z189" s="1866"/>
      <c r="AA189" s="1866"/>
      <c r="AB189" s="1866"/>
      <c r="AC189" s="1866"/>
      <c r="AD189" s="1866"/>
      <c r="AE189" s="1866"/>
      <c r="AF189" s="1866"/>
      <c r="AG189" s="1866"/>
      <c r="AH189" s="1866"/>
      <c r="AI189" s="1866"/>
      <c r="AJ189" s="1866"/>
      <c r="AK189" s="1866"/>
      <c r="AL189" s="1866"/>
      <c r="AM189" s="1866"/>
      <c r="AN189" s="1866"/>
      <c r="AO189" s="1866"/>
    </row>
    <row r="190" spans="1:41" ht="15" customHeight="1">
      <c r="A190" s="1866"/>
      <c r="B190" s="1866"/>
      <c r="C190" s="1866"/>
      <c r="D190" s="1866"/>
      <c r="E190" s="1866"/>
      <c r="F190" s="1866"/>
      <c r="G190" s="1866"/>
      <c r="H190" s="1866"/>
      <c r="I190" s="1866"/>
      <c r="J190" s="1866"/>
      <c r="K190" s="1866"/>
      <c r="L190" s="1866"/>
      <c r="M190" s="1866"/>
      <c r="N190" s="1866"/>
      <c r="O190" s="1866"/>
      <c r="P190" s="1866"/>
      <c r="Q190" s="1866"/>
      <c r="R190" s="1866"/>
      <c r="S190" s="1866"/>
      <c r="T190" s="1866"/>
      <c r="U190" s="1866"/>
      <c r="V190" s="1866"/>
      <c r="W190" s="1866"/>
      <c r="X190" s="1866"/>
      <c r="Y190" s="1866"/>
      <c r="Z190" s="1866"/>
      <c r="AA190" s="1866"/>
      <c r="AB190" s="1866"/>
      <c r="AC190" s="1866"/>
      <c r="AD190" s="1866"/>
      <c r="AE190" s="1866"/>
      <c r="AF190" s="1866"/>
      <c r="AG190" s="1866"/>
      <c r="AH190" s="1866"/>
      <c r="AI190" s="1866"/>
      <c r="AJ190" s="1866"/>
      <c r="AK190" s="1866"/>
      <c r="AL190" s="1866"/>
      <c r="AM190" s="1866"/>
      <c r="AN190" s="1866"/>
      <c r="AO190" s="1866"/>
    </row>
    <row r="191" spans="1:41" ht="15" customHeight="1">
      <c r="A191" s="1866"/>
      <c r="B191" s="1866"/>
      <c r="C191" s="1866"/>
      <c r="D191" s="1866"/>
      <c r="E191" s="1866"/>
      <c r="F191" s="1866"/>
      <c r="G191" s="1866"/>
      <c r="H191" s="1866"/>
      <c r="I191" s="1866"/>
      <c r="J191" s="1866"/>
      <c r="K191" s="1866"/>
      <c r="L191" s="1866"/>
      <c r="M191" s="1866"/>
      <c r="N191" s="1866"/>
      <c r="O191" s="1866"/>
      <c r="P191" s="1866"/>
      <c r="Q191" s="1866"/>
      <c r="R191" s="1866"/>
      <c r="S191" s="1866"/>
      <c r="T191" s="1866"/>
      <c r="U191" s="1866"/>
      <c r="V191" s="1866"/>
      <c r="W191" s="1866"/>
      <c r="X191" s="1866"/>
      <c r="Y191" s="1866"/>
      <c r="Z191" s="1866"/>
      <c r="AA191" s="1866"/>
      <c r="AB191" s="1866"/>
      <c r="AC191" s="1866"/>
      <c r="AD191" s="1866"/>
      <c r="AE191" s="1866"/>
      <c r="AF191" s="1866"/>
      <c r="AG191" s="1866"/>
      <c r="AH191" s="1866"/>
      <c r="AI191" s="1866"/>
      <c r="AJ191" s="1866"/>
      <c r="AK191" s="1866"/>
      <c r="AL191" s="1866"/>
      <c r="AM191" s="1866"/>
      <c r="AN191" s="1866"/>
      <c r="AO191" s="1866"/>
    </row>
    <row r="192" spans="1:41" ht="15" customHeight="1">
      <c r="A192" s="1866"/>
      <c r="B192" s="1866"/>
      <c r="C192" s="1866"/>
      <c r="D192" s="1866"/>
      <c r="E192" s="1866"/>
      <c r="F192" s="1866"/>
      <c r="G192" s="1866"/>
      <c r="H192" s="1866"/>
      <c r="I192" s="1866"/>
      <c r="J192" s="1866"/>
      <c r="K192" s="1866"/>
      <c r="L192" s="1866"/>
      <c r="M192" s="1866"/>
      <c r="N192" s="1866"/>
      <c r="O192" s="1866"/>
      <c r="P192" s="1866"/>
      <c r="Q192" s="1866"/>
      <c r="R192" s="1866"/>
      <c r="S192" s="1866"/>
      <c r="T192" s="1866"/>
      <c r="U192" s="1866"/>
      <c r="V192" s="1866"/>
      <c r="W192" s="1866"/>
      <c r="X192" s="1866"/>
      <c r="Y192" s="1866"/>
      <c r="Z192" s="1866"/>
      <c r="AA192" s="1866"/>
      <c r="AB192" s="1866"/>
      <c r="AC192" s="1866"/>
      <c r="AD192" s="1866"/>
      <c r="AE192" s="1866"/>
      <c r="AF192" s="1866"/>
      <c r="AG192" s="1866"/>
      <c r="AH192" s="1866"/>
      <c r="AI192" s="1866"/>
      <c r="AJ192" s="1866"/>
      <c r="AK192" s="1866"/>
      <c r="AL192" s="1866"/>
      <c r="AM192" s="1866"/>
      <c r="AN192" s="1866"/>
      <c r="AO192" s="1866"/>
    </row>
    <row r="193" spans="1:41" ht="15" customHeight="1">
      <c r="A193" s="1866"/>
      <c r="B193" s="1866"/>
      <c r="C193" s="1866"/>
      <c r="D193" s="1866"/>
      <c r="E193" s="1866"/>
      <c r="F193" s="1866"/>
      <c r="G193" s="1866"/>
      <c r="H193" s="1866"/>
      <c r="I193" s="1866"/>
      <c r="J193" s="1866"/>
      <c r="K193" s="1866"/>
      <c r="L193" s="1866"/>
      <c r="M193" s="1866"/>
      <c r="N193" s="1866"/>
      <c r="O193" s="1866"/>
      <c r="P193" s="1866"/>
      <c r="Q193" s="1866"/>
      <c r="R193" s="1866"/>
      <c r="S193" s="1866"/>
      <c r="T193" s="1866"/>
      <c r="U193" s="1866"/>
      <c r="V193" s="1866"/>
      <c r="W193" s="1866"/>
      <c r="X193" s="1866"/>
      <c r="Y193" s="1866"/>
      <c r="Z193" s="1866"/>
      <c r="AA193" s="1866"/>
      <c r="AB193" s="1866"/>
      <c r="AC193" s="1866"/>
      <c r="AD193" s="1866"/>
      <c r="AE193" s="1866"/>
      <c r="AF193" s="1866"/>
      <c r="AG193" s="1866"/>
      <c r="AH193" s="1866"/>
      <c r="AI193" s="1866"/>
      <c r="AJ193" s="1866"/>
      <c r="AK193" s="1866"/>
      <c r="AL193" s="1866"/>
      <c r="AM193" s="1866"/>
      <c r="AN193" s="1866"/>
      <c r="AO193" s="1866"/>
    </row>
    <row r="194" spans="1:41" ht="15" customHeight="1">
      <c r="A194" s="1866"/>
      <c r="B194" s="1866"/>
      <c r="C194" s="1866"/>
      <c r="D194" s="1866"/>
      <c r="E194" s="1866"/>
      <c r="F194" s="1866"/>
      <c r="G194" s="1866"/>
      <c r="H194" s="1866"/>
      <c r="I194" s="1866"/>
      <c r="J194" s="1866"/>
      <c r="K194" s="1866"/>
      <c r="L194" s="1866"/>
      <c r="M194" s="1866"/>
      <c r="N194" s="1866"/>
      <c r="O194" s="1866"/>
      <c r="P194" s="1866"/>
      <c r="Q194" s="1866"/>
      <c r="R194" s="1866"/>
      <c r="S194" s="1866"/>
      <c r="T194" s="1866"/>
      <c r="U194" s="1866"/>
      <c r="V194" s="1866"/>
      <c r="W194" s="1866"/>
      <c r="X194" s="1866"/>
      <c r="Y194" s="1866"/>
      <c r="Z194" s="1866"/>
      <c r="AA194" s="1866"/>
      <c r="AB194" s="1866"/>
      <c r="AC194" s="1866"/>
      <c r="AD194" s="1866"/>
      <c r="AE194" s="1866"/>
      <c r="AF194" s="1866"/>
      <c r="AG194" s="1866"/>
      <c r="AH194" s="1866"/>
      <c r="AI194" s="1866"/>
      <c r="AJ194" s="1866"/>
      <c r="AK194" s="1866"/>
      <c r="AL194" s="1866"/>
      <c r="AM194" s="1866"/>
      <c r="AN194" s="1866"/>
      <c r="AO194" s="1866"/>
    </row>
    <row r="195" spans="1:41" ht="15" customHeight="1">
      <c r="A195" s="1866"/>
      <c r="B195" s="1866"/>
      <c r="C195" s="1866"/>
      <c r="D195" s="1866"/>
      <c r="E195" s="1866"/>
      <c r="F195" s="1866"/>
      <c r="G195" s="1866"/>
      <c r="H195" s="1866"/>
      <c r="I195" s="1866"/>
      <c r="J195" s="1866"/>
      <c r="K195" s="1866"/>
      <c r="L195" s="1866"/>
      <c r="M195" s="1866"/>
      <c r="N195" s="1866"/>
      <c r="O195" s="1866"/>
      <c r="P195" s="1866"/>
      <c r="Q195" s="1866"/>
      <c r="R195" s="1866"/>
      <c r="S195" s="1866"/>
      <c r="T195" s="1866"/>
      <c r="U195" s="1866"/>
      <c r="V195" s="1866"/>
      <c r="W195" s="1866"/>
      <c r="X195" s="1866"/>
      <c r="Y195" s="1866"/>
      <c r="Z195" s="1866"/>
      <c r="AA195" s="1866"/>
      <c r="AB195" s="1866"/>
      <c r="AC195" s="1866"/>
      <c r="AD195" s="1866"/>
      <c r="AE195" s="1866"/>
      <c r="AF195" s="1866"/>
      <c r="AG195" s="1866"/>
      <c r="AH195" s="1866"/>
      <c r="AI195" s="1866"/>
      <c r="AJ195" s="1866"/>
      <c r="AK195" s="1866"/>
      <c r="AL195" s="1866"/>
      <c r="AM195" s="1866"/>
      <c r="AN195" s="1866"/>
      <c r="AO195" s="1866"/>
    </row>
    <row r="196" spans="1:41" ht="15" customHeight="1">
      <c r="A196" s="1866"/>
      <c r="B196" s="1866"/>
      <c r="C196" s="1866"/>
      <c r="D196" s="1866"/>
      <c r="E196" s="1866"/>
      <c r="F196" s="1866"/>
      <c r="G196" s="1866"/>
      <c r="H196" s="1866"/>
      <c r="I196" s="1866"/>
      <c r="J196" s="1866"/>
      <c r="K196" s="1866"/>
      <c r="L196" s="1866"/>
      <c r="M196" s="1866"/>
      <c r="N196" s="1866"/>
      <c r="O196" s="1866"/>
      <c r="P196" s="1866"/>
      <c r="Q196" s="1866"/>
      <c r="R196" s="1866"/>
      <c r="S196" s="1866"/>
      <c r="T196" s="1866"/>
      <c r="U196" s="1866"/>
      <c r="V196" s="1866"/>
      <c r="W196" s="1866"/>
      <c r="X196" s="1866"/>
      <c r="Y196" s="1866"/>
      <c r="Z196" s="1866"/>
      <c r="AA196" s="1866"/>
      <c r="AB196" s="1866"/>
      <c r="AC196" s="1866"/>
      <c r="AD196" s="1866"/>
      <c r="AE196" s="1866"/>
      <c r="AF196" s="1866"/>
      <c r="AG196" s="1866"/>
      <c r="AH196" s="1866"/>
      <c r="AI196" s="1866"/>
      <c r="AJ196" s="1866"/>
      <c r="AK196" s="1866"/>
      <c r="AL196" s="1866"/>
      <c r="AM196" s="1866"/>
      <c r="AN196" s="1866"/>
      <c r="AO196" s="1866"/>
    </row>
    <row r="197" spans="1:41" ht="15" customHeight="1">
      <c r="A197" s="1866"/>
      <c r="B197" s="1866"/>
      <c r="C197" s="1866"/>
      <c r="D197" s="1866"/>
      <c r="E197" s="1866"/>
      <c r="F197" s="1866"/>
      <c r="G197" s="1866"/>
      <c r="H197" s="1866"/>
      <c r="I197" s="1866"/>
      <c r="J197" s="1866"/>
      <c r="K197" s="1866"/>
      <c r="L197" s="1866"/>
      <c r="M197" s="1866"/>
      <c r="N197" s="1866"/>
      <c r="O197" s="1866"/>
      <c r="P197" s="1866"/>
      <c r="Q197" s="1866"/>
      <c r="R197" s="1866"/>
      <c r="S197" s="1866"/>
      <c r="T197" s="1866"/>
      <c r="U197" s="1866"/>
      <c r="V197" s="1866"/>
      <c r="W197" s="1866"/>
      <c r="X197" s="1866"/>
      <c r="Y197" s="1866"/>
      <c r="Z197" s="1866"/>
      <c r="AA197" s="1866"/>
      <c r="AB197" s="1866"/>
      <c r="AC197" s="1866"/>
      <c r="AD197" s="1866"/>
      <c r="AE197" s="1866"/>
      <c r="AF197" s="1866"/>
      <c r="AG197" s="1866"/>
      <c r="AH197" s="1866"/>
      <c r="AI197" s="1866"/>
      <c r="AJ197" s="1866"/>
      <c r="AK197" s="1866"/>
      <c r="AL197" s="1866"/>
      <c r="AM197" s="1866"/>
      <c r="AN197" s="1866"/>
      <c r="AO197" s="1866"/>
    </row>
    <row r="198" spans="1:41" ht="15" customHeight="1">
      <c r="A198" s="1866"/>
      <c r="B198" s="1866"/>
      <c r="C198" s="1866"/>
      <c r="D198" s="1866"/>
      <c r="E198" s="1866"/>
      <c r="F198" s="1866"/>
      <c r="G198" s="1866"/>
      <c r="H198" s="1866"/>
      <c r="I198" s="1866"/>
      <c r="J198" s="1866"/>
      <c r="K198" s="1866"/>
      <c r="L198" s="1866"/>
      <c r="M198" s="1866"/>
      <c r="N198" s="1866"/>
      <c r="O198" s="1866"/>
      <c r="P198" s="1866"/>
      <c r="Q198" s="1866"/>
      <c r="R198" s="1866"/>
      <c r="S198" s="1866"/>
      <c r="T198" s="1866"/>
      <c r="U198" s="1866"/>
      <c r="V198" s="1866"/>
      <c r="W198" s="1866"/>
      <c r="X198" s="1866"/>
      <c r="Y198" s="1866"/>
      <c r="Z198" s="1866"/>
      <c r="AA198" s="1866"/>
      <c r="AB198" s="1866"/>
      <c r="AC198" s="1866"/>
      <c r="AD198" s="1866"/>
      <c r="AE198" s="1866"/>
      <c r="AF198" s="1866"/>
      <c r="AG198" s="1866"/>
      <c r="AH198" s="1866"/>
      <c r="AI198" s="1866"/>
      <c r="AJ198" s="1866"/>
      <c r="AK198" s="1866"/>
      <c r="AL198" s="1866"/>
      <c r="AM198" s="1866"/>
      <c r="AN198" s="1866"/>
      <c r="AO198" s="1866"/>
    </row>
    <row r="199" spans="1:41" ht="15" customHeight="1">
      <c r="A199" s="1866"/>
      <c r="B199" s="1866"/>
      <c r="C199" s="1866"/>
      <c r="D199" s="1866"/>
      <c r="E199" s="1866"/>
      <c r="F199" s="1866"/>
      <c r="G199" s="1866"/>
      <c r="H199" s="1866"/>
      <c r="I199" s="1866"/>
      <c r="J199" s="1866"/>
      <c r="K199" s="1866"/>
      <c r="L199" s="1866"/>
      <c r="M199" s="1866"/>
      <c r="N199" s="1866"/>
      <c r="O199" s="1866"/>
      <c r="P199" s="1866"/>
      <c r="Q199" s="1866"/>
      <c r="R199" s="1866"/>
      <c r="S199" s="1866"/>
      <c r="T199" s="1866"/>
      <c r="U199" s="1866"/>
      <c r="V199" s="1866"/>
      <c r="W199" s="1866"/>
      <c r="X199" s="1866"/>
      <c r="Y199" s="1866"/>
      <c r="Z199" s="1866"/>
      <c r="AA199" s="1866"/>
      <c r="AB199" s="1866"/>
      <c r="AC199" s="1866"/>
      <c r="AD199" s="1866"/>
      <c r="AE199" s="1866"/>
      <c r="AF199" s="1866"/>
      <c r="AG199" s="1866"/>
      <c r="AH199" s="1866"/>
      <c r="AI199" s="1866"/>
      <c r="AJ199" s="1866"/>
      <c r="AK199" s="1866"/>
      <c r="AL199" s="1866"/>
      <c r="AM199" s="1866"/>
      <c r="AN199" s="1866"/>
      <c r="AO199" s="1866"/>
    </row>
    <row r="200" spans="1:41" ht="15" customHeight="1">
      <c r="A200" s="1866"/>
      <c r="B200" s="1866"/>
      <c r="C200" s="1866"/>
      <c r="D200" s="1866"/>
      <c r="E200" s="1866"/>
      <c r="F200" s="1866"/>
      <c r="G200" s="1866"/>
      <c r="H200" s="1866"/>
      <c r="I200" s="1866"/>
      <c r="J200" s="1866"/>
      <c r="K200" s="1866"/>
      <c r="L200" s="1866"/>
      <c r="M200" s="1866"/>
      <c r="N200" s="1866"/>
      <c r="O200" s="1866"/>
      <c r="P200" s="1866"/>
      <c r="Q200" s="1866"/>
      <c r="R200" s="1866"/>
      <c r="S200" s="1866"/>
      <c r="T200" s="1866"/>
      <c r="U200" s="1866"/>
      <c r="V200" s="1866"/>
      <c r="W200" s="1866"/>
      <c r="X200" s="1866"/>
      <c r="Y200" s="1866"/>
      <c r="Z200" s="1866"/>
      <c r="AA200" s="1866"/>
      <c r="AB200" s="1866"/>
      <c r="AC200" s="1866"/>
      <c r="AD200" s="1866"/>
      <c r="AE200" s="1866"/>
      <c r="AF200" s="1866"/>
      <c r="AG200" s="1866"/>
      <c r="AH200" s="1866"/>
      <c r="AI200" s="1866"/>
      <c r="AJ200" s="1866"/>
      <c r="AK200" s="1866"/>
      <c r="AL200" s="1866"/>
      <c r="AM200" s="1866"/>
      <c r="AN200" s="1866"/>
      <c r="AO200" s="1866"/>
    </row>
    <row r="201" spans="1:41" ht="15" customHeight="1">
      <c r="A201" s="1866"/>
      <c r="B201" s="1866"/>
      <c r="C201" s="1866"/>
      <c r="D201" s="1866"/>
      <c r="E201" s="1866"/>
      <c r="F201" s="1866"/>
      <c r="G201" s="1866"/>
      <c r="H201" s="1866"/>
      <c r="I201" s="1866"/>
      <c r="J201" s="1866"/>
      <c r="K201" s="1866"/>
      <c r="L201" s="1866"/>
      <c r="M201" s="1866"/>
      <c r="N201" s="1866"/>
      <c r="O201" s="1866"/>
      <c r="P201" s="1866"/>
      <c r="Q201" s="1866"/>
      <c r="R201" s="1866"/>
      <c r="S201" s="1866"/>
      <c r="T201" s="1866"/>
      <c r="U201" s="1866"/>
      <c r="V201" s="1866"/>
      <c r="W201" s="1866"/>
      <c r="X201" s="1866"/>
      <c r="Y201" s="1866"/>
      <c r="Z201" s="1866"/>
      <c r="AA201" s="1866"/>
      <c r="AB201" s="1866"/>
      <c r="AC201" s="1866"/>
      <c r="AD201" s="1866"/>
      <c r="AE201" s="1866"/>
      <c r="AF201" s="1866"/>
      <c r="AG201" s="1866"/>
      <c r="AH201" s="1866"/>
      <c r="AI201" s="1866"/>
      <c r="AJ201" s="1866"/>
      <c r="AK201" s="1866"/>
      <c r="AL201" s="1866"/>
      <c r="AM201" s="1866"/>
      <c r="AN201" s="1866"/>
      <c r="AO201" s="1866"/>
    </row>
    <row r="202" spans="1:41" ht="15" customHeight="1">
      <c r="A202" s="1866"/>
      <c r="B202" s="1866"/>
      <c r="C202" s="1866"/>
      <c r="D202" s="1866"/>
      <c r="E202" s="1866"/>
      <c r="F202" s="1866"/>
      <c r="G202" s="1866"/>
      <c r="H202" s="1866"/>
      <c r="I202" s="1866"/>
      <c r="J202" s="1866"/>
      <c r="K202" s="1866"/>
      <c r="L202" s="1866"/>
      <c r="M202" s="1866"/>
      <c r="N202" s="1866"/>
      <c r="O202" s="1866"/>
      <c r="P202" s="1866"/>
      <c r="Q202" s="1866"/>
      <c r="R202" s="1866"/>
      <c r="S202" s="1866"/>
      <c r="T202" s="1866"/>
      <c r="U202" s="1866"/>
      <c r="V202" s="1866"/>
      <c r="W202" s="1866"/>
      <c r="X202" s="1866"/>
      <c r="Y202" s="1866"/>
      <c r="Z202" s="1866"/>
      <c r="AA202" s="1866"/>
      <c r="AB202" s="1866"/>
      <c r="AC202" s="1866"/>
      <c r="AD202" s="1866"/>
      <c r="AE202" s="1866"/>
      <c r="AF202" s="1866"/>
      <c r="AG202" s="1866"/>
      <c r="AH202" s="1866"/>
      <c r="AI202" s="1866"/>
      <c r="AJ202" s="1866"/>
      <c r="AK202" s="1866"/>
      <c r="AL202" s="1866"/>
      <c r="AM202" s="1866"/>
      <c r="AN202" s="1866"/>
      <c r="AO202" s="1866"/>
    </row>
    <row r="203" spans="1:41" ht="15" customHeight="1">
      <c r="A203" s="1866"/>
      <c r="B203" s="1866"/>
      <c r="C203" s="1866"/>
      <c r="D203" s="1866"/>
      <c r="E203" s="1866"/>
      <c r="F203" s="1866"/>
      <c r="G203" s="1866"/>
      <c r="H203" s="1866"/>
      <c r="I203" s="1866"/>
      <c r="J203" s="1866"/>
      <c r="K203" s="1866"/>
      <c r="L203" s="1866"/>
      <c r="M203" s="1866"/>
      <c r="N203" s="1866"/>
      <c r="O203" s="1866"/>
      <c r="P203" s="1866"/>
      <c r="Q203" s="1866"/>
      <c r="R203" s="1866"/>
      <c r="S203" s="1866"/>
      <c r="T203" s="1866"/>
      <c r="U203" s="1866"/>
      <c r="V203" s="1866"/>
      <c r="W203" s="1866"/>
      <c r="X203" s="1866"/>
      <c r="Y203" s="1866"/>
      <c r="Z203" s="1866"/>
      <c r="AA203" s="1866"/>
      <c r="AB203" s="1866"/>
      <c r="AC203" s="1866"/>
      <c r="AD203" s="1866"/>
      <c r="AE203" s="1866"/>
      <c r="AF203" s="1866"/>
      <c r="AG203" s="1866"/>
      <c r="AH203" s="1866"/>
      <c r="AI203" s="1866"/>
      <c r="AJ203" s="1866"/>
      <c r="AK203" s="1866"/>
      <c r="AL203" s="1866"/>
      <c r="AM203" s="1866"/>
      <c r="AN203" s="1866"/>
      <c r="AO203" s="1866"/>
    </row>
    <row r="204" spans="1:41" ht="15" customHeight="1">
      <c r="A204" s="1866"/>
      <c r="B204" s="1866"/>
      <c r="C204" s="1866"/>
      <c r="D204" s="1866"/>
      <c r="E204" s="1866"/>
      <c r="F204" s="1866"/>
      <c r="G204" s="1866"/>
      <c r="H204" s="1866"/>
      <c r="I204" s="1866"/>
      <c r="J204" s="1866"/>
      <c r="K204" s="1866"/>
      <c r="L204" s="1866"/>
      <c r="M204" s="1866"/>
      <c r="N204" s="1866"/>
      <c r="O204" s="1866"/>
      <c r="P204" s="1866"/>
      <c r="Q204" s="1866"/>
      <c r="R204" s="1866"/>
      <c r="S204" s="1866"/>
      <c r="T204" s="1866"/>
      <c r="U204" s="1866"/>
      <c r="V204" s="1866"/>
      <c r="W204" s="1866"/>
      <c r="X204" s="1866"/>
      <c r="Y204" s="1866"/>
      <c r="Z204" s="1866"/>
      <c r="AA204" s="1866"/>
      <c r="AB204" s="1866"/>
      <c r="AC204" s="1866"/>
      <c r="AD204" s="1866"/>
      <c r="AE204" s="1866"/>
      <c r="AF204" s="1866"/>
      <c r="AG204" s="1866"/>
      <c r="AH204" s="1866"/>
      <c r="AI204" s="1866"/>
      <c r="AJ204" s="1866"/>
      <c r="AK204" s="1866"/>
      <c r="AL204" s="1866"/>
      <c r="AM204" s="1866"/>
      <c r="AN204" s="1866"/>
      <c r="AO204" s="1866"/>
    </row>
    <row r="205" spans="1:41" ht="15" customHeight="1">
      <c r="A205" s="1866"/>
      <c r="B205" s="1866"/>
      <c r="C205" s="1866"/>
      <c r="D205" s="1866"/>
      <c r="E205" s="1866"/>
      <c r="F205" s="1866"/>
      <c r="G205" s="1866"/>
      <c r="H205" s="1866"/>
      <c r="I205" s="1866"/>
      <c r="J205" s="1866"/>
      <c r="K205" s="1866"/>
      <c r="L205" s="1866"/>
      <c r="M205" s="1866"/>
      <c r="N205" s="1866"/>
      <c r="O205" s="1866"/>
      <c r="P205" s="1866"/>
      <c r="Q205" s="1866"/>
      <c r="R205" s="1866"/>
      <c r="S205" s="1866"/>
      <c r="T205" s="1866"/>
      <c r="U205" s="1866"/>
      <c r="V205" s="1866"/>
      <c r="W205" s="1866"/>
      <c r="X205" s="1866"/>
      <c r="Y205" s="1866"/>
      <c r="Z205" s="1866"/>
      <c r="AA205" s="1866"/>
      <c r="AB205" s="1866"/>
      <c r="AC205" s="1866"/>
      <c r="AD205" s="1866"/>
      <c r="AE205" s="1866"/>
      <c r="AF205" s="1866"/>
      <c r="AG205" s="1866"/>
      <c r="AH205" s="1866"/>
      <c r="AI205" s="1866"/>
      <c r="AJ205" s="1866"/>
      <c r="AK205" s="1866"/>
      <c r="AL205" s="1866"/>
      <c r="AM205" s="1866"/>
      <c r="AN205" s="1866"/>
      <c r="AO205" s="1866"/>
    </row>
    <row r="206" spans="1:41" ht="15" customHeight="1">
      <c r="A206" s="1866"/>
      <c r="B206" s="1866"/>
      <c r="C206" s="1866"/>
      <c r="D206" s="1866"/>
      <c r="E206" s="1866"/>
      <c r="F206" s="1866"/>
      <c r="G206" s="1866"/>
      <c r="H206" s="1866"/>
      <c r="I206" s="1866"/>
      <c r="J206" s="1866"/>
      <c r="K206" s="1866"/>
      <c r="L206" s="1866"/>
      <c r="M206" s="1866"/>
      <c r="N206" s="1866"/>
      <c r="O206" s="1866"/>
      <c r="P206" s="1866"/>
      <c r="Q206" s="1866"/>
      <c r="R206" s="1866"/>
      <c r="S206" s="1866"/>
      <c r="T206" s="1866"/>
      <c r="U206" s="1866"/>
      <c r="V206" s="1866"/>
      <c r="W206" s="1866"/>
      <c r="X206" s="1866"/>
      <c r="Y206" s="1866"/>
      <c r="Z206" s="1866"/>
      <c r="AA206" s="1866"/>
      <c r="AB206" s="1866"/>
      <c r="AC206" s="1866"/>
      <c r="AD206" s="1866"/>
      <c r="AE206" s="1866"/>
      <c r="AF206" s="1866"/>
      <c r="AG206" s="1866"/>
      <c r="AH206" s="1866"/>
      <c r="AI206" s="1866"/>
      <c r="AJ206" s="1866"/>
      <c r="AK206" s="1866"/>
      <c r="AL206" s="1866"/>
      <c r="AM206" s="1866"/>
      <c r="AN206" s="1866"/>
      <c r="AO206" s="1866"/>
    </row>
    <row r="207" spans="1:41" ht="15" customHeight="1">
      <c r="A207" s="1866"/>
      <c r="B207" s="1866"/>
      <c r="C207" s="1866"/>
      <c r="D207" s="1866"/>
      <c r="E207" s="1866"/>
      <c r="F207" s="1866"/>
      <c r="G207" s="1866"/>
      <c r="H207" s="1866"/>
      <c r="I207" s="1866"/>
      <c r="J207" s="1866"/>
      <c r="K207" s="1866"/>
      <c r="L207" s="1866"/>
      <c r="M207" s="1866"/>
      <c r="N207" s="1866"/>
      <c r="O207" s="1866"/>
      <c r="P207" s="1866"/>
      <c r="Q207" s="1866"/>
      <c r="R207" s="1866"/>
      <c r="S207" s="1866"/>
      <c r="T207" s="1866"/>
      <c r="U207" s="1866"/>
      <c r="V207" s="1866"/>
      <c r="W207" s="1866"/>
      <c r="X207" s="1866"/>
      <c r="Y207" s="1866"/>
      <c r="Z207" s="1866"/>
      <c r="AA207" s="1866"/>
      <c r="AB207" s="1866"/>
      <c r="AC207" s="1866"/>
      <c r="AD207" s="1866"/>
      <c r="AE207" s="1866"/>
      <c r="AF207" s="1866"/>
      <c r="AG207" s="1866"/>
      <c r="AH207" s="1866"/>
      <c r="AI207" s="1866"/>
      <c r="AJ207" s="1866"/>
      <c r="AK207" s="1866"/>
      <c r="AL207" s="1866"/>
      <c r="AM207" s="1866"/>
      <c r="AN207" s="1866"/>
      <c r="AO207" s="1866"/>
    </row>
    <row r="208" spans="1:41" ht="15" customHeight="1">
      <c r="A208" s="1866"/>
      <c r="B208" s="1866"/>
      <c r="C208" s="1866"/>
      <c r="D208" s="1866"/>
      <c r="E208" s="1866"/>
      <c r="F208" s="1866"/>
      <c r="G208" s="1866"/>
      <c r="H208" s="1866"/>
      <c r="I208" s="1866"/>
      <c r="J208" s="1866"/>
      <c r="K208" s="1866"/>
      <c r="L208" s="1866"/>
      <c r="M208" s="1866"/>
      <c r="N208" s="1866"/>
      <c r="O208" s="1866"/>
      <c r="P208" s="1866"/>
      <c r="Q208" s="1866"/>
      <c r="R208" s="1866"/>
      <c r="S208" s="1866"/>
      <c r="T208" s="1866"/>
      <c r="U208" s="1866"/>
      <c r="V208" s="1866"/>
      <c r="W208" s="1866"/>
      <c r="X208" s="1866"/>
      <c r="Y208" s="1866"/>
      <c r="Z208" s="1866"/>
      <c r="AA208" s="1866"/>
      <c r="AB208" s="1866"/>
      <c r="AC208" s="1866"/>
      <c r="AD208" s="1866"/>
      <c r="AE208" s="1866"/>
      <c r="AF208" s="1866"/>
      <c r="AG208" s="1866"/>
      <c r="AH208" s="1866"/>
      <c r="AI208" s="1866"/>
      <c r="AJ208" s="1866"/>
      <c r="AK208" s="1866"/>
      <c r="AL208" s="1866"/>
      <c r="AM208" s="1866"/>
      <c r="AN208" s="1866"/>
      <c r="AO208" s="1866"/>
    </row>
    <row r="209" spans="1:41" ht="15" customHeight="1">
      <c r="A209" s="1866"/>
      <c r="B209" s="1866"/>
      <c r="C209" s="1866"/>
      <c r="D209" s="1866"/>
      <c r="E209" s="1866"/>
      <c r="F209" s="1866"/>
      <c r="G209" s="1866"/>
      <c r="H209" s="1866"/>
      <c r="I209" s="1866"/>
      <c r="J209" s="1866"/>
      <c r="K209" s="1866"/>
      <c r="L209" s="1866"/>
      <c r="M209" s="1866"/>
      <c r="N209" s="1866"/>
      <c r="O209" s="1866"/>
      <c r="P209" s="1866"/>
      <c r="Q209" s="1866"/>
      <c r="R209" s="1866"/>
      <c r="S209" s="1866"/>
      <c r="T209" s="1866"/>
      <c r="U209" s="1866"/>
      <c r="V209" s="1866"/>
      <c r="W209" s="1866"/>
      <c r="X209" s="1866"/>
      <c r="Y209" s="1866"/>
      <c r="Z209" s="1866"/>
      <c r="AA209" s="1866"/>
      <c r="AB209" s="1866"/>
      <c r="AC209" s="1866"/>
      <c r="AD209" s="1866"/>
      <c r="AE209" s="1866"/>
      <c r="AF209" s="1866"/>
      <c r="AG209" s="1866"/>
      <c r="AH209" s="1866"/>
      <c r="AI209" s="1866"/>
      <c r="AJ209" s="1866"/>
      <c r="AK209" s="1866"/>
      <c r="AL209" s="1866"/>
      <c r="AM209" s="1866"/>
      <c r="AN209" s="1866"/>
      <c r="AO209" s="1866"/>
    </row>
    <row r="210" spans="1:41" ht="15" customHeight="1">
      <c r="A210" s="1866"/>
      <c r="B210" s="1866"/>
      <c r="C210" s="1866"/>
      <c r="D210" s="1866"/>
      <c r="E210" s="1866"/>
      <c r="F210" s="1866"/>
      <c r="G210" s="1866"/>
      <c r="H210" s="1866"/>
      <c r="I210" s="1866"/>
      <c r="J210" s="1866"/>
      <c r="K210" s="1866"/>
      <c r="L210" s="1866"/>
      <c r="M210" s="1866"/>
      <c r="N210" s="1866"/>
      <c r="O210" s="1866"/>
      <c r="P210" s="1866"/>
      <c r="Q210" s="1866"/>
      <c r="R210" s="1866"/>
      <c r="S210" s="1866"/>
      <c r="T210" s="1866"/>
      <c r="U210" s="1866"/>
      <c r="V210" s="1866"/>
      <c r="W210" s="1866"/>
      <c r="X210" s="1866"/>
      <c r="Y210" s="1866"/>
      <c r="Z210" s="1866"/>
      <c r="AA210" s="1866"/>
      <c r="AB210" s="1866"/>
      <c r="AC210" s="1866"/>
      <c r="AD210" s="1866"/>
      <c r="AE210" s="1866"/>
      <c r="AF210" s="1866"/>
      <c r="AG210" s="1866"/>
      <c r="AH210" s="1866"/>
      <c r="AI210" s="1866"/>
      <c r="AJ210" s="1866"/>
      <c r="AK210" s="1866"/>
      <c r="AL210" s="1866"/>
      <c r="AM210" s="1866"/>
      <c r="AN210" s="1866"/>
      <c r="AO210" s="1866"/>
    </row>
    <row r="211" spans="1:41" ht="15" customHeight="1">
      <c r="A211" s="1866"/>
      <c r="B211" s="1866"/>
      <c r="C211" s="1866"/>
      <c r="D211" s="1866"/>
      <c r="E211" s="1866"/>
      <c r="F211" s="1866"/>
      <c r="G211" s="1866"/>
      <c r="H211" s="1866"/>
      <c r="I211" s="1866"/>
      <c r="J211" s="1866"/>
      <c r="K211" s="1866"/>
      <c r="L211" s="1866"/>
      <c r="M211" s="1866"/>
      <c r="N211" s="1866"/>
      <c r="O211" s="1866"/>
      <c r="P211" s="1866"/>
      <c r="Q211" s="1866"/>
      <c r="R211" s="1866"/>
      <c r="S211" s="1866"/>
      <c r="T211" s="1866"/>
      <c r="U211" s="1866"/>
      <c r="V211" s="1866"/>
      <c r="W211" s="1866"/>
      <c r="X211" s="1866"/>
      <c r="Y211" s="1866"/>
      <c r="Z211" s="1866"/>
      <c r="AA211" s="1866"/>
      <c r="AB211" s="1866"/>
      <c r="AC211" s="1866"/>
      <c r="AD211" s="1866"/>
      <c r="AE211" s="1866"/>
      <c r="AF211" s="1866"/>
      <c r="AG211" s="1866"/>
      <c r="AH211" s="1866"/>
      <c r="AI211" s="1866"/>
      <c r="AJ211" s="1866"/>
      <c r="AK211" s="1866"/>
      <c r="AL211" s="1866"/>
      <c r="AM211" s="1866"/>
      <c r="AN211" s="1866"/>
      <c r="AO211" s="1866"/>
    </row>
    <row r="212" spans="1:41" ht="15" customHeight="1">
      <c r="A212" s="1866"/>
      <c r="B212" s="1866"/>
      <c r="C212" s="1866"/>
      <c r="D212" s="1866"/>
      <c r="E212" s="1866"/>
      <c r="F212" s="1866"/>
      <c r="G212" s="1866"/>
      <c r="H212" s="1866"/>
      <c r="I212" s="1866"/>
      <c r="J212" s="1866"/>
      <c r="K212" s="1866"/>
      <c r="L212" s="1866"/>
      <c r="M212" s="1866"/>
      <c r="N212" s="1866"/>
      <c r="O212" s="1866"/>
      <c r="P212" s="1866"/>
      <c r="Q212" s="1866"/>
      <c r="R212" s="1866"/>
      <c r="S212" s="1866"/>
      <c r="T212" s="1866"/>
      <c r="U212" s="1866"/>
      <c r="V212" s="1866"/>
      <c r="W212" s="1866"/>
      <c r="X212" s="1866"/>
      <c r="Y212" s="1866"/>
      <c r="Z212" s="1866"/>
      <c r="AA212" s="1866"/>
      <c r="AB212" s="1866"/>
      <c r="AC212" s="1866"/>
      <c r="AD212" s="1866"/>
      <c r="AE212" s="1866"/>
      <c r="AF212" s="1866"/>
      <c r="AG212" s="1866"/>
      <c r="AH212" s="1866"/>
      <c r="AI212" s="1866"/>
      <c r="AJ212" s="1866"/>
      <c r="AK212" s="1866"/>
      <c r="AL212" s="1866"/>
      <c r="AM212" s="1866"/>
      <c r="AN212" s="1866"/>
      <c r="AO212" s="1866"/>
    </row>
    <row r="213" spans="1:41" ht="15" customHeight="1">
      <c r="A213" s="1866"/>
      <c r="B213" s="1866"/>
      <c r="C213" s="1866"/>
      <c r="D213" s="1866"/>
      <c r="E213" s="1866"/>
      <c r="F213" s="1866"/>
      <c r="G213" s="1866"/>
      <c r="H213" s="1866"/>
      <c r="I213" s="1866"/>
      <c r="J213" s="1866"/>
      <c r="K213" s="1866"/>
      <c r="L213" s="1866"/>
      <c r="M213" s="1866"/>
      <c r="N213" s="1866"/>
      <c r="O213" s="1866"/>
      <c r="P213" s="1866"/>
      <c r="Q213" s="1866"/>
      <c r="R213" s="1866"/>
      <c r="S213" s="1866"/>
      <c r="T213" s="1866"/>
      <c r="U213" s="1866"/>
      <c r="V213" s="1866"/>
      <c r="W213" s="1866"/>
      <c r="X213" s="1866"/>
      <c r="Y213" s="1866"/>
      <c r="Z213" s="1866"/>
      <c r="AA213" s="1866"/>
      <c r="AB213" s="1866"/>
      <c r="AC213" s="1866"/>
      <c r="AD213" s="1866"/>
      <c r="AE213" s="1866"/>
      <c r="AF213" s="1866"/>
      <c r="AG213" s="1866"/>
      <c r="AH213" s="1866"/>
      <c r="AI213" s="1866"/>
      <c r="AJ213" s="1866"/>
      <c r="AK213" s="1866"/>
      <c r="AL213" s="1866"/>
      <c r="AM213" s="1866"/>
      <c r="AN213" s="1866"/>
      <c r="AO213" s="1866"/>
    </row>
    <row r="214" spans="1:41" ht="15" customHeight="1">
      <c r="A214" s="1866"/>
      <c r="B214" s="1866"/>
      <c r="C214" s="1866"/>
      <c r="D214" s="1866"/>
      <c r="E214" s="1866"/>
      <c r="F214" s="1866"/>
      <c r="G214" s="1866"/>
      <c r="H214" s="1866"/>
      <c r="I214" s="1866"/>
      <c r="J214" s="1866"/>
      <c r="K214" s="1866"/>
      <c r="L214" s="1866"/>
      <c r="M214" s="1866"/>
      <c r="N214" s="1866"/>
      <c r="O214" s="1866"/>
      <c r="P214" s="1866"/>
      <c r="Q214" s="1866"/>
      <c r="R214" s="1866"/>
      <c r="S214" s="1866"/>
      <c r="T214" s="1866"/>
      <c r="U214" s="1866"/>
      <c r="V214" s="1866"/>
      <c r="W214" s="1866"/>
      <c r="X214" s="1866"/>
      <c r="Y214" s="1866"/>
      <c r="Z214" s="1866"/>
      <c r="AA214" s="1866"/>
      <c r="AB214" s="1866"/>
      <c r="AC214" s="1866"/>
      <c r="AD214" s="1866"/>
      <c r="AE214" s="1866"/>
      <c r="AF214" s="1866"/>
      <c r="AG214" s="1866"/>
      <c r="AH214" s="1866"/>
      <c r="AI214" s="1866"/>
      <c r="AJ214" s="1866"/>
      <c r="AK214" s="1866"/>
      <c r="AL214" s="1866"/>
      <c r="AM214" s="1866"/>
      <c r="AN214" s="1866"/>
      <c r="AO214" s="1866"/>
    </row>
    <row r="215" spans="1:41" ht="15" customHeight="1">
      <c r="A215" s="1866"/>
      <c r="B215" s="1866"/>
      <c r="C215" s="1866"/>
      <c r="D215" s="1866"/>
      <c r="E215" s="1866"/>
      <c r="F215" s="1866"/>
      <c r="G215" s="1866"/>
      <c r="H215" s="1866"/>
      <c r="I215" s="1866"/>
      <c r="J215" s="1866"/>
      <c r="K215" s="1866"/>
      <c r="L215" s="1866"/>
      <c r="M215" s="1866"/>
      <c r="N215" s="1866"/>
      <c r="O215" s="1866"/>
      <c r="P215" s="1866"/>
      <c r="Q215" s="1866"/>
      <c r="R215" s="1866"/>
      <c r="S215" s="1866"/>
      <c r="T215" s="1866"/>
      <c r="U215" s="1866"/>
      <c r="V215" s="1866"/>
      <c r="W215" s="1866"/>
      <c r="X215" s="1866"/>
      <c r="Y215" s="1866"/>
      <c r="Z215" s="1866"/>
      <c r="AA215" s="1866"/>
      <c r="AB215" s="1866"/>
      <c r="AC215" s="1866"/>
      <c r="AD215" s="1866"/>
      <c r="AE215" s="1866"/>
      <c r="AF215" s="1866"/>
      <c r="AG215" s="1866"/>
      <c r="AH215" s="1866"/>
      <c r="AI215" s="1866"/>
      <c r="AJ215" s="1866"/>
      <c r="AK215" s="1866"/>
      <c r="AL215" s="1866"/>
      <c r="AM215" s="1866"/>
      <c r="AN215" s="1866"/>
      <c r="AO215" s="1866"/>
    </row>
    <row r="216" spans="1:41" ht="15" customHeight="1">
      <c r="A216" s="1866"/>
      <c r="B216" s="1866"/>
      <c r="C216" s="1866"/>
      <c r="D216" s="1866"/>
      <c r="E216" s="1866"/>
      <c r="F216" s="1866"/>
      <c r="G216" s="1866"/>
      <c r="H216" s="1866"/>
      <c r="I216" s="1866"/>
      <c r="J216" s="1866"/>
      <c r="K216" s="1866"/>
      <c r="L216" s="1866"/>
      <c r="M216" s="1866"/>
      <c r="N216" s="1866"/>
      <c r="O216" s="1866"/>
      <c r="P216" s="1866"/>
      <c r="Q216" s="1866"/>
      <c r="R216" s="1866"/>
      <c r="S216" s="1866"/>
      <c r="T216" s="1866"/>
      <c r="U216" s="1866"/>
      <c r="V216" s="1866"/>
      <c r="W216" s="1866"/>
      <c r="X216" s="1866"/>
      <c r="Y216" s="1866"/>
      <c r="Z216" s="1866"/>
      <c r="AA216" s="1866"/>
      <c r="AB216" s="1866"/>
      <c r="AC216" s="1866"/>
      <c r="AD216" s="1866"/>
      <c r="AE216" s="1866"/>
      <c r="AF216" s="1866"/>
      <c r="AG216" s="1866"/>
      <c r="AH216" s="1866"/>
      <c r="AI216" s="1866"/>
      <c r="AJ216" s="1866"/>
      <c r="AK216" s="1866"/>
      <c r="AL216" s="1866"/>
      <c r="AM216" s="1866"/>
      <c r="AN216" s="1866"/>
      <c r="AO216" s="1866"/>
    </row>
    <row r="217" spans="1:41" ht="15" customHeight="1">
      <c r="A217" s="1866"/>
      <c r="B217" s="1866"/>
      <c r="C217" s="1866"/>
      <c r="D217" s="1866"/>
      <c r="E217" s="1866"/>
      <c r="F217" s="1866"/>
      <c r="G217" s="1866"/>
      <c r="H217" s="1866"/>
      <c r="I217" s="1866"/>
      <c r="J217" s="1866"/>
      <c r="K217" s="1866"/>
      <c r="L217" s="1866"/>
      <c r="M217" s="1866"/>
      <c r="N217" s="1866"/>
      <c r="O217" s="1866"/>
      <c r="P217" s="1866"/>
      <c r="Q217" s="1866"/>
      <c r="R217" s="1866"/>
      <c r="S217" s="1866"/>
      <c r="T217" s="1866"/>
      <c r="U217" s="1866"/>
      <c r="V217" s="1866"/>
      <c r="W217" s="1866"/>
      <c r="X217" s="1866"/>
      <c r="Y217" s="1866"/>
      <c r="Z217" s="1866"/>
      <c r="AA217" s="1866"/>
      <c r="AB217" s="1866"/>
      <c r="AC217" s="1866"/>
      <c r="AD217" s="1866"/>
      <c r="AE217" s="1866"/>
      <c r="AF217" s="1866"/>
      <c r="AG217" s="1866"/>
      <c r="AH217" s="1866"/>
      <c r="AI217" s="1866"/>
      <c r="AJ217" s="1866"/>
      <c r="AK217" s="1866"/>
      <c r="AL217" s="1866"/>
      <c r="AM217" s="1866"/>
      <c r="AN217" s="1866"/>
      <c r="AO217" s="1866"/>
    </row>
    <row r="218" spans="1:41" ht="15" customHeight="1">
      <c r="A218" s="1866"/>
      <c r="B218" s="1866"/>
      <c r="C218" s="1866"/>
      <c r="D218" s="1866"/>
      <c r="E218" s="1866"/>
      <c r="F218" s="1866"/>
      <c r="G218" s="1866"/>
      <c r="H218" s="1866"/>
      <c r="I218" s="1866"/>
      <c r="J218" s="1866"/>
      <c r="K218" s="1866"/>
      <c r="L218" s="1866"/>
      <c r="M218" s="1866"/>
      <c r="N218" s="1866"/>
      <c r="O218" s="1866"/>
      <c r="P218" s="1866"/>
      <c r="Q218" s="1866"/>
      <c r="R218" s="1866"/>
      <c r="S218" s="1866"/>
      <c r="T218" s="1866"/>
      <c r="U218" s="1866"/>
      <c r="V218" s="1866"/>
      <c r="W218" s="1866"/>
      <c r="X218" s="1866"/>
      <c r="Y218" s="1866"/>
      <c r="Z218" s="1866"/>
      <c r="AA218" s="1866"/>
      <c r="AB218" s="1866"/>
      <c r="AC218" s="1866"/>
      <c r="AD218" s="1866"/>
      <c r="AE218" s="1866"/>
      <c r="AF218" s="1866"/>
      <c r="AG218" s="1866"/>
      <c r="AH218" s="1866"/>
      <c r="AI218" s="1866"/>
      <c r="AJ218" s="1866"/>
      <c r="AK218" s="1866"/>
      <c r="AL218" s="1866"/>
      <c r="AM218" s="1866"/>
      <c r="AN218" s="1866"/>
      <c r="AO218" s="1866"/>
    </row>
    <row r="219" spans="1:41" ht="15" customHeight="1">
      <c r="A219" s="1866"/>
      <c r="B219" s="1866"/>
      <c r="C219" s="1866"/>
      <c r="D219" s="1866"/>
      <c r="E219" s="1866"/>
      <c r="F219" s="1866"/>
      <c r="G219" s="1866"/>
      <c r="H219" s="1866"/>
      <c r="I219" s="1866"/>
      <c r="J219" s="1866"/>
      <c r="K219" s="1866"/>
      <c r="L219" s="1866"/>
      <c r="M219" s="1866"/>
      <c r="N219" s="1866"/>
      <c r="O219" s="1866"/>
      <c r="P219" s="1866"/>
      <c r="Q219" s="1866"/>
      <c r="R219" s="1866"/>
      <c r="S219" s="1866"/>
      <c r="T219" s="1866"/>
      <c r="U219" s="1866"/>
      <c r="V219" s="1866"/>
      <c r="W219" s="1866"/>
      <c r="X219" s="1866"/>
      <c r="Y219" s="1866"/>
      <c r="Z219" s="1866"/>
      <c r="AA219" s="1866"/>
      <c r="AB219" s="1866"/>
      <c r="AC219" s="1866"/>
      <c r="AD219" s="1866"/>
      <c r="AE219" s="1866"/>
      <c r="AF219" s="1866"/>
      <c r="AG219" s="1866"/>
      <c r="AH219" s="1866"/>
      <c r="AI219" s="1866"/>
      <c r="AJ219" s="1866"/>
      <c r="AK219" s="1866"/>
      <c r="AL219" s="1866"/>
      <c r="AM219" s="1866"/>
      <c r="AN219" s="1866"/>
      <c r="AO219" s="1866"/>
    </row>
    <row r="220" spans="1:41" ht="15" customHeight="1">
      <c r="A220" s="1866"/>
      <c r="B220" s="1866"/>
      <c r="C220" s="1866"/>
      <c r="D220" s="1866"/>
      <c r="E220" s="1866"/>
      <c r="F220" s="1866"/>
      <c r="G220" s="1866"/>
      <c r="H220" s="1866"/>
      <c r="I220" s="1866"/>
      <c r="J220" s="1866"/>
      <c r="K220" s="1866"/>
      <c r="L220" s="1866"/>
      <c r="M220" s="1866"/>
      <c r="N220" s="1866"/>
      <c r="O220" s="1866"/>
      <c r="P220" s="1866"/>
      <c r="Q220" s="1866"/>
      <c r="R220" s="1866"/>
      <c r="S220" s="1866"/>
      <c r="T220" s="1866"/>
      <c r="U220" s="1866"/>
      <c r="V220" s="1866"/>
      <c r="W220" s="1866"/>
      <c r="X220" s="1866"/>
      <c r="Y220" s="1866"/>
      <c r="Z220" s="1866"/>
      <c r="AA220" s="1866"/>
      <c r="AB220" s="1866"/>
      <c r="AC220" s="1866"/>
      <c r="AD220" s="1866"/>
      <c r="AE220" s="1866"/>
      <c r="AF220" s="1866"/>
      <c r="AG220" s="1866"/>
      <c r="AH220" s="1866"/>
      <c r="AI220" s="1866"/>
      <c r="AJ220" s="1866"/>
      <c r="AK220" s="1866"/>
      <c r="AL220" s="1866"/>
      <c r="AM220" s="1866"/>
      <c r="AN220" s="1866"/>
      <c r="AO220" s="1866"/>
    </row>
    <row r="221" spans="1:41" ht="15" customHeight="1">
      <c r="A221" s="1866"/>
      <c r="B221" s="1866"/>
      <c r="C221" s="1866"/>
      <c r="D221" s="1866"/>
      <c r="E221" s="1866"/>
      <c r="F221" s="1866"/>
      <c r="G221" s="1866"/>
      <c r="H221" s="1866"/>
      <c r="I221" s="1866"/>
      <c r="J221" s="1866"/>
      <c r="K221" s="1866"/>
      <c r="L221" s="1866"/>
      <c r="M221" s="1866"/>
      <c r="N221" s="1866"/>
      <c r="O221" s="1866"/>
      <c r="P221" s="1866"/>
      <c r="Q221" s="1866"/>
      <c r="R221" s="1866"/>
      <c r="S221" s="1866"/>
      <c r="T221" s="1866"/>
      <c r="U221" s="1866"/>
      <c r="V221" s="1866"/>
      <c r="W221" s="1866"/>
      <c r="X221" s="1866"/>
      <c r="Y221" s="1866"/>
      <c r="Z221" s="1866"/>
      <c r="AA221" s="1866"/>
      <c r="AB221" s="1866"/>
      <c r="AC221" s="1866"/>
      <c r="AD221" s="1866"/>
      <c r="AE221" s="1866"/>
      <c r="AF221" s="1866"/>
      <c r="AG221" s="1866"/>
      <c r="AH221" s="1866"/>
      <c r="AI221" s="1866"/>
      <c r="AJ221" s="1866"/>
      <c r="AK221" s="1866"/>
      <c r="AL221" s="1866"/>
      <c r="AM221" s="1866"/>
      <c r="AN221" s="1866"/>
      <c r="AO221" s="1866"/>
    </row>
    <row r="222" spans="1:41" ht="15" customHeight="1">
      <c r="A222" s="1866"/>
      <c r="B222" s="1866"/>
      <c r="C222" s="1866"/>
      <c r="D222" s="1866"/>
      <c r="E222" s="1866"/>
      <c r="F222" s="1866"/>
      <c r="G222" s="1866"/>
      <c r="H222" s="1866"/>
      <c r="I222" s="1866"/>
      <c r="J222" s="1866"/>
      <c r="K222" s="1866"/>
      <c r="L222" s="1866"/>
      <c r="M222" s="1866"/>
      <c r="N222" s="1866"/>
      <c r="O222" s="1866"/>
      <c r="P222" s="1866"/>
      <c r="Q222" s="1866"/>
      <c r="R222" s="1866"/>
      <c r="S222" s="1866"/>
      <c r="T222" s="1866"/>
      <c r="U222" s="1866"/>
      <c r="V222" s="1866"/>
      <c r="W222" s="1866"/>
      <c r="X222" s="1866"/>
      <c r="Y222" s="1866"/>
      <c r="Z222" s="1866"/>
      <c r="AA222" s="1866"/>
      <c r="AB222" s="1866"/>
      <c r="AC222" s="1866"/>
      <c r="AD222" s="1866"/>
      <c r="AE222" s="1866"/>
      <c r="AF222" s="1866"/>
      <c r="AG222" s="1866"/>
      <c r="AH222" s="1866"/>
      <c r="AI222" s="1866"/>
      <c r="AJ222" s="1866"/>
      <c r="AK222" s="1866"/>
      <c r="AL222" s="1866"/>
      <c r="AM222" s="1866"/>
      <c r="AN222" s="1866"/>
      <c r="AO222" s="1866"/>
    </row>
    <row r="223" spans="1:41" ht="15" customHeight="1">
      <c r="A223" s="1866"/>
      <c r="B223" s="1866"/>
      <c r="C223" s="1866"/>
      <c r="D223" s="1866"/>
      <c r="E223" s="1866"/>
      <c r="F223" s="1866"/>
      <c r="G223" s="1866"/>
      <c r="H223" s="1866"/>
      <c r="I223" s="1866"/>
      <c r="J223" s="1866"/>
      <c r="K223" s="1866"/>
      <c r="L223" s="1866"/>
      <c r="M223" s="1866"/>
      <c r="N223" s="1866"/>
      <c r="O223" s="1866"/>
      <c r="P223" s="1866"/>
      <c r="Q223" s="1866"/>
      <c r="R223" s="1866"/>
      <c r="S223" s="1866"/>
      <c r="T223" s="1866"/>
      <c r="U223" s="1866"/>
      <c r="V223" s="1866"/>
      <c r="W223" s="1866"/>
      <c r="X223" s="1866"/>
      <c r="Y223" s="1866"/>
      <c r="Z223" s="1866"/>
      <c r="AA223" s="1866"/>
      <c r="AB223" s="1866"/>
      <c r="AC223" s="1866"/>
      <c r="AD223" s="1866"/>
      <c r="AE223" s="1866"/>
      <c r="AF223" s="1866"/>
      <c r="AG223" s="1866"/>
      <c r="AH223" s="1866"/>
      <c r="AI223" s="1866"/>
      <c r="AJ223" s="1866"/>
      <c r="AK223" s="1866"/>
      <c r="AL223" s="1866"/>
      <c r="AM223" s="1866"/>
      <c r="AN223" s="1866"/>
      <c r="AO223" s="1866"/>
    </row>
    <row r="224" spans="1:41" ht="15" customHeight="1">
      <c r="A224" s="1866"/>
      <c r="B224" s="1866"/>
      <c r="C224" s="1866"/>
      <c r="D224" s="1866"/>
      <c r="E224" s="1866"/>
      <c r="F224" s="1866"/>
      <c r="G224" s="1866"/>
      <c r="H224" s="1866"/>
      <c r="I224" s="1866"/>
      <c r="J224" s="1866"/>
      <c r="K224" s="1866"/>
      <c r="L224" s="1866"/>
      <c r="M224" s="1866"/>
      <c r="N224" s="1866"/>
      <c r="O224" s="1866"/>
      <c r="P224" s="1866"/>
      <c r="Q224" s="1866"/>
      <c r="R224" s="1866"/>
      <c r="S224" s="1866"/>
      <c r="T224" s="1866"/>
      <c r="U224" s="1866"/>
      <c r="V224" s="1866"/>
      <c r="W224" s="1866"/>
      <c r="X224" s="1866"/>
      <c r="Y224" s="1866"/>
      <c r="Z224" s="1866"/>
      <c r="AA224" s="1866"/>
      <c r="AB224" s="1866"/>
      <c r="AC224" s="1866"/>
      <c r="AD224" s="1866"/>
      <c r="AE224" s="1866"/>
      <c r="AF224" s="1866"/>
      <c r="AG224" s="1866"/>
      <c r="AH224" s="1866"/>
      <c r="AI224" s="1866"/>
      <c r="AJ224" s="1866"/>
      <c r="AK224" s="1866"/>
      <c r="AL224" s="1866"/>
      <c r="AM224" s="1866"/>
      <c r="AN224" s="1866"/>
      <c r="AO224" s="1866"/>
    </row>
    <row r="225" spans="1:41" ht="15" customHeight="1">
      <c r="A225" s="1866"/>
      <c r="B225" s="1866"/>
      <c r="C225" s="1866"/>
      <c r="D225" s="1866"/>
      <c r="E225" s="1866"/>
      <c r="F225" s="1866"/>
      <c r="G225" s="1866"/>
      <c r="H225" s="1866"/>
      <c r="I225" s="1866"/>
      <c r="J225" s="1866"/>
      <c r="K225" s="1866"/>
      <c r="L225" s="1866"/>
      <c r="M225" s="1866"/>
      <c r="N225" s="1866"/>
      <c r="O225" s="1866"/>
      <c r="P225" s="1866"/>
      <c r="Q225" s="1866"/>
      <c r="R225" s="1866"/>
      <c r="S225" s="1866"/>
      <c r="T225" s="1866"/>
      <c r="U225" s="1866"/>
      <c r="V225" s="1866"/>
      <c r="W225" s="1866"/>
      <c r="X225" s="1866"/>
      <c r="Y225" s="1866"/>
      <c r="Z225" s="1866"/>
      <c r="AA225" s="1866"/>
      <c r="AB225" s="1866"/>
      <c r="AC225" s="1866"/>
      <c r="AD225" s="1866"/>
      <c r="AE225" s="1866"/>
      <c r="AF225" s="1866"/>
      <c r="AG225" s="1866"/>
      <c r="AH225" s="1866"/>
      <c r="AI225" s="1866"/>
      <c r="AJ225" s="1866"/>
      <c r="AK225" s="1866"/>
      <c r="AL225" s="1866"/>
      <c r="AM225" s="1866"/>
      <c r="AN225" s="1866"/>
      <c r="AO225" s="1866"/>
    </row>
    <row r="226" spans="1:41" ht="15" customHeight="1">
      <c r="A226" s="1866"/>
      <c r="B226" s="1866"/>
      <c r="C226" s="1866"/>
      <c r="D226" s="1866"/>
      <c r="E226" s="1866"/>
      <c r="F226" s="1866"/>
      <c r="G226" s="1866"/>
      <c r="H226" s="1866"/>
      <c r="I226" s="1866"/>
      <c r="J226" s="1866"/>
      <c r="K226" s="1866"/>
      <c r="L226" s="1866"/>
      <c r="M226" s="1866"/>
      <c r="N226" s="1866"/>
      <c r="O226" s="1866"/>
      <c r="P226" s="1866"/>
      <c r="Q226" s="1866"/>
      <c r="R226" s="1866"/>
      <c r="S226" s="1866"/>
      <c r="T226" s="1866"/>
      <c r="U226" s="1866"/>
      <c r="V226" s="1866"/>
      <c r="W226" s="1866"/>
      <c r="X226" s="1866"/>
      <c r="Y226" s="1866"/>
      <c r="Z226" s="1866"/>
      <c r="AA226" s="1866"/>
      <c r="AB226" s="1866"/>
      <c r="AC226" s="1866"/>
      <c r="AD226" s="1866"/>
      <c r="AE226" s="1866"/>
      <c r="AF226" s="1866"/>
      <c r="AG226" s="1866"/>
      <c r="AH226" s="1866"/>
      <c r="AI226" s="1866"/>
      <c r="AJ226" s="1866"/>
      <c r="AK226" s="1866"/>
      <c r="AL226" s="1866"/>
      <c r="AM226" s="1866"/>
      <c r="AN226" s="1866"/>
      <c r="AO226" s="1866"/>
    </row>
    <row r="227" spans="1:41" ht="15" customHeight="1">
      <c r="A227" s="1866"/>
      <c r="B227" s="1866"/>
      <c r="C227" s="1866"/>
      <c r="D227" s="1866"/>
      <c r="E227" s="1866"/>
      <c r="F227" s="1866"/>
      <c r="G227" s="1866"/>
      <c r="H227" s="1866"/>
      <c r="I227" s="1866"/>
      <c r="J227" s="1866"/>
      <c r="K227" s="1866"/>
      <c r="L227" s="1866"/>
      <c r="M227" s="1866"/>
      <c r="N227" s="1866"/>
      <c r="O227" s="1866"/>
      <c r="P227" s="1866"/>
      <c r="Q227" s="1866"/>
      <c r="R227" s="1866"/>
      <c r="S227" s="1866"/>
      <c r="T227" s="1866"/>
      <c r="U227" s="1866"/>
      <c r="V227" s="1866"/>
      <c r="W227" s="1866"/>
      <c r="X227" s="1866"/>
      <c r="Y227" s="1866"/>
      <c r="Z227" s="1866"/>
      <c r="AA227" s="1866"/>
      <c r="AB227" s="1866"/>
      <c r="AC227" s="1866"/>
      <c r="AD227" s="1866"/>
      <c r="AE227" s="1866"/>
      <c r="AF227" s="1866"/>
      <c r="AG227" s="1866"/>
      <c r="AH227" s="1866"/>
      <c r="AI227" s="1866"/>
      <c r="AJ227" s="1866"/>
      <c r="AK227" s="1866"/>
      <c r="AL227" s="1866"/>
      <c r="AM227" s="1866"/>
      <c r="AN227" s="1866"/>
      <c r="AO227" s="1866"/>
    </row>
    <row r="228" spans="1:41" ht="15" customHeight="1">
      <c r="A228" s="1866"/>
      <c r="B228" s="1866"/>
      <c r="C228" s="1866"/>
      <c r="D228" s="1866"/>
      <c r="E228" s="1866"/>
      <c r="F228" s="1866"/>
      <c r="G228" s="1866"/>
      <c r="H228" s="1866"/>
      <c r="I228" s="1866"/>
      <c r="J228" s="1866"/>
      <c r="K228" s="1866"/>
      <c r="L228" s="1866"/>
      <c r="M228" s="1866"/>
      <c r="N228" s="1866"/>
      <c r="O228" s="1866"/>
      <c r="P228" s="1866"/>
      <c r="Q228" s="1866"/>
      <c r="R228" s="1866"/>
      <c r="S228" s="1866"/>
      <c r="T228" s="1866"/>
      <c r="U228" s="1866"/>
      <c r="V228" s="1866"/>
      <c r="W228" s="1866"/>
      <c r="X228" s="1866"/>
      <c r="Y228" s="1866"/>
      <c r="Z228" s="1866"/>
      <c r="AA228" s="1866"/>
      <c r="AB228" s="1866"/>
      <c r="AC228" s="1866"/>
      <c r="AD228" s="1866"/>
      <c r="AE228" s="1866"/>
      <c r="AF228" s="1866"/>
      <c r="AG228" s="1866"/>
      <c r="AH228" s="1866"/>
      <c r="AI228" s="1866"/>
      <c r="AJ228" s="1866"/>
      <c r="AK228" s="1866"/>
      <c r="AL228" s="1866"/>
      <c r="AM228" s="1866"/>
      <c r="AN228" s="1866"/>
      <c r="AO228" s="1866"/>
    </row>
    <row r="229" spans="1:41" ht="15" customHeight="1">
      <c r="A229" s="1866"/>
      <c r="B229" s="1866"/>
      <c r="C229" s="1866"/>
      <c r="D229" s="1866"/>
      <c r="E229" s="1866"/>
      <c r="F229" s="1866"/>
      <c r="G229" s="1866"/>
      <c r="H229" s="1866"/>
      <c r="I229" s="1866"/>
      <c r="J229" s="1866"/>
      <c r="K229" s="1866"/>
      <c r="L229" s="1866"/>
      <c r="M229" s="1866"/>
      <c r="N229" s="1866"/>
      <c r="O229" s="1866"/>
      <c r="P229" s="1866"/>
      <c r="Q229" s="1866"/>
      <c r="R229" s="1866"/>
      <c r="S229" s="1866"/>
      <c r="T229" s="1866"/>
      <c r="U229" s="1866"/>
      <c r="V229" s="1866"/>
      <c r="W229" s="1866"/>
      <c r="X229" s="1866"/>
      <c r="Y229" s="1866"/>
      <c r="Z229" s="1866"/>
      <c r="AA229" s="1866"/>
      <c r="AB229" s="1866"/>
      <c r="AC229" s="1866"/>
      <c r="AD229" s="1866"/>
      <c r="AE229" s="1866"/>
      <c r="AF229" s="1866"/>
      <c r="AG229" s="1866"/>
      <c r="AH229" s="1866"/>
      <c r="AI229" s="1866"/>
      <c r="AJ229" s="1866"/>
      <c r="AK229" s="1866"/>
      <c r="AL229" s="1866"/>
      <c r="AM229" s="1866"/>
      <c r="AN229" s="1866"/>
      <c r="AO229" s="1866"/>
    </row>
    <row r="230" spans="1:41" ht="15" customHeight="1">
      <c r="A230" s="1866"/>
      <c r="B230" s="1866"/>
      <c r="C230" s="1866"/>
      <c r="D230" s="1866"/>
      <c r="E230" s="1866"/>
      <c r="F230" s="1866"/>
      <c r="G230" s="1866"/>
      <c r="H230" s="1866"/>
      <c r="I230" s="1866"/>
      <c r="J230" s="1866"/>
      <c r="K230" s="1866"/>
      <c r="L230" s="1866"/>
      <c r="M230" s="1866"/>
      <c r="N230" s="1866"/>
      <c r="O230" s="1866"/>
      <c r="P230" s="1866"/>
      <c r="Q230" s="1866"/>
      <c r="R230" s="1866"/>
      <c r="S230" s="1866"/>
      <c r="T230" s="1866"/>
      <c r="U230" s="1866"/>
      <c r="V230" s="1866"/>
      <c r="W230" s="1866"/>
      <c r="X230" s="1866"/>
      <c r="Y230" s="1866"/>
      <c r="Z230" s="1866"/>
      <c r="AA230" s="1866"/>
      <c r="AB230" s="1866"/>
      <c r="AC230" s="1866"/>
      <c r="AD230" s="1866"/>
      <c r="AE230" s="1866"/>
      <c r="AF230" s="1866"/>
      <c r="AG230" s="1866"/>
      <c r="AH230" s="1866"/>
      <c r="AI230" s="1866"/>
      <c r="AJ230" s="1866"/>
      <c r="AK230" s="1866"/>
      <c r="AL230" s="1866"/>
      <c r="AM230" s="1866"/>
      <c r="AN230" s="1866"/>
      <c r="AO230" s="1866"/>
    </row>
    <row r="231" spans="1:41" ht="15" customHeight="1">
      <c r="A231" s="1866"/>
      <c r="B231" s="1866"/>
      <c r="C231" s="1866"/>
      <c r="D231" s="1866"/>
      <c r="E231" s="1866"/>
      <c r="F231" s="1866"/>
      <c r="G231" s="1866"/>
      <c r="H231" s="1866"/>
      <c r="I231" s="1866"/>
      <c r="J231" s="1866"/>
      <c r="K231" s="1866"/>
      <c r="L231" s="1866"/>
      <c r="M231" s="1866"/>
      <c r="N231" s="1866"/>
      <c r="O231" s="1866"/>
      <c r="P231" s="1866"/>
      <c r="Q231" s="1866"/>
      <c r="R231" s="1866"/>
      <c r="S231" s="1866"/>
      <c r="T231" s="1866"/>
      <c r="U231" s="1866"/>
      <c r="V231" s="1866"/>
      <c r="W231" s="1866"/>
      <c r="X231" s="1866"/>
      <c r="Y231" s="1866"/>
      <c r="Z231" s="1866"/>
      <c r="AA231" s="1866"/>
      <c r="AB231" s="1866"/>
      <c r="AC231" s="1866"/>
      <c r="AD231" s="1866"/>
      <c r="AE231" s="1866"/>
      <c r="AF231" s="1866"/>
      <c r="AG231" s="1866"/>
      <c r="AH231" s="1866"/>
      <c r="AI231" s="1866"/>
      <c r="AJ231" s="1866"/>
      <c r="AK231" s="1866"/>
      <c r="AL231" s="1866"/>
      <c r="AM231" s="1866"/>
      <c r="AN231" s="1866"/>
      <c r="AO231" s="1866"/>
    </row>
    <row r="232" spans="1:41" ht="15" customHeight="1">
      <c r="A232" s="1866"/>
      <c r="B232" s="1866"/>
      <c r="C232" s="1866"/>
      <c r="D232" s="1866"/>
      <c r="E232" s="1866"/>
      <c r="F232" s="1866"/>
      <c r="G232" s="1866"/>
      <c r="H232" s="1866"/>
      <c r="I232" s="1866"/>
      <c r="J232" s="1866"/>
      <c r="K232" s="1866"/>
      <c r="L232" s="1866"/>
      <c r="M232" s="1866"/>
      <c r="N232" s="1866"/>
      <c r="O232" s="1866"/>
      <c r="P232" s="1866"/>
      <c r="Q232" s="1866"/>
      <c r="R232" s="1866"/>
      <c r="S232" s="1866"/>
      <c r="T232" s="1866"/>
      <c r="U232" s="1866"/>
      <c r="V232" s="1866"/>
      <c r="W232" s="1866"/>
      <c r="X232" s="1866"/>
      <c r="Y232" s="1866"/>
      <c r="Z232" s="1866"/>
      <c r="AA232" s="1866"/>
      <c r="AB232" s="1866"/>
      <c r="AC232" s="1866"/>
      <c r="AD232" s="1866"/>
      <c r="AE232" s="1866"/>
      <c r="AF232" s="1866"/>
      <c r="AG232" s="1866"/>
      <c r="AH232" s="1866"/>
      <c r="AI232" s="1866"/>
      <c r="AJ232" s="1866"/>
      <c r="AK232" s="1866"/>
      <c r="AL232" s="1866"/>
      <c r="AM232" s="1866"/>
      <c r="AN232" s="1866"/>
      <c r="AO232" s="1866"/>
    </row>
    <row r="233" spans="1:41" ht="15" customHeight="1">
      <c r="A233" s="1866"/>
      <c r="B233" s="1866"/>
      <c r="C233" s="1866"/>
      <c r="D233" s="1866"/>
      <c r="E233" s="1866"/>
      <c r="F233" s="1866"/>
      <c r="G233" s="1866"/>
      <c r="H233" s="1866"/>
      <c r="I233" s="1866"/>
      <c r="J233" s="1866"/>
      <c r="K233" s="1866"/>
      <c r="L233" s="1866"/>
      <c r="M233" s="1866"/>
      <c r="N233" s="1866"/>
      <c r="O233" s="1866"/>
      <c r="P233" s="1866"/>
      <c r="Q233" s="1866"/>
      <c r="R233" s="1866"/>
      <c r="S233" s="1866"/>
      <c r="T233" s="1866"/>
      <c r="U233" s="1866"/>
      <c r="V233" s="1866"/>
      <c r="W233" s="1866"/>
      <c r="X233" s="1866"/>
      <c r="Y233" s="1866"/>
      <c r="Z233" s="1866"/>
      <c r="AA233" s="1866"/>
      <c r="AB233" s="1866"/>
      <c r="AC233" s="1866"/>
      <c r="AD233" s="1866"/>
      <c r="AE233" s="1866"/>
      <c r="AF233" s="1866"/>
      <c r="AG233" s="1866"/>
      <c r="AH233" s="1866"/>
      <c r="AI233" s="1866"/>
      <c r="AJ233" s="1866"/>
      <c r="AK233" s="1866"/>
      <c r="AL233" s="1866"/>
      <c r="AM233" s="1866"/>
      <c r="AN233" s="1866"/>
      <c r="AO233" s="1866"/>
    </row>
    <row r="234" spans="1:41" ht="15" customHeight="1">
      <c r="A234" s="1866"/>
      <c r="B234" s="1866"/>
      <c r="C234" s="1866"/>
      <c r="D234" s="1866"/>
      <c r="E234" s="1866"/>
      <c r="F234" s="1866"/>
      <c r="G234" s="1866"/>
      <c r="H234" s="1866"/>
      <c r="I234" s="1866"/>
      <c r="J234" s="1866"/>
      <c r="K234" s="1866"/>
      <c r="L234" s="1866"/>
      <c r="M234" s="1866"/>
      <c r="N234" s="1866"/>
      <c r="O234" s="1866"/>
      <c r="P234" s="1866"/>
      <c r="Q234" s="1866"/>
      <c r="R234" s="1866"/>
      <c r="S234" s="1866"/>
      <c r="T234" s="1866"/>
      <c r="U234" s="1866"/>
      <c r="V234" s="1866"/>
      <c r="W234" s="1866"/>
      <c r="X234" s="1866"/>
      <c r="Y234" s="1866"/>
      <c r="Z234" s="1866"/>
      <c r="AA234" s="1866"/>
      <c r="AB234" s="1866"/>
      <c r="AC234" s="1866"/>
      <c r="AD234" s="1866"/>
      <c r="AE234" s="1866"/>
      <c r="AF234" s="1866"/>
      <c r="AG234" s="1866"/>
      <c r="AH234" s="1866"/>
      <c r="AI234" s="1866"/>
      <c r="AJ234" s="1866"/>
      <c r="AK234" s="1866"/>
      <c r="AL234" s="1866"/>
      <c r="AM234" s="1866"/>
      <c r="AN234" s="1866"/>
      <c r="AO234" s="1866"/>
    </row>
    <row r="235" spans="1:41" ht="15" customHeight="1">
      <c r="A235" s="1866"/>
      <c r="B235" s="1866"/>
      <c r="C235" s="1866"/>
      <c r="D235" s="1866"/>
      <c r="E235" s="1866"/>
      <c r="F235" s="1866"/>
      <c r="G235" s="1866"/>
      <c r="H235" s="1866"/>
      <c r="I235" s="1866"/>
      <c r="J235" s="1866"/>
      <c r="K235" s="1866"/>
      <c r="L235" s="1866"/>
      <c r="M235" s="1866"/>
      <c r="N235" s="1866"/>
      <c r="O235" s="1866"/>
      <c r="P235" s="1866"/>
      <c r="Q235" s="1866"/>
      <c r="R235" s="1866"/>
      <c r="S235" s="1866"/>
      <c r="T235" s="1866"/>
      <c r="U235" s="1866"/>
      <c r="V235" s="1866"/>
      <c r="W235" s="1866"/>
      <c r="X235" s="1866"/>
      <c r="Y235" s="1866"/>
      <c r="Z235" s="1866"/>
      <c r="AA235" s="1866"/>
      <c r="AB235" s="1866"/>
      <c r="AC235" s="1866"/>
      <c r="AD235" s="1866"/>
      <c r="AE235" s="1866"/>
      <c r="AF235" s="1866"/>
      <c r="AG235" s="1866"/>
      <c r="AH235" s="1866"/>
      <c r="AI235" s="1866"/>
      <c r="AJ235" s="1866"/>
      <c r="AK235" s="1866"/>
      <c r="AL235" s="1866"/>
      <c r="AM235" s="1866"/>
      <c r="AN235" s="1866"/>
      <c r="AO235" s="1866"/>
    </row>
    <row r="236" spans="1:41" ht="15" customHeight="1">
      <c r="A236" s="1866"/>
      <c r="B236" s="1866"/>
      <c r="C236" s="1866"/>
      <c r="D236" s="1866"/>
      <c r="E236" s="1866"/>
      <c r="F236" s="1866"/>
      <c r="G236" s="1866"/>
      <c r="H236" s="1866"/>
      <c r="I236" s="1866"/>
      <c r="J236" s="1866"/>
      <c r="K236" s="1866"/>
      <c r="L236" s="1866"/>
      <c r="M236" s="1866"/>
      <c r="N236" s="1866"/>
      <c r="O236" s="1866"/>
      <c r="P236" s="1866"/>
      <c r="Q236" s="1866"/>
      <c r="R236" s="1866"/>
      <c r="S236" s="1866"/>
      <c r="T236" s="1866"/>
      <c r="U236" s="1866"/>
      <c r="V236" s="1866"/>
      <c r="W236" s="1866"/>
      <c r="X236" s="1866"/>
      <c r="Y236" s="1866"/>
      <c r="Z236" s="1866"/>
      <c r="AA236" s="1866"/>
      <c r="AB236" s="1866"/>
      <c r="AC236" s="1866"/>
      <c r="AD236" s="1866"/>
      <c r="AE236" s="1866"/>
      <c r="AF236" s="1866"/>
      <c r="AG236" s="1866"/>
      <c r="AH236" s="1866"/>
      <c r="AI236" s="1866"/>
      <c r="AJ236" s="1866"/>
      <c r="AK236" s="1866"/>
      <c r="AL236" s="1866"/>
      <c r="AM236" s="1866"/>
      <c r="AN236" s="1866"/>
      <c r="AO236" s="1866"/>
    </row>
    <row r="237" spans="1:41" ht="15" customHeight="1">
      <c r="A237" s="1866"/>
      <c r="B237" s="1866"/>
      <c r="C237" s="1866"/>
      <c r="D237" s="1866"/>
      <c r="E237" s="1866"/>
      <c r="F237" s="1866"/>
      <c r="G237" s="1866"/>
      <c r="H237" s="1866"/>
      <c r="I237" s="1866"/>
      <c r="J237" s="1866"/>
      <c r="K237" s="1866"/>
      <c r="L237" s="1866"/>
      <c r="M237" s="1866"/>
      <c r="N237" s="1866"/>
      <c r="O237" s="1866"/>
      <c r="P237" s="1866"/>
      <c r="Q237" s="1866"/>
      <c r="R237" s="1866"/>
      <c r="S237" s="1866"/>
      <c r="T237" s="1866"/>
      <c r="U237" s="1866"/>
      <c r="V237" s="1866"/>
      <c r="W237" s="1866"/>
      <c r="X237" s="1866"/>
      <c r="Y237" s="1866"/>
      <c r="Z237" s="1866"/>
      <c r="AA237" s="1866"/>
      <c r="AB237" s="1866"/>
      <c r="AC237" s="1866"/>
      <c r="AD237" s="1866"/>
      <c r="AE237" s="1866"/>
      <c r="AF237" s="1866"/>
      <c r="AG237" s="1866"/>
      <c r="AH237" s="1866"/>
      <c r="AI237" s="1866"/>
      <c r="AJ237" s="1866"/>
      <c r="AK237" s="1866"/>
      <c r="AL237" s="1866"/>
      <c r="AM237" s="1866"/>
      <c r="AN237" s="1866"/>
      <c r="AO237" s="1866"/>
    </row>
    <row r="238" spans="1:41" ht="15" customHeight="1">
      <c r="A238" s="1866"/>
      <c r="B238" s="1866"/>
      <c r="C238" s="1866"/>
      <c r="D238" s="1866"/>
      <c r="E238" s="1866"/>
      <c r="F238" s="1866"/>
      <c r="G238" s="1866"/>
      <c r="H238" s="1866"/>
      <c r="I238" s="1866"/>
      <c r="J238" s="1866"/>
      <c r="K238" s="1866"/>
      <c r="L238" s="1866"/>
      <c r="M238" s="1866"/>
      <c r="N238" s="1866"/>
      <c r="O238" s="1866"/>
      <c r="P238" s="1866"/>
      <c r="Q238" s="1866"/>
      <c r="R238" s="1866"/>
      <c r="S238" s="1866"/>
      <c r="T238" s="1866"/>
      <c r="U238" s="1866"/>
      <c r="V238" s="1866"/>
      <c r="W238" s="1866"/>
      <c r="X238" s="1866"/>
      <c r="Y238" s="1866"/>
      <c r="Z238" s="1866"/>
      <c r="AA238" s="1866"/>
      <c r="AB238" s="1866"/>
      <c r="AC238" s="1866"/>
      <c r="AD238" s="1866"/>
      <c r="AE238" s="1866"/>
      <c r="AF238" s="1866"/>
      <c r="AG238" s="1866"/>
      <c r="AH238" s="1866"/>
      <c r="AI238" s="1866"/>
      <c r="AJ238" s="1866"/>
      <c r="AK238" s="1866"/>
      <c r="AL238" s="1866"/>
      <c r="AM238" s="1866"/>
      <c r="AN238" s="1866"/>
      <c r="AO238" s="1866"/>
    </row>
    <row r="239" spans="1:41" ht="15" customHeight="1">
      <c r="A239" s="1866"/>
      <c r="B239" s="1866"/>
      <c r="C239" s="1866"/>
      <c r="D239" s="1866"/>
      <c r="E239" s="1866"/>
      <c r="F239" s="1866"/>
      <c r="G239" s="1866"/>
      <c r="H239" s="1866"/>
      <c r="I239" s="1866"/>
      <c r="J239" s="1866"/>
      <c r="K239" s="1866"/>
      <c r="L239" s="1866"/>
      <c r="M239" s="1866"/>
      <c r="N239" s="1866"/>
      <c r="O239" s="1866"/>
      <c r="P239" s="1866"/>
      <c r="Q239" s="1866"/>
      <c r="R239" s="1866"/>
      <c r="S239" s="1866"/>
      <c r="T239" s="1866"/>
      <c r="U239" s="1866"/>
      <c r="V239" s="1866"/>
      <c r="W239" s="1866"/>
      <c r="X239" s="1866"/>
      <c r="Y239" s="1866"/>
      <c r="Z239" s="1866"/>
      <c r="AA239" s="1866"/>
      <c r="AB239" s="1866"/>
      <c r="AC239" s="1866"/>
      <c r="AD239" s="1866"/>
      <c r="AE239" s="1866"/>
      <c r="AF239" s="1866"/>
      <c r="AG239" s="1866"/>
      <c r="AH239" s="1866"/>
      <c r="AI239" s="1866"/>
      <c r="AJ239" s="1866"/>
      <c r="AK239" s="1866"/>
      <c r="AL239" s="1866"/>
      <c r="AM239" s="1866"/>
      <c r="AN239" s="1866"/>
      <c r="AO239" s="1866"/>
    </row>
    <row r="240" spans="1:41" ht="15" customHeight="1">
      <c r="A240" s="1866"/>
      <c r="B240" s="1866"/>
      <c r="C240" s="1866"/>
      <c r="D240" s="1866"/>
      <c r="E240" s="1866"/>
      <c r="F240" s="1866"/>
      <c r="G240" s="1866"/>
      <c r="H240" s="1866"/>
      <c r="I240" s="1866"/>
      <c r="J240" s="1866"/>
      <c r="K240" s="1866"/>
      <c r="L240" s="1866"/>
      <c r="M240" s="1866"/>
      <c r="N240" s="1866"/>
      <c r="O240" s="1866"/>
      <c r="P240" s="1866"/>
      <c r="Q240" s="1866"/>
      <c r="R240" s="1866"/>
      <c r="S240" s="1866"/>
      <c r="T240" s="1866"/>
      <c r="U240" s="1866"/>
      <c r="V240" s="1866"/>
      <c r="W240" s="1866"/>
      <c r="X240" s="1866"/>
      <c r="Y240" s="1866"/>
      <c r="Z240" s="1866"/>
      <c r="AA240" s="1866"/>
      <c r="AB240" s="1866"/>
      <c r="AC240" s="1866"/>
      <c r="AD240" s="1866"/>
      <c r="AE240" s="1866"/>
      <c r="AF240" s="1866"/>
      <c r="AG240" s="1866"/>
      <c r="AH240" s="1866"/>
      <c r="AI240" s="1866"/>
      <c r="AJ240" s="1866"/>
      <c r="AK240" s="1866"/>
      <c r="AL240" s="1866"/>
      <c r="AM240" s="1866"/>
      <c r="AN240" s="1866"/>
      <c r="AO240" s="1866"/>
    </row>
    <row r="241" spans="1:41" ht="15" customHeight="1">
      <c r="A241" s="1866"/>
      <c r="B241" s="1866"/>
      <c r="C241" s="1866"/>
      <c r="D241" s="1866"/>
      <c r="E241" s="1866"/>
      <c r="F241" s="1866"/>
      <c r="G241" s="1866"/>
      <c r="H241" s="1866"/>
      <c r="I241" s="1866"/>
      <c r="J241" s="1866"/>
      <c r="K241" s="1866"/>
      <c r="L241" s="1866"/>
      <c r="M241" s="1866"/>
      <c r="N241" s="1866"/>
      <c r="O241" s="1866"/>
      <c r="P241" s="1866"/>
      <c r="Q241" s="1866"/>
      <c r="R241" s="1866"/>
      <c r="S241" s="1866"/>
      <c r="T241" s="1866"/>
      <c r="U241" s="1866"/>
      <c r="V241" s="1866"/>
      <c r="W241" s="1866"/>
      <c r="X241" s="1866"/>
      <c r="Y241" s="1866"/>
      <c r="Z241" s="1866"/>
      <c r="AA241" s="1866"/>
      <c r="AB241" s="1866"/>
      <c r="AC241" s="1866"/>
      <c r="AD241" s="1866"/>
      <c r="AE241" s="1866"/>
      <c r="AF241" s="1866"/>
      <c r="AG241" s="1866"/>
      <c r="AH241" s="1866"/>
      <c r="AI241" s="1866"/>
      <c r="AJ241" s="1866"/>
      <c r="AK241" s="1866"/>
      <c r="AL241" s="1866"/>
      <c r="AM241" s="1866"/>
      <c r="AN241" s="1866"/>
      <c r="AO241" s="1866"/>
    </row>
    <row r="242" spans="1:41" ht="15" customHeight="1">
      <c r="A242" s="1866"/>
      <c r="B242" s="1866"/>
      <c r="C242" s="1866"/>
      <c r="D242" s="1866"/>
      <c r="E242" s="1866"/>
      <c r="F242" s="1866"/>
      <c r="G242" s="1866"/>
      <c r="H242" s="1866"/>
      <c r="I242" s="1866"/>
      <c r="J242" s="1866"/>
      <c r="K242" s="1866"/>
      <c r="L242" s="1866"/>
      <c r="M242" s="1866"/>
      <c r="N242" s="1866"/>
      <c r="O242" s="1866"/>
      <c r="P242" s="1866"/>
      <c r="Q242" s="1866"/>
      <c r="R242" s="1866"/>
      <c r="S242" s="1866"/>
      <c r="T242" s="1866"/>
      <c r="U242" s="1866"/>
      <c r="V242" s="1866"/>
      <c r="W242" s="1866"/>
      <c r="X242" s="1866"/>
      <c r="Y242" s="1866"/>
      <c r="Z242" s="1866"/>
      <c r="AA242" s="1866"/>
      <c r="AB242" s="1866"/>
      <c r="AC242" s="1866"/>
      <c r="AD242" s="1866"/>
      <c r="AE242" s="1866"/>
      <c r="AF242" s="1866"/>
      <c r="AG242" s="1866"/>
      <c r="AH242" s="1866"/>
      <c r="AI242" s="1866"/>
      <c r="AJ242" s="1866"/>
      <c r="AK242" s="1866"/>
      <c r="AL242" s="1866"/>
      <c r="AM242" s="1866"/>
      <c r="AN242" s="1866"/>
      <c r="AO242" s="1866"/>
    </row>
    <row r="243" spans="1:41" ht="15" customHeight="1">
      <c r="A243" s="1866"/>
      <c r="B243" s="1866"/>
      <c r="C243" s="1866"/>
      <c r="D243" s="1866"/>
      <c r="E243" s="1866"/>
      <c r="F243" s="1866"/>
      <c r="G243" s="1866"/>
      <c r="H243" s="1866"/>
      <c r="I243" s="1866"/>
      <c r="J243" s="1866"/>
      <c r="K243" s="1866"/>
      <c r="L243" s="1866"/>
      <c r="M243" s="1866"/>
      <c r="N243" s="1866"/>
      <c r="O243" s="1866"/>
      <c r="P243" s="1866"/>
      <c r="Q243" s="1866"/>
      <c r="R243" s="1866"/>
      <c r="S243" s="1866"/>
      <c r="T243" s="1866"/>
      <c r="U243" s="1866"/>
      <c r="V243" s="1866"/>
      <c r="W243" s="1866"/>
      <c r="X243" s="1866"/>
      <c r="Y243" s="1866"/>
      <c r="Z243" s="1866"/>
      <c r="AA243" s="1866"/>
      <c r="AB243" s="1866"/>
      <c r="AC243" s="1866"/>
      <c r="AD243" s="1866"/>
      <c r="AE243" s="1866"/>
      <c r="AF243" s="1866"/>
      <c r="AG243" s="1866"/>
      <c r="AH243" s="1866"/>
      <c r="AI243" s="1866"/>
      <c r="AJ243" s="1866"/>
      <c r="AK243" s="1866"/>
      <c r="AL243" s="1866"/>
      <c r="AM243" s="1866"/>
      <c r="AN243" s="1866"/>
      <c r="AO243" s="1866"/>
    </row>
    <row r="244" spans="1:41" ht="15" customHeight="1">
      <c r="A244" s="1866"/>
      <c r="B244" s="1866"/>
      <c r="C244" s="1866"/>
      <c r="D244" s="1866"/>
      <c r="E244" s="1866"/>
      <c r="F244" s="1866"/>
      <c r="G244" s="1866"/>
      <c r="H244" s="1866"/>
      <c r="I244" s="1866"/>
      <c r="J244" s="1866"/>
      <c r="K244" s="1866"/>
      <c r="L244" s="1866"/>
      <c r="M244" s="1866"/>
      <c r="N244" s="1866"/>
      <c r="O244" s="1866"/>
      <c r="P244" s="1866"/>
      <c r="Q244" s="1866"/>
      <c r="R244" s="1866"/>
      <c r="S244" s="1866"/>
      <c r="T244" s="1866"/>
      <c r="U244" s="1866"/>
      <c r="V244" s="1866"/>
      <c r="W244" s="1866"/>
      <c r="X244" s="1866"/>
      <c r="Y244" s="1866"/>
      <c r="Z244" s="1866"/>
      <c r="AA244" s="1866"/>
      <c r="AB244" s="1866"/>
      <c r="AC244" s="1866"/>
      <c r="AD244" s="1866"/>
      <c r="AE244" s="1866"/>
      <c r="AF244" s="1866"/>
      <c r="AG244" s="1866"/>
      <c r="AH244" s="1866"/>
      <c r="AI244" s="1866"/>
      <c r="AJ244" s="1866"/>
      <c r="AK244" s="1866"/>
      <c r="AL244" s="1866"/>
      <c r="AM244" s="1866"/>
      <c r="AN244" s="1866"/>
      <c r="AO244" s="1866"/>
    </row>
    <row r="245" spans="1:41" ht="15" customHeight="1">
      <c r="A245" s="1866"/>
      <c r="B245" s="1866"/>
      <c r="C245" s="1866"/>
      <c r="D245" s="1866"/>
      <c r="E245" s="1866"/>
      <c r="F245" s="1866"/>
      <c r="G245" s="1866"/>
      <c r="H245" s="1866"/>
      <c r="I245" s="1866"/>
      <c r="J245" s="1866"/>
      <c r="K245" s="1866"/>
      <c r="L245" s="1866"/>
      <c r="M245" s="1866"/>
      <c r="N245" s="1866"/>
      <c r="O245" s="1866"/>
      <c r="P245" s="1866"/>
      <c r="Q245" s="1866"/>
      <c r="R245" s="1866"/>
      <c r="S245" s="1866"/>
      <c r="T245" s="1866"/>
      <c r="U245" s="1866"/>
      <c r="V245" s="1866"/>
      <c r="W245" s="1866"/>
      <c r="X245" s="1866"/>
      <c r="Y245" s="1866"/>
      <c r="Z245" s="1866"/>
      <c r="AA245" s="1866"/>
      <c r="AB245" s="1866"/>
      <c r="AC245" s="1866"/>
      <c r="AD245" s="1866"/>
      <c r="AE245" s="1866"/>
      <c r="AF245" s="1866"/>
      <c r="AG245" s="1866"/>
      <c r="AH245" s="1866"/>
      <c r="AI245" s="1866"/>
      <c r="AJ245" s="1866"/>
      <c r="AK245" s="1866"/>
      <c r="AL245" s="1866"/>
      <c r="AM245" s="1866"/>
      <c r="AN245" s="1866"/>
      <c r="AO245" s="1866"/>
    </row>
    <row r="246" spans="1:41" ht="15" customHeight="1">
      <c r="A246" s="1866"/>
      <c r="B246" s="1866"/>
      <c r="C246" s="1866"/>
      <c r="D246" s="1866"/>
      <c r="E246" s="1866"/>
      <c r="F246" s="1866"/>
      <c r="G246" s="1866"/>
      <c r="H246" s="1866"/>
      <c r="I246" s="1866"/>
      <c r="J246" s="1866"/>
      <c r="K246" s="1866"/>
      <c r="L246" s="1866"/>
      <c r="M246" s="1866"/>
      <c r="N246" s="1866"/>
      <c r="O246" s="1866"/>
      <c r="P246" s="1866"/>
      <c r="Q246" s="1866"/>
      <c r="R246" s="1866"/>
      <c r="S246" s="1866"/>
      <c r="T246" s="1866"/>
      <c r="U246" s="1866"/>
      <c r="V246" s="1866"/>
      <c r="W246" s="1866"/>
      <c r="X246" s="1866"/>
      <c r="Y246" s="1866"/>
      <c r="Z246" s="1866"/>
      <c r="AA246" s="1866"/>
      <c r="AB246" s="1866"/>
      <c r="AC246" s="1866"/>
      <c r="AD246" s="1866"/>
      <c r="AE246" s="1866"/>
      <c r="AF246" s="1866"/>
      <c r="AG246" s="1866"/>
      <c r="AH246" s="1866"/>
      <c r="AI246" s="1866"/>
      <c r="AJ246" s="1866"/>
      <c r="AK246" s="1866"/>
      <c r="AL246" s="1866"/>
      <c r="AM246" s="1866"/>
      <c r="AN246" s="1866"/>
      <c r="AO246" s="1866"/>
    </row>
    <row r="247" spans="1:41" ht="15" customHeight="1">
      <c r="A247" s="1866"/>
      <c r="B247" s="1866"/>
      <c r="C247" s="1866"/>
      <c r="D247" s="1866"/>
      <c r="E247" s="1866"/>
      <c r="F247" s="1866"/>
      <c r="G247" s="1866"/>
      <c r="H247" s="1866"/>
      <c r="I247" s="1866"/>
      <c r="J247" s="1866"/>
      <c r="K247" s="1866"/>
      <c r="L247" s="1866"/>
      <c r="M247" s="1866"/>
      <c r="N247" s="1866"/>
      <c r="O247" s="1866"/>
      <c r="P247" s="1866"/>
      <c r="Q247" s="1866"/>
      <c r="R247" s="1866"/>
      <c r="S247" s="1866"/>
      <c r="T247" s="1866"/>
      <c r="U247" s="1866"/>
      <c r="V247" s="1866"/>
      <c r="W247" s="1866"/>
      <c r="X247" s="1866"/>
      <c r="Y247" s="1866"/>
      <c r="Z247" s="1866"/>
      <c r="AA247" s="1866"/>
      <c r="AB247" s="1866"/>
      <c r="AC247" s="1866"/>
      <c r="AD247" s="1866"/>
      <c r="AE247" s="1866"/>
      <c r="AF247" s="1866"/>
      <c r="AG247" s="1866"/>
      <c r="AH247" s="1866"/>
      <c r="AI247" s="1866"/>
      <c r="AJ247" s="1866"/>
      <c r="AK247" s="1866"/>
      <c r="AL247" s="1866"/>
      <c r="AM247" s="1866"/>
      <c r="AN247" s="1866"/>
      <c r="AO247" s="1866"/>
    </row>
    <row r="248" spans="1:41" ht="15" customHeight="1">
      <c r="A248" s="1866"/>
      <c r="B248" s="1866"/>
      <c r="C248" s="1866"/>
      <c r="D248" s="1866"/>
      <c r="E248" s="1866"/>
      <c r="F248" s="1866"/>
      <c r="G248" s="1866"/>
      <c r="H248" s="1866"/>
      <c r="I248" s="1866"/>
      <c r="J248" s="1866"/>
      <c r="K248" s="1866"/>
      <c r="L248" s="1866"/>
      <c r="M248" s="1866"/>
      <c r="N248" s="1866"/>
      <c r="O248" s="1866"/>
      <c r="P248" s="1866"/>
      <c r="Q248" s="1866"/>
      <c r="R248" s="1866"/>
      <c r="S248" s="1866"/>
      <c r="T248" s="1866"/>
      <c r="U248" s="1866"/>
      <c r="V248" s="1866"/>
      <c r="W248" s="1866"/>
      <c r="X248" s="1866"/>
      <c r="Y248" s="1866"/>
      <c r="Z248" s="1866"/>
      <c r="AA248" s="1866"/>
      <c r="AB248" s="1866"/>
      <c r="AC248" s="1866"/>
      <c r="AD248" s="1866"/>
      <c r="AE248" s="1866"/>
      <c r="AF248" s="1866"/>
      <c r="AG248" s="1866"/>
      <c r="AH248" s="1866"/>
      <c r="AI248" s="1866"/>
      <c r="AJ248" s="1866"/>
      <c r="AK248" s="1866"/>
      <c r="AL248" s="1866"/>
      <c r="AM248" s="1866"/>
      <c r="AN248" s="1866"/>
      <c r="AO248" s="1866"/>
    </row>
    <row r="249" spans="1:41" ht="15" customHeight="1">
      <c r="A249" s="1866"/>
      <c r="B249" s="1866"/>
      <c r="C249" s="1866"/>
      <c r="D249" s="1866"/>
      <c r="E249" s="1866"/>
      <c r="F249" s="1866"/>
      <c r="G249" s="1866"/>
      <c r="H249" s="1866"/>
      <c r="I249" s="1866"/>
      <c r="J249" s="1866"/>
      <c r="K249" s="1866"/>
      <c r="L249" s="1866"/>
      <c r="M249" s="1866"/>
      <c r="N249" s="1866"/>
      <c r="O249" s="1866"/>
      <c r="P249" s="1866"/>
      <c r="Q249" s="1866"/>
      <c r="R249" s="1866"/>
      <c r="S249" s="1866"/>
      <c r="T249" s="1866"/>
      <c r="U249" s="1866"/>
      <c r="V249" s="1866"/>
      <c r="W249" s="1866"/>
      <c r="X249" s="1866"/>
      <c r="Y249" s="1866"/>
      <c r="Z249" s="1866"/>
      <c r="AA249" s="1866"/>
      <c r="AB249" s="1866"/>
      <c r="AC249" s="1866"/>
      <c r="AD249" s="1866"/>
      <c r="AE249" s="1866"/>
      <c r="AF249" s="1866"/>
      <c r="AG249" s="1866"/>
      <c r="AH249" s="1866"/>
      <c r="AI249" s="1866"/>
      <c r="AJ249" s="1866"/>
      <c r="AK249" s="1866"/>
      <c r="AL249" s="1866"/>
      <c r="AM249" s="1866"/>
      <c r="AN249" s="1866"/>
      <c r="AO249" s="1866"/>
    </row>
    <row r="250" spans="1:41" ht="15" customHeight="1">
      <c r="A250" s="1866"/>
      <c r="B250" s="1866"/>
      <c r="C250" s="1866"/>
      <c r="D250" s="1866"/>
      <c r="E250" s="1866"/>
      <c r="F250" s="1866"/>
      <c r="G250" s="1866"/>
      <c r="H250" s="1866"/>
      <c r="I250" s="1866"/>
      <c r="J250" s="1866"/>
      <c r="K250" s="1866"/>
      <c r="L250" s="1866"/>
      <c r="M250" s="1866"/>
      <c r="N250" s="1866"/>
      <c r="O250" s="1866"/>
      <c r="P250" s="1866"/>
      <c r="Q250" s="1866"/>
      <c r="R250" s="1866"/>
      <c r="S250" s="1866"/>
      <c r="T250" s="1866"/>
      <c r="U250" s="1866"/>
      <c r="V250" s="1866"/>
      <c r="W250" s="1866"/>
      <c r="X250" s="1866"/>
      <c r="Y250" s="1866"/>
      <c r="Z250" s="1866"/>
      <c r="AA250" s="1866"/>
      <c r="AB250" s="1866"/>
      <c r="AC250" s="1866"/>
      <c r="AD250" s="1866"/>
      <c r="AE250" s="1866"/>
      <c r="AF250" s="1866"/>
      <c r="AG250" s="1866"/>
      <c r="AH250" s="1866"/>
      <c r="AI250" s="1866"/>
      <c r="AJ250" s="1866"/>
      <c r="AK250" s="1866"/>
      <c r="AL250" s="1866"/>
      <c r="AM250" s="1866"/>
      <c r="AN250" s="1866"/>
      <c r="AO250" s="1866"/>
    </row>
    <row r="251" spans="1:41" ht="15" customHeight="1">
      <c r="A251" s="1866"/>
      <c r="B251" s="1866"/>
      <c r="C251" s="1866"/>
      <c r="D251" s="1866"/>
      <c r="E251" s="1866"/>
      <c r="F251" s="1866"/>
      <c r="G251" s="1866"/>
      <c r="H251" s="1866"/>
      <c r="I251" s="1866"/>
      <c r="J251" s="1866"/>
      <c r="K251" s="1866"/>
      <c r="L251" s="1866"/>
      <c r="M251" s="1866"/>
      <c r="N251" s="1866"/>
      <c r="O251" s="1866"/>
      <c r="P251" s="1866"/>
      <c r="Q251" s="1866"/>
      <c r="R251" s="1866"/>
      <c r="S251" s="1866"/>
      <c r="T251" s="1866"/>
      <c r="U251" s="1866"/>
      <c r="V251" s="1866"/>
      <c r="W251" s="1866"/>
      <c r="X251" s="1866"/>
      <c r="Y251" s="1866"/>
      <c r="Z251" s="1866"/>
      <c r="AA251" s="1866"/>
      <c r="AB251" s="1866"/>
      <c r="AC251" s="1866"/>
      <c r="AD251" s="1866"/>
      <c r="AE251" s="1866"/>
      <c r="AF251" s="1866"/>
      <c r="AG251" s="1866"/>
      <c r="AH251" s="1866"/>
      <c r="AI251" s="1866"/>
      <c r="AJ251" s="1866"/>
      <c r="AK251" s="1866"/>
      <c r="AL251" s="1866"/>
      <c r="AM251" s="1866"/>
      <c r="AN251" s="1866"/>
      <c r="AO251" s="1866"/>
    </row>
    <row r="252" spans="1:41" ht="15" customHeight="1">
      <c r="A252" s="1866"/>
      <c r="B252" s="1866"/>
      <c r="C252" s="1866"/>
      <c r="D252" s="1866"/>
      <c r="E252" s="1866"/>
      <c r="F252" s="1866"/>
      <c r="G252" s="1866"/>
      <c r="H252" s="1866"/>
      <c r="I252" s="1866"/>
      <c r="J252" s="1866"/>
      <c r="K252" s="1866"/>
      <c r="L252" s="1866"/>
      <c r="M252" s="1866"/>
      <c r="N252" s="1866"/>
      <c r="O252" s="1866"/>
      <c r="P252" s="1866"/>
      <c r="Q252" s="1866"/>
      <c r="R252" s="1866"/>
      <c r="S252" s="1866"/>
      <c r="T252" s="1866"/>
      <c r="U252" s="1866"/>
      <c r="V252" s="1866"/>
      <c r="W252" s="1866"/>
      <c r="X252" s="1866"/>
      <c r="Y252" s="1866"/>
      <c r="Z252" s="1866"/>
      <c r="AA252" s="1866"/>
      <c r="AB252" s="1866"/>
      <c r="AC252" s="1866"/>
      <c r="AD252" s="1866"/>
      <c r="AE252" s="1866"/>
      <c r="AF252" s="1866"/>
      <c r="AG252" s="1866"/>
      <c r="AH252" s="1866"/>
      <c r="AI252" s="1866"/>
      <c r="AJ252" s="1866"/>
      <c r="AK252" s="1866"/>
      <c r="AL252" s="1866"/>
      <c r="AM252" s="1866"/>
      <c r="AN252" s="1866"/>
      <c r="AO252" s="1866"/>
    </row>
    <row r="253" spans="1:41" ht="15" customHeight="1">
      <c r="A253" s="1866"/>
      <c r="B253" s="1866"/>
      <c r="C253" s="1866"/>
      <c r="D253" s="1866"/>
      <c r="E253" s="1866"/>
      <c r="F253" s="1866"/>
      <c r="G253" s="1866"/>
      <c r="H253" s="1866"/>
      <c r="I253" s="1866"/>
      <c r="J253" s="1866"/>
      <c r="K253" s="1866"/>
      <c r="L253" s="1866"/>
      <c r="M253" s="1866"/>
      <c r="N253" s="1866"/>
      <c r="O253" s="1866"/>
      <c r="P253" s="1866"/>
      <c r="Q253" s="1866"/>
      <c r="R253" s="1866"/>
      <c r="S253" s="1866"/>
      <c r="T253" s="1866"/>
      <c r="U253" s="1866"/>
      <c r="V253" s="1866"/>
      <c r="W253" s="1866"/>
      <c r="X253" s="1866"/>
      <c r="Y253" s="1866"/>
      <c r="Z253" s="1866"/>
      <c r="AA253" s="1866"/>
      <c r="AB253" s="1866"/>
      <c r="AC253" s="1866"/>
      <c r="AD253" s="1866"/>
      <c r="AE253" s="1866"/>
      <c r="AF253" s="1866"/>
      <c r="AG253" s="1866"/>
      <c r="AH253" s="1866"/>
      <c r="AI253" s="1866"/>
      <c r="AJ253" s="1866"/>
      <c r="AK253" s="1866"/>
      <c r="AL253" s="1866"/>
      <c r="AM253" s="1866"/>
      <c r="AN253" s="1866"/>
      <c r="AO253" s="1866"/>
    </row>
    <row r="254" spans="1:41" ht="15" customHeight="1">
      <c r="A254" s="1866"/>
      <c r="B254" s="1866"/>
      <c r="C254" s="1866"/>
      <c r="D254" s="1866"/>
      <c r="E254" s="1866"/>
      <c r="F254" s="1866"/>
      <c r="G254" s="1866"/>
      <c r="H254" s="1866"/>
      <c r="I254" s="1866"/>
      <c r="J254" s="1866"/>
      <c r="K254" s="1866"/>
      <c r="L254" s="1866"/>
      <c r="M254" s="1866"/>
      <c r="N254" s="1866"/>
      <c r="O254" s="1866"/>
      <c r="P254" s="1866"/>
      <c r="Q254" s="1866"/>
      <c r="R254" s="1866"/>
      <c r="S254" s="1866"/>
      <c r="T254" s="1866"/>
      <c r="U254" s="1866"/>
      <c r="V254" s="1866"/>
      <c r="W254" s="1866"/>
      <c r="X254" s="1866"/>
      <c r="Y254" s="1866"/>
      <c r="Z254" s="1866"/>
      <c r="AA254" s="1866"/>
      <c r="AB254" s="1866"/>
      <c r="AC254" s="1866"/>
      <c r="AD254" s="1866"/>
      <c r="AE254" s="1866"/>
      <c r="AF254" s="1866"/>
      <c r="AG254" s="1866"/>
      <c r="AH254" s="1866"/>
      <c r="AI254" s="1866"/>
      <c r="AJ254" s="1866"/>
      <c r="AK254" s="1866"/>
      <c r="AL254" s="1866"/>
      <c r="AM254" s="1866"/>
      <c r="AN254" s="1866"/>
      <c r="AO254" s="1866"/>
    </row>
    <row r="255" spans="1:41" ht="15" customHeight="1">
      <c r="A255" s="1866"/>
      <c r="B255" s="1866"/>
      <c r="C255" s="1866"/>
      <c r="D255" s="1866"/>
      <c r="E255" s="1866"/>
      <c r="F255" s="1866"/>
      <c r="G255" s="1866"/>
      <c r="H255" s="1866"/>
      <c r="I255" s="1866"/>
      <c r="J255" s="1866"/>
      <c r="K255" s="1866"/>
      <c r="L255" s="1866"/>
      <c r="M255" s="1866"/>
      <c r="N255" s="1866"/>
      <c r="O255" s="1866"/>
      <c r="P255" s="1866"/>
      <c r="Q255" s="1866"/>
      <c r="R255" s="1866"/>
      <c r="S255" s="1866"/>
      <c r="T255" s="1866"/>
      <c r="U255" s="1866"/>
      <c r="V255" s="1866"/>
      <c r="W255" s="1866"/>
      <c r="X255" s="1866"/>
      <c r="Y255" s="1866"/>
      <c r="Z255" s="1866"/>
      <c r="AA255" s="1866"/>
      <c r="AB255" s="1866"/>
      <c r="AC255" s="1866"/>
      <c r="AD255" s="1866"/>
      <c r="AE255" s="1866"/>
      <c r="AF255" s="1866"/>
      <c r="AG255" s="1866"/>
      <c r="AH255" s="1866"/>
      <c r="AI255" s="1866"/>
      <c r="AJ255" s="1866"/>
      <c r="AK255" s="1866"/>
      <c r="AL255" s="1866"/>
      <c r="AM255" s="1866"/>
      <c r="AN255" s="1866"/>
      <c r="AO255" s="1866"/>
    </row>
    <row r="256" spans="1:41" ht="15" customHeight="1">
      <c r="A256" s="1866"/>
      <c r="B256" s="1866"/>
      <c r="C256" s="1866"/>
      <c r="D256" s="1866"/>
      <c r="E256" s="1866"/>
      <c r="F256" s="1866"/>
      <c r="G256" s="1866"/>
      <c r="H256" s="1866"/>
      <c r="I256" s="1866"/>
      <c r="J256" s="1866"/>
      <c r="K256" s="1866"/>
      <c r="L256" s="1866"/>
      <c r="M256" s="1866"/>
      <c r="N256" s="1866"/>
      <c r="O256" s="1866"/>
      <c r="P256" s="1866"/>
      <c r="Q256" s="1866"/>
      <c r="R256" s="1866"/>
      <c r="S256" s="1866"/>
      <c r="T256" s="1866"/>
      <c r="U256" s="1866"/>
      <c r="V256" s="1866"/>
      <c r="W256" s="1866"/>
      <c r="X256" s="1866"/>
      <c r="Y256" s="1866"/>
      <c r="Z256" s="1866"/>
      <c r="AA256" s="1866"/>
      <c r="AB256" s="1866"/>
      <c r="AC256" s="1866"/>
      <c r="AD256" s="1866"/>
      <c r="AE256" s="1866"/>
      <c r="AF256" s="1866"/>
      <c r="AG256" s="1866"/>
      <c r="AH256" s="1866"/>
      <c r="AI256" s="1866"/>
      <c r="AJ256" s="1866"/>
      <c r="AK256" s="1866"/>
      <c r="AL256" s="1866"/>
      <c r="AM256" s="1866"/>
      <c r="AN256" s="1866"/>
      <c r="AO256" s="1866"/>
    </row>
    <row r="257" spans="1:41" ht="15" customHeight="1">
      <c r="A257" s="1866"/>
      <c r="B257" s="1866"/>
      <c r="C257" s="1866"/>
      <c r="D257" s="1866"/>
      <c r="E257" s="1866"/>
      <c r="F257" s="1866"/>
      <c r="G257" s="1866"/>
      <c r="H257" s="1866"/>
      <c r="I257" s="1866"/>
      <c r="J257" s="1866"/>
      <c r="K257" s="1866"/>
      <c r="L257" s="1866"/>
      <c r="M257" s="1866"/>
      <c r="N257" s="1866"/>
      <c r="O257" s="1866"/>
      <c r="P257" s="1866"/>
      <c r="Q257" s="1866"/>
      <c r="R257" s="1866"/>
      <c r="S257" s="1866"/>
      <c r="T257" s="1866"/>
      <c r="U257" s="1866"/>
      <c r="V257" s="1866"/>
      <c r="W257" s="1866"/>
      <c r="X257" s="1866"/>
      <c r="Y257" s="1866"/>
      <c r="Z257" s="1866"/>
      <c r="AA257" s="1866"/>
      <c r="AB257" s="1866"/>
      <c r="AC257" s="1866"/>
      <c r="AD257" s="1866"/>
      <c r="AE257" s="1866"/>
      <c r="AF257" s="1866"/>
      <c r="AG257" s="1866"/>
      <c r="AH257" s="1866"/>
      <c r="AI257" s="1866"/>
      <c r="AJ257" s="1866"/>
      <c r="AK257" s="1866"/>
      <c r="AL257" s="1866"/>
      <c r="AM257" s="1866"/>
      <c r="AN257" s="1866"/>
      <c r="AO257" s="1866"/>
    </row>
    <row r="258" spans="1:41" ht="15" customHeight="1">
      <c r="A258" s="1866"/>
      <c r="B258" s="1866"/>
      <c r="C258" s="1866"/>
      <c r="D258" s="1866"/>
      <c r="E258" s="1866"/>
      <c r="F258" s="1866"/>
      <c r="G258" s="1866"/>
      <c r="H258" s="1866"/>
      <c r="I258" s="1866"/>
      <c r="J258" s="1866"/>
      <c r="K258" s="1866"/>
      <c r="L258" s="1866"/>
      <c r="M258" s="1866"/>
      <c r="N258" s="1866"/>
      <c r="O258" s="1866"/>
      <c r="P258" s="1866"/>
      <c r="Q258" s="1866"/>
      <c r="R258" s="1866"/>
      <c r="S258" s="1866"/>
      <c r="T258" s="1866"/>
      <c r="U258" s="1866"/>
      <c r="V258" s="1866"/>
      <c r="W258" s="1866"/>
      <c r="X258" s="1866"/>
      <c r="Y258" s="1866"/>
      <c r="Z258" s="1866"/>
      <c r="AA258" s="1866"/>
      <c r="AB258" s="1866"/>
      <c r="AC258" s="1866"/>
      <c r="AD258" s="1866"/>
      <c r="AE258" s="1866"/>
      <c r="AF258" s="1866"/>
      <c r="AG258" s="1866"/>
      <c r="AH258" s="1866"/>
      <c r="AI258" s="1866"/>
      <c r="AJ258" s="1866"/>
      <c r="AK258" s="1866"/>
      <c r="AL258" s="1866"/>
      <c r="AM258" s="1866"/>
      <c r="AN258" s="1866"/>
      <c r="AO258" s="1866"/>
    </row>
    <row r="259" spans="1:41" ht="15" customHeight="1">
      <c r="A259" s="1866"/>
      <c r="B259" s="1866"/>
      <c r="C259" s="1866"/>
      <c r="D259" s="1866"/>
      <c r="E259" s="1866"/>
      <c r="F259" s="1866"/>
      <c r="G259" s="1866"/>
      <c r="H259" s="1866"/>
      <c r="I259" s="1866"/>
      <c r="J259" s="1866"/>
      <c r="K259" s="1866"/>
      <c r="L259" s="1866"/>
      <c r="M259" s="1866"/>
      <c r="N259" s="1866"/>
      <c r="O259" s="1866"/>
      <c r="P259" s="1866"/>
      <c r="Q259" s="1866"/>
      <c r="R259" s="1866"/>
      <c r="S259" s="1866"/>
      <c r="T259" s="1866"/>
      <c r="U259" s="1866"/>
      <c r="V259" s="1866"/>
      <c r="W259" s="1866"/>
      <c r="X259" s="1866"/>
      <c r="Y259" s="1866"/>
      <c r="Z259" s="1866"/>
      <c r="AA259" s="1866"/>
      <c r="AB259" s="1866"/>
      <c r="AC259" s="1866"/>
      <c r="AD259" s="1866"/>
      <c r="AE259" s="1866"/>
      <c r="AF259" s="1866"/>
      <c r="AG259" s="1866"/>
      <c r="AH259" s="1866"/>
      <c r="AI259" s="1866"/>
      <c r="AJ259" s="1866"/>
      <c r="AK259" s="1866"/>
      <c r="AL259" s="1866"/>
      <c r="AM259" s="1866"/>
      <c r="AN259" s="1866"/>
      <c r="AO259" s="1866"/>
    </row>
    <row r="260" spans="1:41" ht="15" customHeight="1">
      <c r="A260" s="1866"/>
      <c r="B260" s="1866"/>
      <c r="C260" s="1866"/>
      <c r="D260" s="1866"/>
      <c r="E260" s="1866"/>
      <c r="F260" s="1866"/>
      <c r="G260" s="1866"/>
      <c r="H260" s="1866"/>
      <c r="I260" s="1866"/>
      <c r="J260" s="1866"/>
      <c r="K260" s="1866"/>
      <c r="L260" s="1866"/>
      <c r="M260" s="1866"/>
      <c r="N260" s="1866"/>
      <c r="O260" s="1866"/>
      <c r="P260" s="1866"/>
      <c r="Q260" s="1866"/>
      <c r="R260" s="1866"/>
      <c r="S260" s="1866"/>
      <c r="T260" s="1866"/>
      <c r="U260" s="1866"/>
      <c r="V260" s="1866"/>
      <c r="W260" s="1866"/>
      <c r="X260" s="1866"/>
      <c r="Y260" s="1866"/>
      <c r="Z260" s="1866"/>
      <c r="AA260" s="1866"/>
      <c r="AB260" s="1866"/>
      <c r="AC260" s="1866"/>
      <c r="AD260" s="1866"/>
      <c r="AE260" s="1866"/>
      <c r="AF260" s="1866"/>
      <c r="AG260" s="1866"/>
      <c r="AH260" s="1866"/>
      <c r="AI260" s="1866"/>
      <c r="AJ260" s="1866"/>
      <c r="AK260" s="1866"/>
      <c r="AL260" s="1866"/>
      <c r="AM260" s="1866"/>
      <c r="AN260" s="1866"/>
      <c r="AO260" s="1866"/>
    </row>
    <row r="261" spans="1:41" ht="15" customHeight="1">
      <c r="A261" s="1866"/>
      <c r="B261" s="1866"/>
      <c r="C261" s="1866"/>
      <c r="D261" s="1866"/>
      <c r="E261" s="1866"/>
      <c r="F261" s="1866"/>
      <c r="G261" s="1866"/>
      <c r="H261" s="1866"/>
      <c r="I261" s="1866"/>
      <c r="J261" s="1866"/>
      <c r="K261" s="1866"/>
      <c r="L261" s="1866"/>
      <c r="M261" s="1866"/>
      <c r="N261" s="1866"/>
      <c r="O261" s="1866"/>
      <c r="P261" s="1866"/>
      <c r="Q261" s="1866"/>
      <c r="R261" s="1866"/>
      <c r="S261" s="1866"/>
      <c r="T261" s="1866"/>
      <c r="U261" s="1866"/>
      <c r="V261" s="1866"/>
      <c r="W261" s="1866"/>
      <c r="X261" s="1866"/>
      <c r="Y261" s="1866"/>
      <c r="Z261" s="1866"/>
      <c r="AA261" s="1866"/>
      <c r="AB261" s="1866"/>
      <c r="AC261" s="1866"/>
      <c r="AD261" s="1866"/>
      <c r="AE261" s="1866"/>
      <c r="AF261" s="1866"/>
      <c r="AG261" s="1866"/>
      <c r="AH261" s="1866"/>
      <c r="AI261" s="1866"/>
      <c r="AJ261" s="1866"/>
      <c r="AK261" s="1866"/>
      <c r="AL261" s="1866"/>
      <c r="AM261" s="1866"/>
      <c r="AN261" s="1866"/>
      <c r="AO261" s="1866"/>
    </row>
    <row r="262" spans="1:41" ht="15" customHeight="1">
      <c r="A262" s="1866"/>
      <c r="B262" s="1866"/>
      <c r="C262" s="1866"/>
      <c r="D262" s="1866"/>
      <c r="E262" s="1866"/>
      <c r="F262" s="1866"/>
      <c r="G262" s="1866"/>
      <c r="H262" s="1866"/>
      <c r="I262" s="1866"/>
      <c r="J262" s="1866"/>
      <c r="K262" s="1866"/>
      <c r="L262" s="1866"/>
      <c r="M262" s="1866"/>
      <c r="N262" s="1866"/>
      <c r="O262" s="1866"/>
      <c r="P262" s="1866"/>
      <c r="Q262" s="1866"/>
      <c r="R262" s="1866"/>
      <c r="S262" s="1866"/>
      <c r="T262" s="1866"/>
      <c r="U262" s="1866"/>
      <c r="V262" s="1866"/>
      <c r="W262" s="1866"/>
      <c r="X262" s="1866"/>
      <c r="Y262" s="1866"/>
      <c r="Z262" s="1866"/>
      <c r="AA262" s="1866"/>
      <c r="AB262" s="1866"/>
      <c r="AC262" s="1866"/>
      <c r="AD262" s="1866"/>
      <c r="AE262" s="1866"/>
      <c r="AF262" s="1866"/>
      <c r="AG262" s="1866"/>
      <c r="AH262" s="1866"/>
      <c r="AI262" s="1866"/>
      <c r="AJ262" s="1866"/>
      <c r="AK262" s="1866"/>
      <c r="AL262" s="1866"/>
      <c r="AM262" s="1866"/>
      <c r="AN262" s="1866"/>
      <c r="AO262" s="1866"/>
    </row>
    <row r="263" spans="1:41" ht="15" customHeight="1">
      <c r="A263" s="1866"/>
      <c r="B263" s="1866"/>
      <c r="C263" s="1866"/>
      <c r="D263" s="1866"/>
      <c r="E263" s="1866"/>
      <c r="F263" s="1866"/>
      <c r="G263" s="1866"/>
      <c r="H263" s="1866"/>
      <c r="I263" s="1866"/>
      <c r="J263" s="1866"/>
      <c r="K263" s="1866"/>
      <c r="L263" s="1866"/>
      <c r="M263" s="1866"/>
      <c r="N263" s="1866"/>
      <c r="O263" s="1866"/>
      <c r="P263" s="1866"/>
      <c r="Q263" s="1866"/>
      <c r="R263" s="1866"/>
      <c r="S263" s="1866"/>
      <c r="T263" s="1866"/>
      <c r="U263" s="1866"/>
      <c r="V263" s="1866"/>
      <c r="W263" s="1866"/>
      <c r="X263" s="1866"/>
      <c r="Y263" s="1866"/>
      <c r="Z263" s="1866"/>
      <c r="AA263" s="1866"/>
      <c r="AB263" s="1866"/>
      <c r="AC263" s="1866"/>
      <c r="AD263" s="1866"/>
      <c r="AE263" s="1866"/>
      <c r="AF263" s="1866"/>
      <c r="AG263" s="1866"/>
      <c r="AH263" s="1866"/>
      <c r="AI263" s="1866"/>
      <c r="AJ263" s="1866"/>
      <c r="AK263" s="1866"/>
      <c r="AL263" s="1866"/>
      <c r="AM263" s="1866"/>
      <c r="AN263" s="1866"/>
      <c r="AO263" s="1866"/>
    </row>
    <row r="264" spans="1:41" ht="15" customHeight="1">
      <c r="A264" s="1866"/>
      <c r="B264" s="1866"/>
      <c r="C264" s="1866"/>
      <c r="D264" s="1866"/>
      <c r="E264" s="1866"/>
      <c r="F264" s="1866"/>
      <c r="G264" s="1866"/>
      <c r="H264" s="1866"/>
      <c r="I264" s="1866"/>
      <c r="J264" s="1866"/>
      <c r="K264" s="1866"/>
      <c r="L264" s="1866"/>
      <c r="M264" s="1866"/>
      <c r="N264" s="1866"/>
      <c r="O264" s="1866"/>
      <c r="P264" s="1866"/>
      <c r="Q264" s="1866"/>
      <c r="R264" s="1866"/>
      <c r="S264" s="1866"/>
      <c r="T264" s="1866"/>
      <c r="U264" s="1866"/>
      <c r="V264" s="1866"/>
      <c r="W264" s="1866"/>
      <c r="X264" s="1866"/>
      <c r="Y264" s="1866"/>
      <c r="Z264" s="1866"/>
      <c r="AA264" s="1866"/>
      <c r="AB264" s="1866"/>
      <c r="AC264" s="1866"/>
      <c r="AD264" s="1866"/>
      <c r="AE264" s="1866"/>
      <c r="AF264" s="1866"/>
      <c r="AG264" s="1866"/>
      <c r="AH264" s="1866"/>
      <c r="AI264" s="1866"/>
      <c r="AJ264" s="1866"/>
      <c r="AK264" s="1866"/>
      <c r="AL264" s="1866"/>
      <c r="AM264" s="1866"/>
      <c r="AN264" s="1866"/>
      <c r="AO264" s="1866"/>
    </row>
    <row r="265" spans="1:41" ht="15" customHeight="1">
      <c r="A265" s="1866"/>
      <c r="B265" s="1866"/>
      <c r="C265" s="1866"/>
      <c r="D265" s="1866"/>
      <c r="E265" s="1866"/>
      <c r="F265" s="1866"/>
      <c r="G265" s="1866"/>
      <c r="H265" s="1866"/>
      <c r="I265" s="1866"/>
      <c r="J265" s="1866"/>
      <c r="K265" s="1866"/>
      <c r="L265" s="1866"/>
      <c r="M265" s="1866"/>
      <c r="N265" s="1866"/>
      <c r="O265" s="1866"/>
      <c r="P265" s="1866"/>
      <c r="Q265" s="1866"/>
      <c r="R265" s="1866"/>
      <c r="S265" s="1866"/>
      <c r="T265" s="1866"/>
      <c r="U265" s="1866"/>
      <c r="V265" s="1866"/>
      <c r="W265" s="1866"/>
      <c r="X265" s="1866"/>
      <c r="Y265" s="1866"/>
      <c r="Z265" s="1866"/>
      <c r="AA265" s="1866"/>
      <c r="AB265" s="1866"/>
      <c r="AC265" s="1866"/>
      <c r="AD265" s="1866"/>
      <c r="AE265" s="1866"/>
      <c r="AF265" s="1866"/>
      <c r="AG265" s="1866"/>
      <c r="AH265" s="1866"/>
      <c r="AI265" s="1866"/>
      <c r="AJ265" s="1866"/>
      <c r="AK265" s="1866"/>
      <c r="AL265" s="1866"/>
      <c r="AM265" s="1866"/>
      <c r="AN265" s="1866"/>
      <c r="AO265" s="1866"/>
    </row>
    <row r="266" spans="1:41" ht="15" customHeight="1">
      <c r="A266" s="1866"/>
      <c r="B266" s="1866"/>
      <c r="C266" s="1866"/>
      <c r="D266" s="1866"/>
      <c r="E266" s="1866"/>
      <c r="F266" s="1866"/>
      <c r="G266" s="1866"/>
      <c r="H266" s="1866"/>
      <c r="I266" s="1866"/>
      <c r="J266" s="1866"/>
      <c r="K266" s="1866"/>
      <c r="L266" s="1866"/>
      <c r="M266" s="1866"/>
      <c r="N266" s="1866"/>
      <c r="O266" s="1866"/>
      <c r="P266" s="1866"/>
      <c r="Q266" s="1866"/>
      <c r="R266" s="1866"/>
      <c r="S266" s="1866"/>
      <c r="T266" s="1866"/>
      <c r="U266" s="1866"/>
      <c r="V266" s="1866"/>
      <c r="W266" s="1866"/>
      <c r="X266" s="1866"/>
      <c r="Y266" s="1866"/>
      <c r="Z266" s="1866"/>
      <c r="AA266" s="1866"/>
      <c r="AB266" s="1866"/>
      <c r="AC266" s="1866"/>
      <c r="AD266" s="1866"/>
      <c r="AE266" s="1866"/>
      <c r="AF266" s="1866"/>
      <c r="AG266" s="1866"/>
      <c r="AH266" s="1866"/>
      <c r="AI266" s="1866"/>
      <c r="AJ266" s="1866"/>
      <c r="AK266" s="1866"/>
      <c r="AL266" s="1866"/>
      <c r="AM266" s="1866"/>
      <c r="AN266" s="1866"/>
      <c r="AO266" s="1866"/>
    </row>
    <row r="267" spans="1:41" ht="15" customHeight="1">
      <c r="A267" s="1866"/>
      <c r="B267" s="1866"/>
      <c r="C267" s="1866"/>
      <c r="D267" s="1866"/>
      <c r="E267" s="1866"/>
      <c r="F267" s="1866"/>
      <c r="G267" s="1866"/>
      <c r="H267" s="1866"/>
      <c r="I267" s="1866"/>
      <c r="J267" s="1866"/>
      <c r="K267" s="1866"/>
      <c r="L267" s="1866"/>
      <c r="M267" s="1866"/>
      <c r="N267" s="1866"/>
      <c r="O267" s="1866"/>
      <c r="P267" s="1866"/>
      <c r="Q267" s="1866"/>
      <c r="R267" s="1866"/>
      <c r="S267" s="1866"/>
      <c r="T267" s="1866"/>
      <c r="U267" s="1866"/>
      <c r="V267" s="1866"/>
      <c r="W267" s="1866"/>
      <c r="X267" s="1866"/>
      <c r="Y267" s="1866"/>
      <c r="Z267" s="1866"/>
      <c r="AA267" s="1866"/>
      <c r="AB267" s="1866"/>
      <c r="AC267" s="1866"/>
      <c r="AD267" s="1866"/>
      <c r="AE267" s="1866"/>
      <c r="AF267" s="1866"/>
      <c r="AG267" s="1866"/>
      <c r="AH267" s="1866"/>
      <c r="AI267" s="1866"/>
      <c r="AJ267" s="1866"/>
      <c r="AK267" s="1866"/>
      <c r="AL267" s="1866"/>
      <c r="AM267" s="1866"/>
      <c r="AN267" s="1866"/>
      <c r="AO267" s="1866"/>
    </row>
    <row r="268" spans="1:41" ht="15" customHeight="1">
      <c r="A268" s="1866"/>
      <c r="B268" s="1866"/>
      <c r="C268" s="1866"/>
      <c r="D268" s="1866"/>
      <c r="E268" s="1866"/>
      <c r="F268" s="1866"/>
      <c r="G268" s="1866"/>
      <c r="H268" s="1866"/>
      <c r="I268" s="1866"/>
      <c r="J268" s="1866"/>
      <c r="K268" s="1866"/>
      <c r="L268" s="1866"/>
      <c r="M268" s="1866"/>
      <c r="N268" s="1866"/>
      <c r="O268" s="1866"/>
      <c r="P268" s="1866"/>
      <c r="Q268" s="1866"/>
      <c r="R268" s="1866"/>
      <c r="S268" s="1866"/>
      <c r="T268" s="1866"/>
      <c r="U268" s="1866"/>
      <c r="V268" s="1866"/>
      <c r="W268" s="1866"/>
      <c r="X268" s="1866"/>
      <c r="Y268" s="1866"/>
      <c r="Z268" s="1866"/>
      <c r="AA268" s="1866"/>
      <c r="AB268" s="1866"/>
      <c r="AC268" s="1866"/>
      <c r="AD268" s="1866"/>
      <c r="AE268" s="1866"/>
      <c r="AF268" s="1866"/>
      <c r="AG268" s="1866"/>
      <c r="AH268" s="1866"/>
      <c r="AI268" s="1866"/>
      <c r="AJ268" s="1866"/>
      <c r="AK268" s="1866"/>
      <c r="AL268" s="1866"/>
      <c r="AM268" s="1866"/>
      <c r="AN268" s="1866"/>
      <c r="AO268" s="1866"/>
    </row>
    <row r="269" spans="1:41" ht="15" customHeight="1">
      <c r="A269" s="1866"/>
      <c r="B269" s="1866"/>
      <c r="C269" s="1866"/>
      <c r="D269" s="1866"/>
      <c r="E269" s="1866"/>
      <c r="F269" s="1866"/>
      <c r="G269" s="1866"/>
      <c r="H269" s="1866"/>
      <c r="I269" s="1866"/>
      <c r="J269" s="1866"/>
      <c r="K269" s="1866"/>
      <c r="L269" s="1866"/>
      <c r="M269" s="1866"/>
      <c r="N269" s="1866"/>
      <c r="O269" s="1866"/>
      <c r="P269" s="1866"/>
      <c r="Q269" s="1866"/>
      <c r="R269" s="1866"/>
      <c r="S269" s="1866"/>
      <c r="T269" s="1866"/>
      <c r="U269" s="1866"/>
      <c r="V269" s="1866"/>
      <c r="W269" s="1866"/>
      <c r="X269" s="1866"/>
      <c r="Y269" s="1866"/>
      <c r="Z269" s="1866"/>
      <c r="AA269" s="1866"/>
      <c r="AB269" s="1866"/>
      <c r="AC269" s="1866"/>
      <c r="AD269" s="1866"/>
      <c r="AE269" s="1866"/>
      <c r="AF269" s="1866"/>
      <c r="AG269" s="1866"/>
      <c r="AH269" s="1866"/>
      <c r="AI269" s="1866"/>
      <c r="AJ269" s="1866"/>
      <c r="AK269" s="1866"/>
      <c r="AL269" s="1866"/>
      <c r="AM269" s="1866"/>
      <c r="AN269" s="1866"/>
      <c r="AO269" s="1866"/>
    </row>
    <row r="270" spans="1:41" ht="20.25" hidden="1" customHeight="1">
      <c r="A270" s="1866"/>
      <c r="B270" s="1866"/>
      <c r="C270" s="1866"/>
      <c r="D270" s="1866"/>
      <c r="E270" s="1866" t="s">
        <v>505</v>
      </c>
      <c r="F270" s="1869">
        <f>SUM(F16:F21)</f>
        <v>0</v>
      </c>
      <c r="G270" s="1897">
        <f>F275</f>
        <v>3329.91</v>
      </c>
      <c r="H270" s="1898">
        <f>F270/G270</f>
        <v>0</v>
      </c>
      <c r="I270" s="1866"/>
      <c r="J270" s="1866"/>
      <c r="K270" s="1866"/>
      <c r="L270" s="1866"/>
      <c r="M270" s="1866"/>
      <c r="N270" s="1866"/>
      <c r="O270" s="1866"/>
      <c r="P270" s="1866"/>
      <c r="Q270" s="1866"/>
      <c r="R270" s="1866"/>
      <c r="S270" s="1866"/>
      <c r="T270" s="1866"/>
      <c r="U270" s="1866"/>
      <c r="V270" s="1866"/>
      <c r="W270" s="1866"/>
      <c r="X270" s="1866"/>
      <c r="Y270" s="1866"/>
      <c r="Z270" s="1866"/>
      <c r="AA270" s="1866"/>
      <c r="AB270" s="1866"/>
      <c r="AC270" s="1866"/>
      <c r="AD270" s="1866"/>
      <c r="AE270" s="1866"/>
      <c r="AF270" s="1866"/>
      <c r="AG270" s="1866"/>
      <c r="AH270" s="1866"/>
      <c r="AI270" s="1866"/>
      <c r="AJ270" s="1866"/>
      <c r="AK270" s="1866"/>
      <c r="AL270" s="1866"/>
      <c r="AM270" s="1866"/>
      <c r="AN270" s="1866"/>
      <c r="AO270" s="1866"/>
    </row>
    <row r="271" spans="1:41" ht="22.5" hidden="1" customHeight="1">
      <c r="A271" s="1866"/>
      <c r="B271" s="1866"/>
      <c r="C271" s="1866"/>
      <c r="D271" s="1866"/>
      <c r="E271" s="1866" t="s">
        <v>506</v>
      </c>
      <c r="F271" s="1869">
        <f>SUM(F23:F24)</f>
        <v>0</v>
      </c>
      <c r="G271" s="1897">
        <f>F275</f>
        <v>3329.91</v>
      </c>
      <c r="H271" s="1898">
        <f t="shared" ref="H271:H272" si="1">F271/G271</f>
        <v>0</v>
      </c>
      <c r="I271" s="1866"/>
      <c r="J271" s="1866"/>
      <c r="K271" s="1866"/>
      <c r="L271" s="1866"/>
      <c r="M271" s="1866"/>
      <c r="N271" s="1866"/>
      <c r="O271" s="1866"/>
      <c r="P271" s="1866"/>
      <c r="Q271" s="1866"/>
      <c r="R271" s="1866"/>
      <c r="S271" s="1866"/>
      <c r="T271" s="1866"/>
      <c r="U271" s="1866"/>
      <c r="V271" s="1866"/>
      <c r="W271" s="1866"/>
      <c r="X271" s="1866"/>
      <c r="Y271" s="1866"/>
      <c r="Z271" s="1866"/>
      <c r="AA271" s="1866"/>
      <c r="AB271" s="1866"/>
      <c r="AC271" s="1866"/>
      <c r="AD271" s="1866"/>
      <c r="AE271" s="1866"/>
      <c r="AF271" s="1866"/>
      <c r="AG271" s="1866"/>
      <c r="AH271" s="1866"/>
      <c r="AI271" s="1866"/>
      <c r="AJ271" s="1866"/>
      <c r="AK271" s="1866"/>
      <c r="AL271" s="1866"/>
      <c r="AM271" s="1866"/>
      <c r="AN271" s="1866"/>
      <c r="AO271" s="1866"/>
    </row>
    <row r="272" spans="1:41" ht="19.5" hidden="1" customHeight="1">
      <c r="A272" s="1646"/>
      <c r="B272" s="1866"/>
      <c r="C272" s="1646"/>
      <c r="D272" s="1646"/>
      <c r="E272" s="1866" t="s">
        <v>507</v>
      </c>
      <c r="F272" s="1869">
        <f>SUM(F26:F27)</f>
        <v>0</v>
      </c>
      <c r="G272" s="1897">
        <f>F275</f>
        <v>3329.91</v>
      </c>
      <c r="H272" s="1898">
        <f t="shared" si="1"/>
        <v>0</v>
      </c>
      <c r="I272" s="1646"/>
      <c r="J272" s="1646"/>
      <c r="K272" s="1646"/>
      <c r="L272" s="1646"/>
      <c r="M272" s="1646"/>
      <c r="N272" s="1646"/>
      <c r="O272" s="1646"/>
      <c r="P272" s="1646"/>
      <c r="Q272" s="1646"/>
      <c r="R272" s="1646"/>
      <c r="S272" s="1646"/>
      <c r="T272" s="1646"/>
      <c r="U272" s="1646"/>
      <c r="V272" s="1646"/>
      <c r="W272" s="1646"/>
      <c r="X272" s="1646"/>
      <c r="Y272" s="1646"/>
      <c r="Z272" s="1646"/>
      <c r="AA272" s="1646"/>
      <c r="AB272" s="1646"/>
      <c r="AC272" s="1646"/>
      <c r="AD272" s="1646"/>
      <c r="AE272" s="1646"/>
      <c r="AF272" s="1646"/>
      <c r="AG272" s="1646"/>
      <c r="AH272" s="1646"/>
      <c r="AI272" s="1646"/>
      <c r="AJ272" s="1646"/>
      <c r="AK272" s="1646"/>
      <c r="AL272" s="1646"/>
      <c r="AM272" s="1646"/>
      <c r="AN272" s="1646"/>
      <c r="AO272" s="1646"/>
    </row>
    <row r="273" spans="1:41" ht="18" hidden="1" customHeight="1">
      <c r="A273" s="1646"/>
      <c r="B273" s="1866"/>
      <c r="C273" s="1646"/>
      <c r="D273" s="1646"/>
      <c r="E273" s="1866" t="s">
        <v>508</v>
      </c>
      <c r="F273" s="1869">
        <v>4266.91</v>
      </c>
      <c r="G273" s="1872"/>
      <c r="H273" s="1869">
        <f>H34/F273</f>
        <v>0</v>
      </c>
      <c r="I273" s="1646"/>
      <c r="J273" s="1646"/>
      <c r="K273" s="1646"/>
      <c r="L273" s="1646"/>
      <c r="M273" s="1646"/>
      <c r="N273" s="1646"/>
      <c r="O273" s="1646"/>
      <c r="P273" s="1646"/>
      <c r="Q273" s="1646"/>
      <c r="R273" s="1646"/>
      <c r="S273" s="1646"/>
      <c r="T273" s="1646"/>
      <c r="U273" s="1646"/>
      <c r="V273" s="1646"/>
      <c r="W273" s="1646"/>
      <c r="X273" s="1646"/>
      <c r="Y273" s="1646"/>
      <c r="Z273" s="1646"/>
      <c r="AA273" s="1646"/>
      <c r="AB273" s="1646"/>
      <c r="AC273" s="1646"/>
      <c r="AD273" s="1646"/>
      <c r="AE273" s="1646"/>
      <c r="AF273" s="1646"/>
      <c r="AG273" s="1646"/>
      <c r="AH273" s="1646"/>
      <c r="AI273" s="1646"/>
      <c r="AJ273" s="1646"/>
      <c r="AK273" s="1646"/>
      <c r="AL273" s="1646"/>
      <c r="AM273" s="1646"/>
      <c r="AN273" s="1646"/>
      <c r="AO273" s="1646"/>
    </row>
    <row r="274" spans="1:41" ht="18" hidden="1" customHeight="1">
      <c r="A274" s="1646"/>
      <c r="B274" s="1866"/>
      <c r="C274" s="1646"/>
      <c r="D274" s="1646"/>
      <c r="E274" s="1866" t="s">
        <v>1994</v>
      </c>
      <c r="F274" s="1869">
        <v>2909</v>
      </c>
      <c r="G274" s="1866"/>
      <c r="H274" s="1866"/>
      <c r="I274" s="1646"/>
      <c r="J274" s="1646"/>
      <c r="K274" s="1646"/>
      <c r="L274" s="1646"/>
      <c r="M274" s="1646"/>
      <c r="N274" s="1646"/>
      <c r="O274" s="1646"/>
      <c r="P274" s="1646"/>
      <c r="Q274" s="1646"/>
      <c r="R274" s="1646"/>
      <c r="S274" s="1646"/>
      <c r="T274" s="1646"/>
      <c r="U274" s="1646"/>
      <c r="V274" s="1646"/>
      <c r="W274" s="1646"/>
      <c r="X274" s="1646"/>
      <c r="Y274" s="1646"/>
      <c r="Z274" s="1646"/>
      <c r="AA274" s="1646"/>
      <c r="AB274" s="1646"/>
      <c r="AC274" s="1646"/>
      <c r="AD274" s="1646"/>
      <c r="AE274" s="1646"/>
      <c r="AF274" s="1646"/>
      <c r="AG274" s="1646"/>
      <c r="AH274" s="1646"/>
      <c r="AI274" s="1646"/>
      <c r="AJ274" s="1646"/>
      <c r="AK274" s="1646"/>
      <c r="AL274" s="1646"/>
      <c r="AM274" s="1646"/>
      <c r="AN274" s="1646"/>
      <c r="AO274" s="1646"/>
    </row>
    <row r="275" spans="1:41" ht="18" hidden="1" customHeight="1">
      <c r="A275" s="1866"/>
      <c r="B275" s="1866"/>
      <c r="C275" s="1866"/>
      <c r="D275" s="1866"/>
      <c r="E275" s="1866" t="s">
        <v>1995</v>
      </c>
      <c r="F275" s="1869">
        <f>4266.91-937</f>
        <v>3329.91</v>
      </c>
      <c r="G275" s="1866"/>
      <c r="H275" s="1866"/>
      <c r="I275" s="1866"/>
      <c r="J275" s="1866"/>
      <c r="K275" s="1866"/>
      <c r="L275" s="1866"/>
      <c r="M275" s="1866"/>
      <c r="N275" s="1866"/>
      <c r="O275" s="1866"/>
      <c r="P275" s="1866"/>
      <c r="Q275" s="1866"/>
      <c r="R275" s="1866"/>
      <c r="S275" s="1866"/>
      <c r="T275" s="1866"/>
      <c r="U275" s="1866"/>
      <c r="V275" s="1866"/>
      <c r="W275" s="1866"/>
      <c r="X275" s="1866"/>
      <c r="Y275" s="1866"/>
      <c r="Z275" s="1866"/>
      <c r="AA275" s="1866"/>
      <c r="AB275" s="1866"/>
      <c r="AC275" s="1866"/>
      <c r="AD275" s="1866"/>
      <c r="AE275" s="1866"/>
      <c r="AF275" s="1866"/>
      <c r="AG275" s="1866"/>
      <c r="AH275" s="1866"/>
      <c r="AI275" s="1866"/>
      <c r="AJ275" s="1866"/>
      <c r="AK275" s="1866"/>
      <c r="AL275" s="1866"/>
      <c r="AM275" s="1866"/>
      <c r="AN275" s="1866"/>
      <c r="AO275" s="1866"/>
    </row>
    <row r="276" spans="1:41" ht="18" hidden="1" customHeight="1"/>
    <row r="277" spans="1:41" ht="18" hidden="1" customHeight="1">
      <c r="A277" s="2064" t="s">
        <v>509</v>
      </c>
      <c r="B277" s="2064"/>
      <c r="C277" s="2064"/>
      <c r="D277" s="2064"/>
      <c r="E277" s="2064"/>
      <c r="F277" s="2064"/>
      <c r="G277" s="2064"/>
      <c r="H277" s="2064"/>
      <c r="I277" s="2064"/>
      <c r="J277" s="1866"/>
      <c r="K277" s="1866"/>
      <c r="L277" s="1866"/>
      <c r="M277" s="1866"/>
      <c r="N277" s="1866"/>
      <c r="O277" s="1866"/>
      <c r="P277" s="1866"/>
      <c r="Q277" s="1866"/>
      <c r="R277" s="1866"/>
      <c r="S277" s="1866"/>
      <c r="T277" s="1866"/>
      <c r="U277" s="1866"/>
      <c r="V277" s="1866"/>
      <c r="W277" s="1866"/>
      <c r="X277" s="1866"/>
      <c r="Y277" s="1866"/>
      <c r="Z277" s="1866"/>
      <c r="AA277" s="1866"/>
      <c r="AB277" s="1866"/>
      <c r="AC277" s="1866"/>
      <c r="AD277" s="1866"/>
      <c r="AE277" s="1866"/>
      <c r="AF277" s="1866"/>
      <c r="AG277" s="1866"/>
      <c r="AH277" s="1866"/>
      <c r="AI277" s="1866"/>
      <c r="AJ277" s="1866"/>
      <c r="AK277" s="1866"/>
      <c r="AL277" s="1866"/>
      <c r="AM277" s="1866"/>
      <c r="AN277" s="1866"/>
      <c r="AO277" s="1866"/>
    </row>
    <row r="278" spans="1:41" ht="18" hidden="1" customHeight="1">
      <c r="A278" s="2064" t="s">
        <v>510</v>
      </c>
      <c r="B278" s="2064"/>
      <c r="C278" s="2064"/>
      <c r="D278" s="2064"/>
      <c r="E278" s="2064"/>
      <c r="F278" s="2064"/>
      <c r="G278" s="2064"/>
      <c r="H278" s="2064"/>
      <c r="I278" s="2064"/>
      <c r="J278" s="1866"/>
      <c r="K278" s="1866"/>
      <c r="L278" s="1866"/>
      <c r="M278" s="1866"/>
      <c r="N278" s="1866"/>
      <c r="O278" s="1866"/>
      <c r="P278" s="1866"/>
      <c r="Q278" s="1866"/>
      <c r="R278" s="1866"/>
      <c r="S278" s="1866"/>
      <c r="T278" s="1866"/>
      <c r="U278" s="1866"/>
      <c r="V278" s="1866"/>
      <c r="W278" s="1866"/>
      <c r="X278" s="1866"/>
      <c r="Y278" s="1866"/>
      <c r="Z278" s="1866"/>
      <c r="AA278" s="1866"/>
      <c r="AB278" s="1866"/>
      <c r="AC278" s="1866"/>
      <c r="AD278" s="1866"/>
      <c r="AE278" s="1866"/>
      <c r="AF278" s="1866"/>
      <c r="AG278" s="1866"/>
      <c r="AH278" s="1866"/>
      <c r="AI278" s="1866"/>
      <c r="AJ278" s="1866"/>
      <c r="AK278" s="1866"/>
      <c r="AL278" s="1866"/>
      <c r="AM278" s="1866"/>
      <c r="AN278" s="1866"/>
      <c r="AO278" s="1866"/>
    </row>
    <row r="279" spans="1:41" ht="18" hidden="1" customHeight="1">
      <c r="A279" s="2064" t="s">
        <v>511</v>
      </c>
      <c r="B279" s="2064"/>
      <c r="C279" s="2064"/>
      <c r="D279" s="2064"/>
      <c r="E279" s="2064"/>
      <c r="F279" s="2064"/>
      <c r="G279" s="2064"/>
      <c r="H279" s="2064"/>
      <c r="I279" s="2064"/>
      <c r="J279" s="1866"/>
      <c r="K279" s="1866"/>
      <c r="L279" s="1866"/>
      <c r="M279" s="1866"/>
      <c r="N279" s="1866"/>
      <c r="O279" s="1866"/>
      <c r="P279" s="1866"/>
      <c r="Q279" s="1866"/>
      <c r="R279" s="1866"/>
      <c r="S279" s="1866"/>
      <c r="T279" s="1866"/>
      <c r="U279" s="1866"/>
      <c r="V279" s="1866"/>
      <c r="W279" s="1866"/>
      <c r="X279" s="1866"/>
      <c r="Y279" s="1866"/>
      <c r="Z279" s="1866"/>
      <c r="AA279" s="1866"/>
      <c r="AB279" s="1866"/>
      <c r="AC279" s="1866"/>
      <c r="AD279" s="1866"/>
      <c r="AE279" s="1866"/>
      <c r="AF279" s="1866"/>
      <c r="AG279" s="1866"/>
      <c r="AH279" s="1866"/>
      <c r="AI279" s="1866"/>
      <c r="AJ279" s="1866"/>
      <c r="AK279" s="1866"/>
      <c r="AL279" s="1866"/>
      <c r="AM279" s="1866"/>
      <c r="AN279" s="1866"/>
      <c r="AO279" s="1866"/>
    </row>
    <row r="280" spans="1:41" ht="18" hidden="1" customHeight="1">
      <c r="A280" s="1646" t="s">
        <v>512</v>
      </c>
      <c r="B280" s="1866"/>
      <c r="C280" s="1646"/>
      <c r="D280" s="1646"/>
      <c r="E280" s="1646"/>
      <c r="F280" s="1646"/>
      <c r="G280" s="2064" t="s">
        <v>513</v>
      </c>
      <c r="H280" s="2064"/>
      <c r="I280" s="1646"/>
      <c r="J280" s="1646"/>
      <c r="K280" s="1646"/>
      <c r="L280" s="1646"/>
      <c r="M280" s="1646"/>
      <c r="N280" s="1646"/>
      <c r="O280" s="1646"/>
      <c r="P280" s="1646"/>
      <c r="Q280" s="1646"/>
      <c r="R280" s="1646"/>
      <c r="S280" s="1646"/>
      <c r="T280" s="1646"/>
      <c r="U280" s="1646"/>
      <c r="V280" s="1646"/>
      <c r="W280" s="1646"/>
      <c r="X280" s="1646"/>
      <c r="Y280" s="1646"/>
      <c r="Z280" s="1646"/>
      <c r="AA280" s="1646"/>
      <c r="AB280" s="1646"/>
      <c r="AC280" s="1646"/>
      <c r="AD280" s="1646"/>
      <c r="AE280" s="1646"/>
      <c r="AF280" s="1646"/>
      <c r="AG280" s="1646"/>
      <c r="AH280" s="1646"/>
      <c r="AI280" s="1646"/>
      <c r="AJ280" s="1646"/>
      <c r="AK280" s="1646"/>
      <c r="AL280" s="1646"/>
      <c r="AM280" s="1646"/>
      <c r="AN280" s="1646"/>
      <c r="AO280" s="1646"/>
    </row>
    <row r="281" spans="1:41" ht="18" hidden="1" customHeight="1">
      <c r="A281" s="1646" t="s">
        <v>514</v>
      </c>
      <c r="B281" s="1866"/>
      <c r="C281" s="1646"/>
      <c r="D281" s="1646"/>
      <c r="E281" s="1646"/>
      <c r="F281" s="1646"/>
      <c r="G281" s="2064" t="s">
        <v>510</v>
      </c>
      <c r="H281" s="2064"/>
      <c r="I281" s="1646"/>
      <c r="J281" s="1646"/>
      <c r="K281" s="1646"/>
      <c r="L281" s="1646"/>
      <c r="M281" s="1646"/>
      <c r="N281" s="1646"/>
      <c r="O281" s="1646"/>
      <c r="P281" s="1646"/>
      <c r="Q281" s="1646"/>
      <c r="R281" s="1646"/>
      <c r="S281" s="1646"/>
      <c r="T281" s="1646"/>
      <c r="U281" s="1646"/>
      <c r="V281" s="1646"/>
      <c r="W281" s="1646"/>
      <c r="X281" s="1646"/>
      <c r="Y281" s="1646"/>
      <c r="Z281" s="1646"/>
      <c r="AA281" s="1646"/>
      <c r="AB281" s="1646"/>
      <c r="AC281" s="1646"/>
      <c r="AD281" s="1646"/>
      <c r="AE281" s="1646"/>
      <c r="AF281" s="1646"/>
      <c r="AG281" s="1646"/>
      <c r="AH281" s="1646"/>
      <c r="AI281" s="1646"/>
      <c r="AJ281" s="1646"/>
      <c r="AK281" s="1646"/>
      <c r="AL281" s="1646"/>
      <c r="AM281" s="1646"/>
      <c r="AN281" s="1646"/>
      <c r="AO281" s="1646"/>
    </row>
    <row r="282" spans="1:41" ht="18" hidden="1" customHeight="1">
      <c r="A282" s="1646" t="s">
        <v>515</v>
      </c>
      <c r="B282" s="1866"/>
      <c r="C282" s="1646"/>
      <c r="D282" s="1646"/>
      <c r="E282" s="1646"/>
      <c r="F282" s="1646"/>
      <c r="G282" s="2064" t="s">
        <v>516</v>
      </c>
      <c r="H282" s="2064"/>
      <c r="I282" s="1646"/>
      <c r="J282" s="1646"/>
      <c r="K282" s="1646"/>
      <c r="L282" s="1646"/>
      <c r="M282" s="1646"/>
      <c r="N282" s="1646"/>
      <c r="O282" s="1646"/>
      <c r="P282" s="1646"/>
      <c r="Q282" s="1646"/>
      <c r="R282" s="1646"/>
      <c r="S282" s="1646"/>
      <c r="T282" s="1646"/>
      <c r="U282" s="1646"/>
      <c r="V282" s="1646"/>
      <c r="W282" s="1646"/>
      <c r="X282" s="1646"/>
      <c r="Y282" s="1646"/>
      <c r="Z282" s="1646"/>
      <c r="AA282" s="1646"/>
      <c r="AB282" s="1646"/>
      <c r="AC282" s="1646"/>
      <c r="AD282" s="1646"/>
      <c r="AE282" s="1646"/>
      <c r="AF282" s="1646"/>
      <c r="AG282" s="1646"/>
      <c r="AH282" s="1646"/>
      <c r="AI282" s="1646"/>
      <c r="AJ282" s="1646"/>
      <c r="AK282" s="1646"/>
      <c r="AL282" s="1646"/>
      <c r="AM282" s="1646"/>
      <c r="AN282" s="1646"/>
      <c r="AO282" s="1646"/>
    </row>
  </sheetData>
  <mergeCells count="17">
    <mergeCell ref="A2:I2"/>
    <mergeCell ref="H6:I6"/>
    <mergeCell ref="I10:I11"/>
    <mergeCell ref="A12:A13"/>
    <mergeCell ref="B12:E13"/>
    <mergeCell ref="F12:F13"/>
    <mergeCell ref="G12:G13"/>
    <mergeCell ref="H12:H13"/>
    <mergeCell ref="I12:I13"/>
    <mergeCell ref="G281:H281"/>
    <mergeCell ref="G282:H282"/>
    <mergeCell ref="B14:D14"/>
    <mergeCell ref="C34:D34"/>
    <mergeCell ref="A277:I277"/>
    <mergeCell ref="A278:I278"/>
    <mergeCell ref="A279:I279"/>
    <mergeCell ref="G280:H280"/>
  </mergeCells>
  <pageMargins left="0.47244094488188981" right="0.23622047244094491" top="0.23622047244094491" bottom="0.15748031496062992" header="0.15748031496062992" footer="0.15748031496062992"/>
  <pageSetup paperSize="9" scale="9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I42"/>
  <sheetViews>
    <sheetView showGridLines="0" view="pageBreakPreview" zoomScaleNormal="90" zoomScaleSheetLayoutView="100" workbookViewId="0">
      <selection activeCell="H17" sqref="H17"/>
    </sheetView>
  </sheetViews>
  <sheetFormatPr defaultRowHeight="24"/>
  <cols>
    <col min="1" max="1" width="12.5703125" style="1579" customWidth="1"/>
    <col min="2" max="2" width="11.28515625" style="1579" customWidth="1"/>
    <col min="3" max="3" width="16.28515625" style="1579" customWidth="1"/>
    <col min="4" max="4" width="3.5703125" style="1579" customWidth="1"/>
    <col min="5" max="5" width="32.5703125" style="1579" customWidth="1"/>
    <col min="6" max="6" width="23.140625" style="1579" customWidth="1"/>
    <col min="7" max="7" width="16.140625" style="1579" customWidth="1"/>
    <col min="8" max="8" width="27.5703125" style="1579" customWidth="1"/>
    <col min="9" max="9" width="22.7109375" style="1579" customWidth="1"/>
    <col min="10" max="16384" width="9.140625" style="1579"/>
  </cols>
  <sheetData>
    <row r="1" spans="1:9">
      <c r="A1" s="1781"/>
      <c r="B1" s="1781"/>
      <c r="C1" s="1781"/>
      <c r="D1" s="1781"/>
      <c r="E1" s="1781"/>
      <c r="F1" s="1781"/>
      <c r="G1" s="1781"/>
      <c r="H1" s="1896" t="s">
        <v>483</v>
      </c>
      <c r="I1" s="1893" t="s">
        <v>489</v>
      </c>
    </row>
    <row r="2" spans="1:9">
      <c r="A2" s="1943" t="s">
        <v>46</v>
      </c>
      <c r="B2" s="1943"/>
      <c r="C2" s="1943"/>
      <c r="D2" s="1943"/>
      <c r="E2" s="1943"/>
      <c r="F2" s="1943"/>
      <c r="G2" s="1943"/>
      <c r="H2" s="1943"/>
      <c r="I2" s="1943"/>
    </row>
    <row r="3" spans="1:9">
      <c r="A3" s="1722" t="s">
        <v>47</v>
      </c>
      <c r="B3" s="1722"/>
      <c r="C3" s="1749"/>
      <c r="D3" s="1749"/>
      <c r="E3" s="1749"/>
      <c r="F3" s="1749"/>
      <c r="G3" s="1749"/>
      <c r="H3" s="1831"/>
      <c r="I3" s="1831"/>
    </row>
    <row r="4" spans="1:9">
      <c r="A4" s="1641" t="s">
        <v>4</v>
      </c>
      <c r="B4" s="1641"/>
      <c r="C4" s="1749" t="s">
        <v>484</v>
      </c>
      <c r="D4" s="1749"/>
      <c r="E4" s="1641"/>
      <c r="F4" s="1641"/>
      <c r="G4" s="1641"/>
      <c r="H4" s="1767"/>
      <c r="I4" s="1768" t="s">
        <v>1993</v>
      </c>
    </row>
    <row r="5" spans="1:9">
      <c r="A5" s="1641" t="s">
        <v>5</v>
      </c>
      <c r="B5" s="1641"/>
      <c r="C5" s="1641" t="s">
        <v>478</v>
      </c>
      <c r="D5" s="1751"/>
      <c r="E5" s="1641"/>
      <c r="F5" s="1641"/>
      <c r="G5" s="1641"/>
      <c r="H5" s="2068"/>
      <c r="I5" s="2068"/>
    </row>
    <row r="6" spans="1:9">
      <c r="A6" s="1641" t="s">
        <v>6</v>
      </c>
      <c r="B6" s="1641"/>
      <c r="C6" s="1641"/>
      <c r="D6" s="1641" t="s">
        <v>476</v>
      </c>
      <c r="E6" s="1834"/>
      <c r="F6" s="1834"/>
      <c r="G6" s="1834"/>
      <c r="H6" s="1755"/>
      <c r="I6" s="1755"/>
    </row>
    <row r="7" spans="1:9">
      <c r="A7" s="1641" t="s">
        <v>48</v>
      </c>
      <c r="B7" s="1641"/>
      <c r="C7" s="1641"/>
      <c r="D7" s="1754" t="s">
        <v>479</v>
      </c>
      <c r="E7" s="1754"/>
      <c r="F7" s="1754"/>
      <c r="G7" s="1754"/>
      <c r="H7" s="1755"/>
      <c r="I7" s="1755"/>
    </row>
    <row r="8" spans="1:9">
      <c r="A8" s="1641" t="s">
        <v>49</v>
      </c>
      <c r="B8" s="1641"/>
      <c r="C8" s="1751"/>
      <c r="D8" s="1835" t="s">
        <v>50</v>
      </c>
      <c r="E8" s="1835"/>
      <c r="F8" s="1835"/>
      <c r="G8" s="1835"/>
      <c r="H8" s="1755"/>
      <c r="I8" s="1755"/>
    </row>
    <row r="9" spans="1:9">
      <c r="A9" s="1641" t="s">
        <v>455</v>
      </c>
      <c r="B9" s="1641"/>
      <c r="C9" s="1777"/>
      <c r="D9" s="1641" t="s">
        <v>486</v>
      </c>
      <c r="E9" s="1751"/>
      <c r="F9" s="1751"/>
      <c r="G9" s="1751"/>
      <c r="H9" s="1755"/>
      <c r="I9" s="2062" t="s">
        <v>504</v>
      </c>
    </row>
    <row r="10" spans="1:9" ht="9.75" customHeight="1" thickBot="1">
      <c r="A10" s="1570"/>
      <c r="B10" s="1570"/>
      <c r="C10" s="1780"/>
      <c r="D10" s="1781"/>
      <c r="E10" s="1781"/>
      <c r="F10" s="1781"/>
      <c r="G10" s="1781"/>
      <c r="H10" s="1836"/>
      <c r="I10" s="2063"/>
    </row>
    <row r="11" spans="1:9" ht="24.75" thickTop="1">
      <c r="A11" s="1945" t="s">
        <v>9</v>
      </c>
      <c r="B11" s="1947" t="s">
        <v>10</v>
      </c>
      <c r="C11" s="1948"/>
      <c r="D11" s="1948"/>
      <c r="E11" s="1949"/>
      <c r="F11" s="1945" t="s">
        <v>51</v>
      </c>
      <c r="G11" s="1873" t="s">
        <v>52</v>
      </c>
      <c r="H11" s="1953" t="s">
        <v>12</v>
      </c>
      <c r="I11" s="1953" t="s">
        <v>13</v>
      </c>
    </row>
    <row r="12" spans="1:9" ht="24.75" thickBot="1">
      <c r="A12" s="1946"/>
      <c r="B12" s="1950"/>
      <c r="C12" s="1951"/>
      <c r="D12" s="1951"/>
      <c r="E12" s="1952"/>
      <c r="F12" s="1946"/>
      <c r="G12" s="1584" t="s">
        <v>53</v>
      </c>
      <c r="H12" s="1954"/>
      <c r="I12" s="1954"/>
    </row>
    <row r="13" spans="1:9" ht="24.75" thickTop="1">
      <c r="A13" s="1640" t="s">
        <v>54</v>
      </c>
      <c r="B13" s="1722" t="s">
        <v>55</v>
      </c>
      <c r="C13" s="1722"/>
      <c r="D13" s="1646"/>
      <c r="E13" s="1874"/>
      <c r="F13" s="1875"/>
      <c r="G13" s="1874"/>
      <c r="H13" s="1792"/>
      <c r="I13" s="1793"/>
    </row>
    <row r="14" spans="1:9">
      <c r="A14" s="1785"/>
      <c r="B14" s="1876" t="s">
        <v>517</v>
      </c>
      <c r="C14" s="1878" t="s">
        <v>1996</v>
      </c>
      <c r="D14" s="1641"/>
      <c r="E14" s="1749"/>
      <c r="F14" s="1788"/>
      <c r="G14" s="1877">
        <v>7.0000000000000007E-2</v>
      </c>
      <c r="H14" s="1792"/>
      <c r="I14" s="1793"/>
    </row>
    <row r="15" spans="1:9">
      <c r="A15" s="1785"/>
      <c r="B15" s="1876" t="s">
        <v>517</v>
      </c>
      <c r="C15" s="1878" t="s">
        <v>1997</v>
      </c>
      <c r="D15" s="1813"/>
      <c r="E15" s="1787"/>
      <c r="F15" s="1792"/>
      <c r="G15" s="1877">
        <v>7.0000000000000007E-2</v>
      </c>
      <c r="H15" s="1792"/>
      <c r="I15" s="1793"/>
    </row>
    <row r="16" spans="1:9">
      <c r="A16" s="1785"/>
      <c r="B16" s="1641"/>
      <c r="C16" s="1641"/>
      <c r="D16" s="1751"/>
      <c r="E16" s="1787"/>
      <c r="F16" s="1875"/>
      <c r="G16" s="1749"/>
      <c r="H16" s="1792"/>
      <c r="I16" s="1793"/>
    </row>
    <row r="17" spans="1:9">
      <c r="A17" s="1640"/>
      <c r="B17" s="1749"/>
      <c r="C17" s="1641"/>
      <c r="D17" s="1722"/>
      <c r="E17" s="1722"/>
      <c r="F17" s="1855"/>
      <c r="G17" s="1722"/>
      <c r="H17" s="1788"/>
      <c r="I17" s="1793"/>
    </row>
    <row r="18" spans="1:9">
      <c r="A18" s="1640"/>
      <c r="B18" s="1749"/>
      <c r="C18" s="1641"/>
      <c r="D18" s="1641"/>
      <c r="E18" s="1722"/>
      <c r="F18" s="1855"/>
      <c r="G18" s="1804"/>
      <c r="H18" s="1792"/>
      <c r="I18" s="1793"/>
    </row>
    <row r="19" spans="1:9">
      <c r="A19" s="1640"/>
      <c r="B19" s="1749"/>
      <c r="C19" s="1641"/>
      <c r="D19" s="1641"/>
      <c r="E19" s="1722"/>
      <c r="F19" s="1855"/>
      <c r="G19" s="1804"/>
      <c r="H19" s="1792"/>
      <c r="I19" s="1793"/>
    </row>
    <row r="20" spans="1:9">
      <c r="A20" s="1785"/>
      <c r="B20" s="1879"/>
      <c r="C20" s="1641"/>
      <c r="D20" s="1641"/>
      <c r="E20" s="1801"/>
      <c r="F20" s="1880"/>
      <c r="G20" s="1801"/>
      <c r="H20" s="1792"/>
      <c r="I20" s="1811"/>
    </row>
    <row r="21" spans="1:9">
      <c r="A21" s="1785"/>
      <c r="B21" s="1879"/>
      <c r="C21" s="1641"/>
      <c r="D21" s="1641"/>
      <c r="E21" s="1801"/>
      <c r="F21" s="1880"/>
      <c r="G21" s="1801"/>
      <c r="H21" s="1792"/>
      <c r="I21" s="1811"/>
    </row>
    <row r="22" spans="1:9">
      <c r="A22" s="1855"/>
      <c r="B22" s="1722"/>
      <c r="C22" s="1722"/>
      <c r="D22" s="1641"/>
      <c r="E22" s="1801"/>
      <c r="F22" s="1881"/>
      <c r="G22" s="1856"/>
      <c r="H22" s="1793"/>
      <c r="I22" s="1793"/>
    </row>
    <row r="23" spans="1:9" ht="24.75" thickBot="1">
      <c r="A23" s="1882"/>
      <c r="B23" s="1813"/>
      <c r="C23" s="1813"/>
      <c r="D23" s="1883"/>
      <c r="E23" s="1883"/>
      <c r="F23" s="1884"/>
      <c r="G23" s="1885"/>
      <c r="H23" s="1886"/>
      <c r="I23" s="1886"/>
    </row>
    <row r="24" spans="1:9" ht="25.5" thickTop="1" thickBot="1">
      <c r="A24" s="1887"/>
      <c r="B24" s="1888"/>
      <c r="C24" s="1948"/>
      <c r="D24" s="1948"/>
      <c r="E24" s="1889"/>
      <c r="F24" s="2079" t="s">
        <v>24</v>
      </c>
      <c r="G24" s="2080"/>
      <c r="H24" s="1899"/>
      <c r="I24" s="1891"/>
    </row>
    <row r="25" spans="1:9" ht="24.75" thickTop="1">
      <c r="A25" s="1866"/>
      <c r="B25" s="1646"/>
      <c r="C25" s="1646"/>
      <c r="D25" s="1866"/>
      <c r="E25" s="1866"/>
      <c r="F25" s="1866"/>
      <c r="G25" s="1866"/>
      <c r="H25" s="1790"/>
      <c r="I25" s="1790"/>
    </row>
    <row r="26" spans="1:9">
      <c r="A26" s="1866"/>
      <c r="B26" s="1646"/>
      <c r="C26" s="1646"/>
      <c r="D26" s="1866"/>
      <c r="E26" s="1866"/>
      <c r="F26" s="1866"/>
      <c r="G26" s="1866"/>
      <c r="H26" s="1790"/>
      <c r="I26" s="1790"/>
    </row>
    <row r="27" spans="1:9">
      <c r="A27" s="1866"/>
      <c r="B27" s="1646"/>
      <c r="C27" s="1646"/>
      <c r="D27" s="1866"/>
      <c r="E27" s="1866"/>
      <c r="F27" s="1866"/>
      <c r="G27" s="1866"/>
      <c r="H27" s="1790"/>
      <c r="I27" s="1790"/>
    </row>
    <row r="28" spans="1:9">
      <c r="A28" s="1866"/>
      <c r="B28" s="1646"/>
      <c r="C28" s="1646"/>
      <c r="D28" s="1866"/>
      <c r="E28" s="1866"/>
      <c r="F28" s="1866"/>
      <c r="G28" s="1866"/>
      <c r="H28" s="1790"/>
      <c r="I28" s="1790"/>
    </row>
    <row r="29" spans="1:9">
      <c r="A29" s="1866"/>
      <c r="B29" s="1646"/>
      <c r="C29" s="1646"/>
      <c r="D29" s="1866"/>
      <c r="E29" s="1866"/>
      <c r="F29" s="1866"/>
      <c r="G29" s="1866"/>
      <c r="H29" s="1790"/>
      <c r="I29" s="1790"/>
    </row>
    <row r="30" spans="1:9">
      <c r="A30" s="1866"/>
      <c r="B30" s="1646"/>
      <c r="C30" s="1646"/>
      <c r="D30" s="1866"/>
      <c r="E30" s="1866"/>
      <c r="F30" s="1866"/>
      <c r="G30" s="1866"/>
      <c r="H30" s="1790"/>
      <c r="I30" s="1790"/>
    </row>
    <row r="31" spans="1:9">
      <c r="A31" s="1866"/>
      <c r="B31" s="1646"/>
      <c r="C31" s="1646"/>
      <c r="D31" s="1866"/>
      <c r="E31" s="1866"/>
      <c r="F31" s="1866"/>
      <c r="G31" s="1866"/>
      <c r="H31" s="1790"/>
      <c r="I31" s="1790"/>
    </row>
    <row r="32" spans="1:9">
      <c r="A32" s="1866"/>
      <c r="B32" s="1646"/>
      <c r="C32" s="1646"/>
      <c r="D32" s="1866"/>
      <c r="E32" s="1866"/>
      <c r="F32" s="1866"/>
      <c r="G32" s="1866"/>
      <c r="H32" s="1790"/>
      <c r="I32" s="1790"/>
    </row>
    <row r="33" spans="1:9">
      <c r="A33" s="1866"/>
      <c r="B33" s="1646"/>
      <c r="C33" s="1646"/>
      <c r="D33" s="1866"/>
      <c r="E33" s="1866"/>
      <c r="F33" s="1866"/>
      <c r="G33" s="1866"/>
      <c r="H33" s="1790"/>
      <c r="I33" s="1790"/>
    </row>
    <row r="34" spans="1:9">
      <c r="A34" s="1866"/>
      <c r="B34" s="1646"/>
      <c r="C34" s="1646"/>
      <c r="D34" s="1866"/>
      <c r="E34" s="1866"/>
      <c r="F34" s="1866"/>
      <c r="G34" s="1866"/>
      <c r="H34" s="1790"/>
      <c r="I34" s="1790"/>
    </row>
    <row r="35" spans="1:9">
      <c r="A35" s="1866"/>
      <c r="B35" s="1646"/>
      <c r="C35" s="1646"/>
      <c r="D35" s="1866"/>
      <c r="E35" s="1866"/>
      <c r="F35" s="1866"/>
      <c r="G35" s="1866"/>
      <c r="H35" s="1790"/>
      <c r="I35" s="1790"/>
    </row>
    <row r="36" spans="1:9">
      <c r="A36" s="1866"/>
      <c r="B36" s="1646"/>
      <c r="C36" s="1646"/>
      <c r="D36" s="1866"/>
      <c r="E36" s="1866"/>
      <c r="F36" s="1866"/>
      <c r="G36" s="1866"/>
      <c r="H36" s="1790"/>
      <c r="I36" s="1790"/>
    </row>
    <row r="37" spans="1:9">
      <c r="A37" s="1866"/>
      <c r="B37" s="1646"/>
      <c r="C37" s="1646"/>
      <c r="D37" s="1866"/>
      <c r="E37" s="1866"/>
      <c r="F37" s="1866"/>
      <c r="G37" s="1866"/>
      <c r="H37" s="1790"/>
      <c r="I37" s="1790"/>
    </row>
    <row r="38" spans="1:9">
      <c r="A38" s="1866"/>
      <c r="B38" s="1646"/>
      <c r="C38" s="1646"/>
      <c r="D38" s="1866"/>
      <c r="E38" s="1866"/>
      <c r="F38" s="1866"/>
      <c r="G38" s="1866"/>
      <c r="H38" s="1790"/>
      <c r="I38" s="1790"/>
    </row>
    <row r="39" spans="1:9">
      <c r="A39" s="1866"/>
      <c r="B39" s="1646"/>
      <c r="C39" s="1646"/>
      <c r="D39" s="1866"/>
      <c r="E39" s="1866"/>
      <c r="F39" s="1866"/>
      <c r="G39" s="1866"/>
      <c r="H39" s="1790"/>
      <c r="I39" s="1790"/>
    </row>
    <row r="40" spans="1:9">
      <c r="A40" s="1866"/>
      <c r="B40" s="1646"/>
      <c r="C40" s="1646"/>
      <c r="D40" s="1866"/>
      <c r="E40" s="1866"/>
      <c r="F40" s="1866"/>
      <c r="G40" s="1866"/>
      <c r="H40" s="1790"/>
      <c r="I40" s="1790"/>
    </row>
    <row r="42" spans="1:9" hidden="1">
      <c r="E42" s="1866" t="s">
        <v>1998</v>
      </c>
      <c r="F42" s="1900">
        <f>SUM(F14:F15)</f>
        <v>0</v>
      </c>
    </row>
  </sheetData>
  <mergeCells count="10">
    <mergeCell ref="C24:D24"/>
    <mergeCell ref="F24:G24"/>
    <mergeCell ref="A2:I2"/>
    <mergeCell ref="H5:I5"/>
    <mergeCell ref="I9:I10"/>
    <mergeCell ref="A11:A12"/>
    <mergeCell ref="B11:E12"/>
    <mergeCell ref="F11:F12"/>
    <mergeCell ref="H11:H12"/>
    <mergeCell ref="I11:I12"/>
  </mergeCells>
  <pageMargins left="0.70866141732283472" right="0.15748031496062992" top="0.74803149606299213" bottom="0.74803149606299213" header="0.31496062992125984" footer="0.31496062992125984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3"/>
  <sheetViews>
    <sheetView showGridLines="0" view="pageBreakPreview" topLeftCell="A196" zoomScaleNormal="80" zoomScaleSheetLayoutView="100" workbookViewId="0">
      <selection activeCell="J193" sqref="J193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3.28515625" style="361" customWidth="1"/>
    <col min="5" max="5" width="11.42578125" style="361" customWidth="1"/>
    <col min="6" max="6" width="8.8554687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3" width="9.140625" style="361"/>
    <col min="14" max="14" width="17.7109375" style="361" customWidth="1"/>
    <col min="15" max="16384" width="9.140625" style="36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520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8.2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6.2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6.25" customHeight="1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732">
        <v>1</v>
      </c>
      <c r="B10" s="2190" t="s">
        <v>527</v>
      </c>
      <c r="C10" s="2190"/>
      <c r="D10" s="2190"/>
      <c r="E10" s="1148"/>
      <c r="F10" s="394"/>
      <c r="G10" s="1149"/>
      <c r="H10" s="1150"/>
      <c r="I10" s="1149"/>
      <c r="J10" s="1150"/>
      <c r="K10" s="1151"/>
      <c r="L10" s="398"/>
    </row>
    <row r="11" spans="1:12" ht="24">
      <c r="A11" s="407"/>
      <c r="B11" s="400" t="s">
        <v>1999</v>
      </c>
      <c r="C11" s="401"/>
      <c r="D11" s="401"/>
      <c r="E11" s="1152"/>
      <c r="F11" s="403"/>
      <c r="G11" s="1153"/>
      <c r="H11" s="1154"/>
      <c r="I11" s="1153"/>
      <c r="J11" s="1154"/>
      <c r="K11" s="1155"/>
      <c r="L11" s="406"/>
    </row>
    <row r="12" spans="1:12" ht="24">
      <c r="A12" s="1156">
        <v>1.1000000000000001</v>
      </c>
      <c r="B12" s="1157" t="s">
        <v>529</v>
      </c>
      <c r="C12" s="1158"/>
      <c r="D12" s="1159"/>
      <c r="E12" s="498"/>
      <c r="F12" s="1160" t="s">
        <v>10</v>
      </c>
      <c r="G12" s="1161"/>
      <c r="H12" s="161"/>
      <c r="I12" s="1161"/>
      <c r="J12" s="161"/>
      <c r="K12" s="213"/>
      <c r="L12" s="1162"/>
    </row>
    <row r="13" spans="1:12" ht="24">
      <c r="A13" s="1163">
        <f>A12+0.1</f>
        <v>1.2000000000000002</v>
      </c>
      <c r="B13" s="1164" t="s">
        <v>530</v>
      </c>
      <c r="C13" s="1165"/>
      <c r="D13" s="1166"/>
      <c r="E13" s="1081"/>
      <c r="F13" s="1167" t="s">
        <v>10</v>
      </c>
      <c r="G13" s="470"/>
      <c r="H13" s="157"/>
      <c r="I13" s="470"/>
      <c r="J13" s="157"/>
      <c r="K13" s="1168"/>
      <c r="L13" s="1169"/>
    </row>
    <row r="14" spans="1:12" ht="24">
      <c r="A14" s="1163">
        <f t="shared" ref="A14:A15" si="0">A13+0.1</f>
        <v>1.3000000000000003</v>
      </c>
      <c r="B14" s="1164" t="s">
        <v>605</v>
      </c>
      <c r="C14" s="1165"/>
      <c r="D14" s="1166"/>
      <c r="E14" s="1081"/>
      <c r="F14" s="1167" t="s">
        <v>10</v>
      </c>
      <c r="G14" s="470"/>
      <c r="H14" s="157"/>
      <c r="I14" s="470"/>
      <c r="J14" s="157"/>
      <c r="K14" s="1168"/>
      <c r="L14" s="1169"/>
    </row>
    <row r="15" spans="1:12" ht="24">
      <c r="A15" s="1163">
        <f t="shared" si="0"/>
        <v>1.4000000000000004</v>
      </c>
      <c r="B15" s="1164" t="s">
        <v>531</v>
      </c>
      <c r="C15" s="1165"/>
      <c r="D15" s="1170"/>
      <c r="E15" s="498"/>
      <c r="F15" s="1160" t="s">
        <v>10</v>
      </c>
      <c r="G15" s="1161"/>
      <c r="H15" s="161"/>
      <c r="I15" s="1161"/>
      <c r="J15" s="161"/>
      <c r="K15" s="213"/>
      <c r="L15" s="1162"/>
    </row>
    <row r="16" spans="1:12" ht="24">
      <c r="A16" s="1163">
        <v>1.5</v>
      </c>
      <c r="B16" s="1164" t="s">
        <v>2000</v>
      </c>
      <c r="C16" s="1165"/>
      <c r="D16" s="1170"/>
      <c r="E16" s="498"/>
      <c r="F16" s="1160" t="s">
        <v>10</v>
      </c>
      <c r="G16" s="1161"/>
      <c r="H16" s="161"/>
      <c r="I16" s="1161"/>
      <c r="J16" s="161"/>
      <c r="K16" s="213"/>
      <c r="L16" s="1162"/>
    </row>
    <row r="17" spans="1:14" ht="24">
      <c r="A17" s="1163">
        <v>1.6</v>
      </c>
      <c r="B17" s="1164" t="s">
        <v>2001</v>
      </c>
      <c r="C17" s="1165"/>
      <c r="D17" s="1170"/>
      <c r="E17" s="498"/>
      <c r="F17" s="1160" t="s">
        <v>10</v>
      </c>
      <c r="G17" s="1161"/>
      <c r="H17" s="161"/>
      <c r="I17" s="1161"/>
      <c r="J17" s="161"/>
      <c r="K17" s="213"/>
      <c r="L17" s="1162"/>
    </row>
    <row r="18" spans="1:14" ht="24">
      <c r="A18" s="1163">
        <v>1.7</v>
      </c>
      <c r="B18" s="1164" t="s">
        <v>537</v>
      </c>
      <c r="C18" s="1165"/>
      <c r="D18" s="1170"/>
      <c r="E18" s="498"/>
      <c r="F18" s="1160" t="s">
        <v>10</v>
      </c>
      <c r="G18" s="1161"/>
      <c r="H18" s="161"/>
      <c r="I18" s="1161"/>
      <c r="J18" s="161"/>
      <c r="K18" s="213"/>
      <c r="L18" s="1162"/>
    </row>
    <row r="19" spans="1:14" ht="24">
      <c r="A19" s="1163">
        <v>1.8</v>
      </c>
      <c r="B19" s="1164" t="s">
        <v>538</v>
      </c>
      <c r="C19" s="1165"/>
      <c r="D19" s="1170"/>
      <c r="E19" s="498"/>
      <c r="F19" s="1160" t="s">
        <v>10</v>
      </c>
      <c r="G19" s="1161"/>
      <c r="H19" s="161"/>
      <c r="I19" s="1161"/>
      <c r="J19" s="161"/>
      <c r="K19" s="213"/>
      <c r="L19" s="1162"/>
    </row>
    <row r="20" spans="1:14" ht="24">
      <c r="A20" s="1163">
        <v>1.9</v>
      </c>
      <c r="B20" s="1164" t="s">
        <v>539</v>
      </c>
      <c r="C20" s="1165"/>
      <c r="D20" s="1170"/>
      <c r="E20" s="498"/>
      <c r="F20" s="1160" t="s">
        <v>10</v>
      </c>
      <c r="G20" s="1161"/>
      <c r="H20" s="161"/>
      <c r="I20" s="1161"/>
      <c r="J20" s="161"/>
      <c r="K20" s="213"/>
      <c r="L20" s="1162"/>
    </row>
    <row r="21" spans="1:14" ht="24">
      <c r="A21" s="1171"/>
      <c r="B21" s="1164"/>
      <c r="C21" s="1165"/>
      <c r="D21" s="1170"/>
      <c r="E21" s="159"/>
      <c r="F21" s="1160"/>
      <c r="G21" s="1161"/>
      <c r="H21" s="161"/>
      <c r="I21" s="1161"/>
      <c r="J21" s="161"/>
      <c r="K21" s="213"/>
      <c r="L21" s="1162"/>
    </row>
    <row r="22" spans="1:14" ht="24">
      <c r="A22" s="1171"/>
      <c r="B22" s="1164"/>
      <c r="C22" s="1165"/>
      <c r="D22" s="1170"/>
      <c r="E22" s="159"/>
      <c r="F22" s="1160"/>
      <c r="G22" s="1161"/>
      <c r="H22" s="161"/>
      <c r="I22" s="1161"/>
      <c r="J22" s="161"/>
      <c r="K22" s="213"/>
      <c r="L22" s="1162"/>
    </row>
    <row r="23" spans="1:14" ht="24">
      <c r="A23" s="1172"/>
      <c r="B23" s="1173"/>
      <c r="C23" s="1165"/>
      <c r="D23" s="1170"/>
      <c r="E23" s="159"/>
      <c r="F23" s="1160"/>
      <c r="G23" s="1161"/>
      <c r="H23" s="161"/>
      <c r="I23" s="1161"/>
      <c r="J23" s="161"/>
      <c r="K23" s="159"/>
      <c r="L23" s="1162"/>
    </row>
    <row r="24" spans="1:14" ht="24">
      <c r="A24" s="1172"/>
      <c r="B24" s="1173"/>
      <c r="C24" s="1165"/>
      <c r="D24" s="1170"/>
      <c r="E24" s="159"/>
      <c r="F24" s="1160"/>
      <c r="G24" s="1161"/>
      <c r="H24" s="161"/>
      <c r="I24" s="1161"/>
      <c r="J24" s="161"/>
      <c r="K24" s="159"/>
      <c r="L24" s="1162"/>
    </row>
    <row r="25" spans="1:14" ht="24">
      <c r="A25" s="1172"/>
      <c r="B25" s="1173"/>
      <c r="C25" s="1165"/>
      <c r="D25" s="1170"/>
      <c r="E25" s="159"/>
      <c r="F25" s="1160"/>
      <c r="G25" s="1161"/>
      <c r="H25" s="161"/>
      <c r="I25" s="1161"/>
      <c r="J25" s="161"/>
      <c r="K25" s="159"/>
      <c r="L25" s="1162"/>
    </row>
    <row r="26" spans="1:14" ht="24">
      <c r="A26" s="1172"/>
      <c r="B26" s="1173"/>
      <c r="C26" s="1165"/>
      <c r="D26" s="1170"/>
      <c r="E26" s="159"/>
      <c r="F26" s="1160"/>
      <c r="G26" s="1161"/>
      <c r="H26" s="161"/>
      <c r="I26" s="1161"/>
      <c r="J26" s="161"/>
      <c r="K26" s="159"/>
      <c r="L26" s="1162"/>
    </row>
    <row r="27" spans="1:14" ht="24">
      <c r="A27" s="1174"/>
      <c r="B27" s="1173"/>
      <c r="C27" s="1165"/>
      <c r="D27" s="1170"/>
      <c r="E27" s="159"/>
      <c r="F27" s="1160"/>
      <c r="G27" s="1161"/>
      <c r="H27" s="161"/>
      <c r="I27" s="1161"/>
      <c r="J27" s="161"/>
      <c r="K27" s="159"/>
      <c r="L27" s="1162"/>
    </row>
    <row r="28" spans="1:14" ht="24">
      <c r="A28" s="1174"/>
      <c r="B28" s="1173"/>
      <c r="C28" s="1165"/>
      <c r="D28" s="1170"/>
      <c r="E28" s="159"/>
      <c r="F28" s="1160"/>
      <c r="G28" s="1161"/>
      <c r="H28" s="161"/>
      <c r="I28" s="1161"/>
      <c r="J28" s="161"/>
      <c r="K28" s="159"/>
      <c r="L28" s="1162"/>
    </row>
    <row r="29" spans="1:14" ht="24">
      <c r="A29" s="1175"/>
      <c r="B29" s="1176"/>
      <c r="C29" s="1177"/>
      <c r="D29" s="1178"/>
      <c r="E29" s="1107"/>
      <c r="F29" s="1179"/>
      <c r="G29" s="1180"/>
      <c r="H29" s="1108"/>
      <c r="I29" s="1180"/>
      <c r="J29" s="1108"/>
      <c r="K29" s="1107"/>
      <c r="L29" s="1181"/>
      <c r="N29" s="1094">
        <v>4266.91</v>
      </c>
    </row>
    <row r="30" spans="1:14" ht="24">
      <c r="A30" s="1182"/>
      <c r="B30" s="2173" t="s">
        <v>69</v>
      </c>
      <c r="C30" s="2174"/>
      <c r="D30" s="2175"/>
      <c r="E30" s="1183"/>
      <c r="F30" s="1184"/>
      <c r="G30" s="1185"/>
      <c r="H30" s="1186">
        <f>SUM(H12:H29)</f>
        <v>0</v>
      </c>
      <c r="I30" s="1185"/>
      <c r="J30" s="1186">
        <f t="shared" ref="J30" si="1">SUM(J12:J29)</f>
        <v>0</v>
      </c>
      <c r="K30" s="1187">
        <f>SUM(K12:K29)</f>
        <v>0</v>
      </c>
      <c r="L30" s="1188"/>
    </row>
    <row r="31" spans="1:14" ht="24">
      <c r="A31" s="1189">
        <v>1.1000000000000001</v>
      </c>
      <c r="B31" s="2096" t="s">
        <v>529</v>
      </c>
      <c r="C31" s="2097"/>
      <c r="D31" s="2098"/>
      <c r="E31" s="1190"/>
      <c r="F31" s="1191"/>
      <c r="G31" s="1192"/>
      <c r="H31" s="618"/>
      <c r="I31" s="1192"/>
      <c r="J31" s="618"/>
      <c r="K31" s="620"/>
      <c r="L31" s="1193"/>
      <c r="N31" s="1194">
        <f>K31/N29</f>
        <v>0</v>
      </c>
    </row>
    <row r="32" spans="1:14" ht="24">
      <c r="A32" s="1156" t="s">
        <v>94</v>
      </c>
      <c r="B32" s="2107" t="s">
        <v>2002</v>
      </c>
      <c r="C32" s="2108"/>
      <c r="D32" s="2109"/>
      <c r="E32" s="1195"/>
      <c r="F32" s="1160" t="s">
        <v>541</v>
      </c>
      <c r="G32" s="1196"/>
      <c r="H32" s="161"/>
      <c r="I32" s="1197"/>
      <c r="J32" s="161"/>
      <c r="K32" s="159"/>
      <c r="L32" s="1162"/>
    </row>
    <row r="33" spans="1:12" ht="24">
      <c r="A33" s="1198"/>
      <c r="B33" s="2107" t="s">
        <v>2003</v>
      </c>
      <c r="C33" s="2108"/>
      <c r="D33" s="2109"/>
      <c r="E33" s="1195"/>
      <c r="F33" s="1167"/>
      <c r="G33" s="1196"/>
      <c r="H33" s="161"/>
      <c r="I33" s="1196"/>
      <c r="J33" s="161"/>
      <c r="K33" s="159"/>
      <c r="L33" s="1169"/>
    </row>
    <row r="34" spans="1:12" ht="24">
      <c r="A34" s="1198" t="s">
        <v>97</v>
      </c>
      <c r="B34" s="2107" t="s">
        <v>2004</v>
      </c>
      <c r="C34" s="2108"/>
      <c r="D34" s="2109"/>
      <c r="E34" s="1195"/>
      <c r="F34" s="1160" t="s">
        <v>541</v>
      </c>
      <c r="G34" s="1196"/>
      <c r="H34" s="161"/>
      <c r="I34" s="1196"/>
      <c r="J34" s="161"/>
      <c r="K34" s="159"/>
      <c r="L34" s="1169"/>
    </row>
    <row r="35" spans="1:12" ht="24">
      <c r="A35" s="1198"/>
      <c r="B35" s="2107" t="s">
        <v>2005</v>
      </c>
      <c r="C35" s="2108"/>
      <c r="D35" s="2109"/>
      <c r="E35" s="1195"/>
      <c r="F35" s="1167"/>
      <c r="G35" s="1196"/>
      <c r="H35" s="161"/>
      <c r="I35" s="1196"/>
      <c r="J35" s="161"/>
      <c r="K35" s="159"/>
      <c r="L35" s="1169"/>
    </row>
    <row r="36" spans="1:12" ht="24">
      <c r="A36" s="1163" t="s">
        <v>98</v>
      </c>
      <c r="B36" s="2107" t="s">
        <v>542</v>
      </c>
      <c r="C36" s="2108"/>
      <c r="D36" s="2109"/>
      <c r="E36" s="1195"/>
      <c r="F36" s="1167" t="s">
        <v>541</v>
      </c>
      <c r="G36" s="1196"/>
      <c r="H36" s="161"/>
      <c r="I36" s="1196"/>
      <c r="J36" s="161"/>
      <c r="K36" s="159"/>
      <c r="L36" s="1169"/>
    </row>
    <row r="37" spans="1:12" ht="24">
      <c r="A37" s="1163" t="s">
        <v>100</v>
      </c>
      <c r="B37" s="2107" t="s">
        <v>2006</v>
      </c>
      <c r="C37" s="2108"/>
      <c r="D37" s="2109"/>
      <c r="E37" s="1195"/>
      <c r="F37" s="1167" t="s">
        <v>541</v>
      </c>
      <c r="G37" s="1196"/>
      <c r="H37" s="161"/>
      <c r="I37" s="1196"/>
      <c r="J37" s="161"/>
      <c r="K37" s="159"/>
      <c r="L37" s="1169"/>
    </row>
    <row r="38" spans="1:12" ht="24">
      <c r="A38" s="1163" t="s">
        <v>106</v>
      </c>
      <c r="B38" s="2107" t="s">
        <v>543</v>
      </c>
      <c r="C38" s="2108"/>
      <c r="D38" s="2109"/>
      <c r="E38" s="1195"/>
      <c r="F38" s="1167" t="s">
        <v>541</v>
      </c>
      <c r="G38" s="1196"/>
      <c r="H38" s="161"/>
      <c r="I38" s="1196"/>
      <c r="J38" s="161"/>
      <c r="K38" s="159"/>
      <c r="L38" s="1169"/>
    </row>
    <row r="39" spans="1:12" ht="24">
      <c r="A39" s="1163" t="s">
        <v>547</v>
      </c>
      <c r="B39" s="2107" t="s">
        <v>544</v>
      </c>
      <c r="C39" s="2108"/>
      <c r="D39" s="2109"/>
      <c r="E39" s="1195"/>
      <c r="F39" s="1167" t="s">
        <v>541</v>
      </c>
      <c r="G39" s="1196"/>
      <c r="H39" s="161"/>
      <c r="I39" s="1196"/>
      <c r="J39" s="161"/>
      <c r="K39" s="159"/>
      <c r="L39" s="1169"/>
    </row>
    <row r="40" spans="1:12" ht="24">
      <c r="A40" s="1163" t="s">
        <v>549</v>
      </c>
      <c r="B40" s="2093" t="s">
        <v>545</v>
      </c>
      <c r="C40" s="2094"/>
      <c r="D40" s="2095"/>
      <c r="E40" s="1195"/>
      <c r="F40" s="1167" t="s">
        <v>546</v>
      </c>
      <c r="G40" s="1196"/>
      <c r="H40" s="161"/>
      <c r="I40" s="1196"/>
      <c r="J40" s="161"/>
      <c r="K40" s="159"/>
      <c r="L40" s="1169"/>
    </row>
    <row r="41" spans="1:12" ht="24">
      <c r="A41" s="1163" t="s">
        <v>551</v>
      </c>
      <c r="B41" s="2093" t="s">
        <v>548</v>
      </c>
      <c r="C41" s="2094"/>
      <c r="D41" s="2095"/>
      <c r="E41" s="1195"/>
      <c r="F41" s="1167" t="s">
        <v>546</v>
      </c>
      <c r="G41" s="1196"/>
      <c r="H41" s="161"/>
      <c r="I41" s="1196"/>
      <c r="J41" s="161"/>
      <c r="K41" s="159"/>
      <c r="L41" s="1162"/>
    </row>
    <row r="42" spans="1:12" ht="24">
      <c r="A42" s="1163" t="s">
        <v>553</v>
      </c>
      <c r="B42" s="2093" t="s">
        <v>550</v>
      </c>
      <c r="C42" s="2094"/>
      <c r="D42" s="2095"/>
      <c r="E42" s="1195"/>
      <c r="F42" s="1167" t="s">
        <v>546</v>
      </c>
      <c r="G42" s="1196"/>
      <c r="H42" s="161"/>
      <c r="I42" s="1196"/>
      <c r="J42" s="161"/>
      <c r="K42" s="159"/>
      <c r="L42" s="1162"/>
    </row>
    <row r="43" spans="1:12" ht="24">
      <c r="A43" s="1163" t="s">
        <v>555</v>
      </c>
      <c r="B43" s="2093" t="s">
        <v>552</v>
      </c>
      <c r="C43" s="2094"/>
      <c r="D43" s="2095"/>
      <c r="E43" s="1195"/>
      <c r="F43" s="1167" t="s">
        <v>546</v>
      </c>
      <c r="G43" s="1196"/>
      <c r="H43" s="161"/>
      <c r="I43" s="1196"/>
      <c r="J43" s="161"/>
      <c r="K43" s="159"/>
      <c r="L43" s="1162"/>
    </row>
    <row r="44" spans="1:12" ht="24">
      <c r="A44" s="1163" t="s">
        <v>557</v>
      </c>
      <c r="B44" s="2093" t="s">
        <v>554</v>
      </c>
      <c r="C44" s="2094"/>
      <c r="D44" s="2095"/>
      <c r="E44" s="1195"/>
      <c r="F44" s="1167" t="s">
        <v>546</v>
      </c>
      <c r="G44" s="1199"/>
      <c r="H44" s="157"/>
      <c r="I44" s="1199"/>
      <c r="J44" s="161"/>
      <c r="K44" s="159"/>
      <c r="L44" s="1162"/>
    </row>
    <row r="45" spans="1:12" ht="24">
      <c r="A45" s="1163" t="s">
        <v>560</v>
      </c>
      <c r="B45" s="2093" t="s">
        <v>556</v>
      </c>
      <c r="C45" s="2094"/>
      <c r="D45" s="2095"/>
      <c r="E45" s="1195"/>
      <c r="F45" s="1160" t="s">
        <v>183</v>
      </c>
      <c r="G45" s="1199"/>
      <c r="H45" s="157"/>
      <c r="I45" s="1199"/>
      <c r="J45" s="161"/>
      <c r="K45" s="159"/>
      <c r="L45" s="1162"/>
    </row>
    <row r="46" spans="1:12" ht="24">
      <c r="A46" s="1163" t="s">
        <v>568</v>
      </c>
      <c r="B46" s="2093" t="s">
        <v>558</v>
      </c>
      <c r="C46" s="2094"/>
      <c r="D46" s="2095"/>
      <c r="E46" s="1195"/>
      <c r="F46" s="1160" t="s">
        <v>559</v>
      </c>
      <c r="G46" s="1199"/>
      <c r="H46" s="157"/>
      <c r="I46" s="1199"/>
      <c r="J46" s="161"/>
      <c r="K46" s="159"/>
      <c r="L46" s="1162"/>
    </row>
    <row r="47" spans="1:12" ht="24">
      <c r="A47" s="1163" t="s">
        <v>2007</v>
      </c>
      <c r="B47" s="2093" t="s">
        <v>561</v>
      </c>
      <c r="C47" s="2094"/>
      <c r="D47" s="2095"/>
      <c r="E47" s="1195"/>
      <c r="F47" s="1160"/>
      <c r="G47" s="1199"/>
      <c r="H47" s="157"/>
      <c r="I47" s="1199"/>
      <c r="J47" s="161"/>
      <c r="K47" s="159"/>
      <c r="L47" s="1162"/>
    </row>
    <row r="48" spans="1:12" ht="24">
      <c r="A48" s="1163"/>
      <c r="B48" s="2093" t="s">
        <v>562</v>
      </c>
      <c r="C48" s="2094"/>
      <c r="D48" s="2095"/>
      <c r="E48" s="1195"/>
      <c r="F48" s="1160" t="s">
        <v>559</v>
      </c>
      <c r="G48" s="1200"/>
      <c r="H48" s="419"/>
      <c r="I48" s="1201"/>
      <c r="J48" s="161"/>
      <c r="K48" s="159"/>
      <c r="L48" s="1162"/>
    </row>
    <row r="49" spans="1:14" ht="24">
      <c r="A49" s="1163"/>
      <c r="B49" s="2093" t="s">
        <v>563</v>
      </c>
      <c r="C49" s="2094"/>
      <c r="D49" s="2095"/>
      <c r="E49" s="1195"/>
      <c r="F49" s="1160" t="s">
        <v>559</v>
      </c>
      <c r="G49" s="1200"/>
      <c r="H49" s="419"/>
      <c r="I49" s="1201"/>
      <c r="J49" s="161"/>
      <c r="K49" s="159"/>
      <c r="L49" s="1162"/>
    </row>
    <row r="50" spans="1:14" ht="24">
      <c r="A50" s="1163"/>
      <c r="B50" s="2093" t="s">
        <v>564</v>
      </c>
      <c r="C50" s="2094"/>
      <c r="D50" s="2095"/>
      <c r="E50" s="1195"/>
      <c r="F50" s="1160" t="s">
        <v>559</v>
      </c>
      <c r="G50" s="1200"/>
      <c r="H50" s="419"/>
      <c r="I50" s="1201"/>
      <c r="J50" s="161"/>
      <c r="K50" s="159"/>
      <c r="L50" s="1162"/>
    </row>
    <row r="51" spans="1:14" ht="24">
      <c r="A51" s="1202"/>
      <c r="B51" s="2182" t="s">
        <v>565</v>
      </c>
      <c r="C51" s="2183"/>
      <c r="D51" s="2184"/>
      <c r="E51" s="1203"/>
      <c r="F51" s="1204" t="s">
        <v>559</v>
      </c>
      <c r="G51" s="1200"/>
      <c r="H51" s="1205"/>
      <c r="I51" s="1206"/>
      <c r="J51" s="533"/>
      <c r="K51" s="534"/>
      <c r="L51" s="1207"/>
    </row>
    <row r="52" spans="1:14" ht="24">
      <c r="A52" s="1208"/>
      <c r="B52" s="2104" t="s">
        <v>566</v>
      </c>
      <c r="C52" s="2185"/>
      <c r="D52" s="2186"/>
      <c r="E52" s="1209"/>
      <c r="F52" s="1167" t="s">
        <v>559</v>
      </c>
      <c r="G52" s="1200"/>
      <c r="H52" s="412"/>
      <c r="I52" s="1201"/>
      <c r="J52" s="157"/>
      <c r="K52" s="158"/>
      <c r="L52" s="1169"/>
    </row>
    <row r="53" spans="1:14" ht="24">
      <c r="A53" s="1210"/>
      <c r="B53" s="2093" t="s">
        <v>567</v>
      </c>
      <c r="C53" s="2094"/>
      <c r="D53" s="2095"/>
      <c r="E53" s="1195"/>
      <c r="F53" s="1160" t="s">
        <v>559</v>
      </c>
      <c r="G53" s="1200"/>
      <c r="H53" s="419"/>
      <c r="I53" s="1201"/>
      <c r="J53" s="161"/>
      <c r="K53" s="159"/>
      <c r="L53" s="1162"/>
      <c r="N53" s="367">
        <f>SUM(E48:E53)</f>
        <v>0</v>
      </c>
    </row>
    <row r="54" spans="1:14" ht="24">
      <c r="A54" s="1210" t="s">
        <v>2008</v>
      </c>
      <c r="B54" s="2093" t="s">
        <v>569</v>
      </c>
      <c r="C54" s="2094"/>
      <c r="D54" s="2095"/>
      <c r="E54" s="1195"/>
      <c r="F54" s="1160" t="s">
        <v>559</v>
      </c>
      <c r="G54" s="1199"/>
      <c r="H54" s="161"/>
      <c r="I54" s="1199"/>
      <c r="J54" s="161"/>
      <c r="K54" s="159"/>
      <c r="L54" s="1162"/>
    </row>
    <row r="55" spans="1:14" ht="24">
      <c r="A55" s="1211"/>
      <c r="B55" s="1176"/>
      <c r="C55" s="1177"/>
      <c r="D55" s="1178"/>
      <c r="E55" s="1212"/>
      <c r="F55" s="1179"/>
      <c r="G55" s="1213"/>
      <c r="H55" s="1108"/>
      <c r="I55" s="1213"/>
      <c r="J55" s="1108"/>
      <c r="K55" s="1107"/>
      <c r="L55" s="1181"/>
    </row>
    <row r="56" spans="1:14" ht="24">
      <c r="A56" s="1182"/>
      <c r="B56" s="2173" t="s">
        <v>570</v>
      </c>
      <c r="C56" s="2174"/>
      <c r="D56" s="2175"/>
      <c r="E56" s="1214"/>
      <c r="F56" s="1184"/>
      <c r="G56" s="1215"/>
      <c r="H56" s="1186"/>
      <c r="I56" s="1215"/>
      <c r="J56" s="1186"/>
      <c r="K56" s="1187"/>
      <c r="L56" s="1188"/>
    </row>
    <row r="57" spans="1:14" ht="24">
      <c r="A57" s="1216">
        <v>1.2</v>
      </c>
      <c r="B57" s="2087" t="s">
        <v>571</v>
      </c>
      <c r="C57" s="2088"/>
      <c r="D57" s="2089"/>
      <c r="E57" s="1217"/>
      <c r="F57" s="1218"/>
      <c r="G57" s="1219"/>
      <c r="H57" s="1220"/>
      <c r="I57" s="1219"/>
      <c r="J57" s="1220"/>
      <c r="K57" s="1221"/>
      <c r="L57" s="1222"/>
    </row>
    <row r="58" spans="1:14" ht="24">
      <c r="A58" s="1223" t="s">
        <v>572</v>
      </c>
      <c r="B58" s="2104" t="s">
        <v>545</v>
      </c>
      <c r="C58" s="2105"/>
      <c r="D58" s="2106"/>
      <c r="E58" s="1224"/>
      <c r="F58" s="469" t="s">
        <v>546</v>
      </c>
      <c r="G58" s="1199"/>
      <c r="H58" s="157"/>
      <c r="I58" s="1199"/>
      <c r="J58" s="157"/>
      <c r="K58" s="158"/>
      <c r="L58" s="107"/>
    </row>
    <row r="59" spans="1:14" ht="24">
      <c r="A59" s="1156" t="s">
        <v>574</v>
      </c>
      <c r="B59" s="2104" t="s">
        <v>550</v>
      </c>
      <c r="C59" s="2105"/>
      <c r="D59" s="2106"/>
      <c r="E59" s="1224"/>
      <c r="F59" s="469" t="s">
        <v>546</v>
      </c>
      <c r="G59" s="1196"/>
      <c r="H59" s="157"/>
      <c r="I59" s="1196"/>
      <c r="J59" s="157"/>
      <c r="K59" s="158"/>
      <c r="L59" s="1162"/>
    </row>
    <row r="60" spans="1:14" ht="24">
      <c r="A60" s="1156" t="s">
        <v>575</v>
      </c>
      <c r="B60" s="2104" t="s">
        <v>552</v>
      </c>
      <c r="C60" s="2105"/>
      <c r="D60" s="2106"/>
      <c r="E60" s="1224"/>
      <c r="F60" s="469" t="s">
        <v>546</v>
      </c>
      <c r="G60" s="1196"/>
      <c r="H60" s="161"/>
      <c r="I60" s="1196"/>
      <c r="J60" s="157"/>
      <c r="K60" s="158"/>
      <c r="L60" s="1169"/>
    </row>
    <row r="61" spans="1:14" ht="24">
      <c r="A61" s="1156" t="s">
        <v>576</v>
      </c>
      <c r="B61" s="2093" t="s">
        <v>554</v>
      </c>
      <c r="C61" s="2094"/>
      <c r="D61" s="2095"/>
      <c r="E61" s="1224"/>
      <c r="F61" s="1167" t="s">
        <v>546</v>
      </c>
      <c r="G61" s="1199"/>
      <c r="H61" s="157"/>
      <c r="I61" s="1199"/>
      <c r="J61" s="157"/>
      <c r="K61" s="158"/>
      <c r="L61" s="1169"/>
    </row>
    <row r="62" spans="1:14" ht="24">
      <c r="A62" s="1156" t="s">
        <v>577</v>
      </c>
      <c r="B62" s="2093" t="s">
        <v>556</v>
      </c>
      <c r="C62" s="2094"/>
      <c r="D62" s="2095"/>
      <c r="E62" s="1224"/>
      <c r="F62" s="1160" t="s">
        <v>183</v>
      </c>
      <c r="G62" s="1199"/>
      <c r="H62" s="157"/>
      <c r="I62" s="1199"/>
      <c r="J62" s="157"/>
      <c r="K62" s="158"/>
      <c r="L62" s="1162"/>
    </row>
    <row r="63" spans="1:14" ht="24">
      <c r="A63" s="1156" t="s">
        <v>578</v>
      </c>
      <c r="B63" s="2093" t="s">
        <v>558</v>
      </c>
      <c r="C63" s="2094"/>
      <c r="D63" s="2095"/>
      <c r="E63" s="1224"/>
      <c r="F63" s="1160" t="s">
        <v>559</v>
      </c>
      <c r="G63" s="1199"/>
      <c r="H63" s="157"/>
      <c r="I63" s="1199"/>
      <c r="J63" s="157"/>
      <c r="K63" s="158"/>
      <c r="L63" s="1162"/>
    </row>
    <row r="64" spans="1:14" ht="24">
      <c r="A64" s="1156" t="s">
        <v>579</v>
      </c>
      <c r="B64" s="2093" t="s">
        <v>561</v>
      </c>
      <c r="C64" s="2094"/>
      <c r="D64" s="2095"/>
      <c r="E64" s="1224"/>
      <c r="F64" s="1160"/>
      <c r="G64" s="1199"/>
      <c r="H64" s="157"/>
      <c r="I64" s="1199"/>
      <c r="J64" s="157"/>
      <c r="K64" s="158"/>
      <c r="L64" s="1162"/>
    </row>
    <row r="65" spans="1:14" ht="24">
      <c r="A65" s="1163"/>
      <c r="B65" s="2093" t="s">
        <v>562</v>
      </c>
      <c r="C65" s="2094"/>
      <c r="D65" s="2095"/>
      <c r="E65" s="1224"/>
      <c r="F65" s="1160" t="s">
        <v>559</v>
      </c>
      <c r="G65" s="1200"/>
      <c r="H65" s="419"/>
      <c r="I65" s="1201"/>
      <c r="J65" s="157"/>
      <c r="K65" s="158"/>
      <c r="L65" s="1162"/>
    </row>
    <row r="66" spans="1:14" ht="24">
      <c r="A66" s="1225"/>
      <c r="B66" s="2093" t="s">
        <v>563</v>
      </c>
      <c r="C66" s="2094"/>
      <c r="D66" s="2095"/>
      <c r="E66" s="1226"/>
      <c r="F66" s="1160" t="s">
        <v>559</v>
      </c>
      <c r="G66" s="1200"/>
      <c r="H66" s="419"/>
      <c r="I66" s="1201"/>
      <c r="J66" s="157"/>
      <c r="K66" s="158"/>
      <c r="L66" s="1162"/>
    </row>
    <row r="67" spans="1:14" ht="24">
      <c r="A67" s="1225"/>
      <c r="B67" s="2093" t="s">
        <v>564</v>
      </c>
      <c r="C67" s="2094"/>
      <c r="D67" s="2095"/>
      <c r="E67" s="1226"/>
      <c r="F67" s="1160" t="s">
        <v>559</v>
      </c>
      <c r="G67" s="1200"/>
      <c r="H67" s="419"/>
      <c r="I67" s="1201"/>
      <c r="J67" s="157"/>
      <c r="K67" s="158"/>
      <c r="L67" s="1162"/>
    </row>
    <row r="68" spans="1:14" ht="24">
      <c r="A68" s="1163"/>
      <c r="B68" s="2093" t="s">
        <v>565</v>
      </c>
      <c r="C68" s="2094"/>
      <c r="D68" s="2095"/>
      <c r="E68" s="1224"/>
      <c r="F68" s="1160" t="s">
        <v>559</v>
      </c>
      <c r="G68" s="1200"/>
      <c r="H68" s="419"/>
      <c r="I68" s="1201"/>
      <c r="J68" s="157"/>
      <c r="K68" s="158"/>
      <c r="L68" s="1162"/>
    </row>
    <row r="69" spans="1:14" ht="24">
      <c r="A69" s="1163"/>
      <c r="B69" s="2093" t="s">
        <v>566</v>
      </c>
      <c r="C69" s="2094"/>
      <c r="D69" s="2095"/>
      <c r="E69" s="1224"/>
      <c r="F69" s="1160" t="s">
        <v>559</v>
      </c>
      <c r="G69" s="1200"/>
      <c r="H69" s="419"/>
      <c r="I69" s="1201"/>
      <c r="J69" s="157"/>
      <c r="K69" s="158"/>
      <c r="L69" s="1162"/>
    </row>
    <row r="70" spans="1:14" ht="24">
      <c r="A70" s="1163"/>
      <c r="B70" s="2093" t="s">
        <v>567</v>
      </c>
      <c r="C70" s="2094"/>
      <c r="D70" s="2095"/>
      <c r="E70" s="1224"/>
      <c r="F70" s="1160" t="s">
        <v>559</v>
      </c>
      <c r="G70" s="1200"/>
      <c r="H70" s="419"/>
      <c r="I70" s="1201"/>
      <c r="J70" s="157"/>
      <c r="K70" s="158"/>
      <c r="L70" s="1162"/>
      <c r="N70" s="367">
        <f>SUM(E65:E70)</f>
        <v>0</v>
      </c>
    </row>
    <row r="71" spans="1:14" ht="24">
      <c r="A71" s="1163" t="s">
        <v>580</v>
      </c>
      <c r="B71" s="2093" t="s">
        <v>569</v>
      </c>
      <c r="C71" s="2094"/>
      <c r="D71" s="2095"/>
      <c r="E71" s="1224"/>
      <c r="F71" s="1160" t="s">
        <v>559</v>
      </c>
      <c r="G71" s="1199"/>
      <c r="H71" s="161"/>
      <c r="I71" s="1199"/>
      <c r="J71" s="157"/>
      <c r="K71" s="158"/>
      <c r="L71" s="1162"/>
    </row>
    <row r="72" spans="1:14" ht="24">
      <c r="A72" s="1202" t="s">
        <v>581</v>
      </c>
      <c r="B72" s="2182" t="s">
        <v>582</v>
      </c>
      <c r="C72" s="2183"/>
      <c r="D72" s="2184"/>
      <c r="E72" s="1227"/>
      <c r="F72" s="1204" t="s">
        <v>183</v>
      </c>
      <c r="G72" s="1228"/>
      <c r="H72" s="533"/>
      <c r="I72" s="1228"/>
      <c r="J72" s="533"/>
      <c r="K72" s="534"/>
      <c r="L72" s="1207"/>
    </row>
    <row r="73" spans="1:14" ht="24">
      <c r="A73" s="1229" t="s">
        <v>583</v>
      </c>
      <c r="B73" s="1230" t="s">
        <v>584</v>
      </c>
      <c r="C73" s="1231"/>
      <c r="D73" s="1232"/>
      <c r="E73" s="1224"/>
      <c r="F73" s="1167" t="s">
        <v>183</v>
      </c>
      <c r="G73" s="1233"/>
      <c r="H73" s="157"/>
      <c r="I73" s="1233"/>
      <c r="J73" s="157"/>
      <c r="K73" s="158"/>
      <c r="L73" s="1234"/>
    </row>
    <row r="74" spans="1:14" ht="24">
      <c r="A74" s="1211"/>
      <c r="B74" s="478" t="s">
        <v>585</v>
      </c>
      <c r="C74" s="1164"/>
      <c r="D74" s="1235"/>
      <c r="E74" s="1236"/>
      <c r="F74" s="1179"/>
      <c r="G74" s="1213"/>
      <c r="H74" s="157"/>
      <c r="I74" s="1213"/>
      <c r="J74" s="157"/>
      <c r="K74" s="158"/>
      <c r="L74" s="1181"/>
    </row>
    <row r="75" spans="1:14" ht="24">
      <c r="A75" s="1211" t="s">
        <v>2009</v>
      </c>
      <c r="B75" s="478" t="s">
        <v>584</v>
      </c>
      <c r="C75" s="1164"/>
      <c r="D75" s="1235"/>
      <c r="E75" s="1237"/>
      <c r="F75" s="1160" t="s">
        <v>183</v>
      </c>
      <c r="G75" s="1213"/>
      <c r="H75" s="157"/>
      <c r="I75" s="1213"/>
      <c r="J75" s="157"/>
      <c r="K75" s="158"/>
      <c r="L75" s="1181"/>
    </row>
    <row r="76" spans="1:14" ht="24">
      <c r="A76" s="1211"/>
      <c r="B76" s="478" t="s">
        <v>2010</v>
      </c>
      <c r="C76" s="1164"/>
      <c r="D76" s="1235"/>
      <c r="E76" s="1212"/>
      <c r="F76" s="1179"/>
      <c r="G76" s="1213"/>
      <c r="H76" s="1108"/>
      <c r="I76" s="1213"/>
      <c r="J76" s="1108"/>
      <c r="K76" s="1107"/>
      <c r="L76" s="1181"/>
    </row>
    <row r="77" spans="1:14" ht="24">
      <c r="A77" s="1175"/>
      <c r="B77" s="1176"/>
      <c r="C77" s="1177"/>
      <c r="D77" s="1178"/>
      <c r="E77" s="1212"/>
      <c r="F77" s="1179"/>
      <c r="G77" s="1213"/>
      <c r="H77" s="1108"/>
      <c r="I77" s="1213"/>
      <c r="J77" s="1108"/>
      <c r="K77" s="1107"/>
      <c r="L77" s="1181"/>
    </row>
    <row r="78" spans="1:14" ht="24">
      <c r="A78" s="1182"/>
      <c r="B78" s="2173" t="s">
        <v>586</v>
      </c>
      <c r="C78" s="2174"/>
      <c r="D78" s="2175"/>
      <c r="E78" s="1214"/>
      <c r="F78" s="1184"/>
      <c r="G78" s="1215"/>
      <c r="H78" s="1186">
        <f>SUM(H58:H76)</f>
        <v>0</v>
      </c>
      <c r="I78" s="1215"/>
      <c r="J78" s="1186">
        <f>SUM(J58:J76)</f>
        <v>0</v>
      </c>
      <c r="K78" s="1187">
        <f>SUM(K58:K76)</f>
        <v>0</v>
      </c>
      <c r="L78" s="1188"/>
    </row>
    <row r="79" spans="1:14" ht="24">
      <c r="A79" s="1216">
        <v>1.3</v>
      </c>
      <c r="B79" s="2087" t="s">
        <v>605</v>
      </c>
      <c r="C79" s="2088"/>
      <c r="D79" s="2089"/>
      <c r="E79" s="1217"/>
      <c r="F79" s="1218"/>
      <c r="G79" s="1219"/>
      <c r="H79" s="1220"/>
      <c r="I79" s="1219"/>
      <c r="J79" s="1220"/>
      <c r="K79" s="1221"/>
      <c r="L79" s="1222"/>
    </row>
    <row r="80" spans="1:14" ht="24">
      <c r="A80" s="1163" t="s">
        <v>588</v>
      </c>
      <c r="B80" s="2093" t="s">
        <v>589</v>
      </c>
      <c r="C80" s="2094"/>
      <c r="D80" s="2095"/>
      <c r="E80" s="1209"/>
      <c r="F80" s="1167" t="s">
        <v>183</v>
      </c>
      <c r="G80" s="1199"/>
      <c r="H80" s="157"/>
      <c r="I80" s="1199"/>
      <c r="J80" s="157"/>
      <c r="K80" s="158"/>
      <c r="L80" s="1169"/>
    </row>
    <row r="81" spans="1:14" ht="24">
      <c r="A81" s="1225"/>
      <c r="B81" s="2093" t="s">
        <v>590</v>
      </c>
      <c r="C81" s="2094"/>
      <c r="D81" s="2095"/>
      <c r="E81" s="1195"/>
      <c r="F81" s="1160"/>
      <c r="G81" s="1196"/>
      <c r="H81" s="161"/>
      <c r="I81" s="1196"/>
      <c r="J81" s="161"/>
      <c r="K81" s="159"/>
      <c r="L81" s="1162"/>
    </row>
    <row r="82" spans="1:14" ht="24">
      <c r="A82" s="1225" t="s">
        <v>591</v>
      </c>
      <c r="B82" s="2093" t="s">
        <v>554</v>
      </c>
      <c r="C82" s="2094"/>
      <c r="D82" s="2095"/>
      <c r="E82" s="1195"/>
      <c r="F82" s="1160" t="s">
        <v>546</v>
      </c>
      <c r="G82" s="1199"/>
      <c r="H82" s="157"/>
      <c r="I82" s="1199"/>
      <c r="J82" s="161"/>
      <c r="K82" s="159"/>
      <c r="L82" s="1162"/>
    </row>
    <row r="83" spans="1:14" ht="24">
      <c r="A83" s="1163" t="s">
        <v>592</v>
      </c>
      <c r="B83" s="2093" t="s">
        <v>556</v>
      </c>
      <c r="C83" s="2094"/>
      <c r="D83" s="2095"/>
      <c r="E83" s="1209"/>
      <c r="F83" s="1160" t="s">
        <v>183</v>
      </c>
      <c r="G83" s="1199"/>
      <c r="H83" s="157"/>
      <c r="I83" s="1199"/>
      <c r="J83" s="157"/>
      <c r="K83" s="158"/>
      <c r="L83" s="1162"/>
    </row>
    <row r="84" spans="1:14" ht="24">
      <c r="A84" s="1163" t="s">
        <v>593</v>
      </c>
      <c r="B84" s="2093" t="s">
        <v>558</v>
      </c>
      <c r="C84" s="2094"/>
      <c r="D84" s="2095"/>
      <c r="E84" s="1209"/>
      <c r="F84" s="1160" t="s">
        <v>559</v>
      </c>
      <c r="G84" s="1199"/>
      <c r="H84" s="157"/>
      <c r="I84" s="1199"/>
      <c r="J84" s="157"/>
      <c r="K84" s="158"/>
      <c r="L84" s="1162"/>
    </row>
    <row r="85" spans="1:14" ht="24">
      <c r="A85" s="1163" t="s">
        <v>594</v>
      </c>
      <c r="B85" s="2093" t="s">
        <v>561</v>
      </c>
      <c r="C85" s="2094"/>
      <c r="D85" s="2095"/>
      <c r="E85" s="1209"/>
      <c r="F85" s="1160"/>
      <c r="G85" s="1199"/>
      <c r="H85" s="157"/>
      <c r="I85" s="1199"/>
      <c r="J85" s="157"/>
      <c r="K85" s="158"/>
      <c r="L85" s="1162"/>
    </row>
    <row r="86" spans="1:14" ht="24">
      <c r="A86" s="1163"/>
      <c r="B86" s="2093" t="s">
        <v>562</v>
      </c>
      <c r="C86" s="2094"/>
      <c r="D86" s="2095"/>
      <c r="E86" s="1209"/>
      <c r="F86" s="1160" t="s">
        <v>559</v>
      </c>
      <c r="G86" s="1200"/>
      <c r="H86" s="419"/>
      <c r="I86" s="1201"/>
      <c r="J86" s="157"/>
      <c r="K86" s="158"/>
      <c r="L86" s="1162"/>
    </row>
    <row r="87" spans="1:14" ht="24">
      <c r="A87" s="1163"/>
      <c r="B87" s="2093" t="s">
        <v>563</v>
      </c>
      <c r="C87" s="2094"/>
      <c r="D87" s="2095"/>
      <c r="E87" s="1209"/>
      <c r="F87" s="1160" t="s">
        <v>559</v>
      </c>
      <c r="G87" s="1200"/>
      <c r="H87" s="419"/>
      <c r="I87" s="1201"/>
      <c r="J87" s="157"/>
      <c r="K87" s="158"/>
      <c r="L87" s="1162"/>
    </row>
    <row r="88" spans="1:14" ht="24">
      <c r="A88" s="1163"/>
      <c r="B88" s="2093" t="s">
        <v>564</v>
      </c>
      <c r="C88" s="2094"/>
      <c r="D88" s="2095"/>
      <c r="E88" s="1209"/>
      <c r="F88" s="1160" t="s">
        <v>559</v>
      </c>
      <c r="G88" s="1200"/>
      <c r="H88" s="419"/>
      <c r="I88" s="1201"/>
      <c r="J88" s="157"/>
      <c r="K88" s="158"/>
      <c r="L88" s="1162"/>
    </row>
    <row r="89" spans="1:14" ht="24">
      <c r="A89" s="1163"/>
      <c r="B89" s="2093" t="s">
        <v>565</v>
      </c>
      <c r="C89" s="2094"/>
      <c r="D89" s="2095"/>
      <c r="E89" s="1209"/>
      <c r="F89" s="1160" t="s">
        <v>559</v>
      </c>
      <c r="G89" s="1200"/>
      <c r="H89" s="419"/>
      <c r="I89" s="1201"/>
      <c r="J89" s="157"/>
      <c r="K89" s="158"/>
      <c r="L89" s="1162"/>
    </row>
    <row r="90" spans="1:14" ht="24">
      <c r="A90" s="1163"/>
      <c r="B90" s="2093" t="s">
        <v>566</v>
      </c>
      <c r="C90" s="2094"/>
      <c r="D90" s="2095"/>
      <c r="E90" s="1209"/>
      <c r="F90" s="1160" t="s">
        <v>559</v>
      </c>
      <c r="G90" s="1200"/>
      <c r="H90" s="419"/>
      <c r="I90" s="1201"/>
      <c r="J90" s="157"/>
      <c r="K90" s="158"/>
      <c r="L90" s="1162"/>
    </row>
    <row r="91" spans="1:14" ht="24">
      <c r="A91" s="1163"/>
      <c r="B91" s="2093" t="s">
        <v>567</v>
      </c>
      <c r="C91" s="2094"/>
      <c r="D91" s="2095"/>
      <c r="E91" s="1209"/>
      <c r="F91" s="1160" t="s">
        <v>559</v>
      </c>
      <c r="G91" s="1200"/>
      <c r="H91" s="419"/>
      <c r="I91" s="1201"/>
      <c r="J91" s="157"/>
      <c r="K91" s="158"/>
      <c r="L91" s="1162"/>
      <c r="N91" s="367">
        <f>SUM(E86:E91)</f>
        <v>0</v>
      </c>
    </row>
    <row r="92" spans="1:14" ht="24">
      <c r="A92" s="1163" t="s">
        <v>595</v>
      </c>
      <c r="B92" s="2093" t="s">
        <v>569</v>
      </c>
      <c r="C92" s="2094"/>
      <c r="D92" s="2095"/>
      <c r="E92" s="1209"/>
      <c r="F92" s="1160" t="s">
        <v>559</v>
      </c>
      <c r="G92" s="1199"/>
      <c r="H92" s="161"/>
      <c r="I92" s="1199"/>
      <c r="J92" s="157"/>
      <c r="K92" s="158"/>
      <c r="L92" s="1162"/>
    </row>
    <row r="93" spans="1:14" ht="24">
      <c r="A93" s="1202" t="s">
        <v>596</v>
      </c>
      <c r="B93" s="1238" t="s">
        <v>637</v>
      </c>
      <c r="C93" s="1239"/>
      <c r="D93" s="1240"/>
      <c r="E93" s="1203"/>
      <c r="F93" s="1204" t="s">
        <v>559</v>
      </c>
      <c r="G93" s="1228"/>
      <c r="H93" s="533"/>
      <c r="I93" s="1228"/>
      <c r="J93" s="533"/>
      <c r="K93" s="534"/>
      <c r="L93" s="1207"/>
    </row>
    <row r="94" spans="1:14" ht="24">
      <c r="A94" s="1163" t="s">
        <v>598</v>
      </c>
      <c r="B94" s="1230" t="s">
        <v>2011</v>
      </c>
      <c r="C94" s="1241"/>
      <c r="D94" s="1242"/>
      <c r="E94" s="1209"/>
      <c r="F94" s="1167" t="s">
        <v>559</v>
      </c>
      <c r="G94" s="1199"/>
      <c r="H94" s="157"/>
      <c r="I94" s="1199"/>
      <c r="J94" s="157"/>
      <c r="K94" s="158"/>
      <c r="L94" s="1169"/>
    </row>
    <row r="95" spans="1:14" ht="24">
      <c r="A95" s="1163" t="s">
        <v>600</v>
      </c>
      <c r="B95" s="2093" t="s">
        <v>601</v>
      </c>
      <c r="C95" s="2094"/>
      <c r="D95" s="2095"/>
      <c r="E95" s="1209"/>
      <c r="F95" s="1160" t="s">
        <v>183</v>
      </c>
      <c r="G95" s="1196"/>
      <c r="H95" s="157"/>
      <c r="I95" s="1196"/>
      <c r="J95" s="157"/>
      <c r="K95" s="158"/>
      <c r="L95" s="1162"/>
    </row>
    <row r="96" spans="1:14" ht="24">
      <c r="A96" s="1163" t="s">
        <v>602</v>
      </c>
      <c r="B96" s="2093" t="s">
        <v>603</v>
      </c>
      <c r="C96" s="2094"/>
      <c r="D96" s="2095"/>
      <c r="E96" s="1209"/>
      <c r="F96" s="1160" t="s">
        <v>183</v>
      </c>
      <c r="G96" s="1196"/>
      <c r="H96" s="157"/>
      <c r="I96" s="1196"/>
      <c r="J96" s="157"/>
      <c r="K96" s="158"/>
      <c r="L96" s="1162"/>
    </row>
    <row r="97" spans="1:14" ht="24">
      <c r="A97" s="1175"/>
      <c r="B97" s="1176"/>
      <c r="C97" s="1177"/>
      <c r="D97" s="1178"/>
      <c r="E97" s="1212"/>
      <c r="F97" s="1179"/>
      <c r="G97" s="1213"/>
      <c r="H97" s="1108"/>
      <c r="I97" s="1213"/>
      <c r="J97" s="1108"/>
      <c r="K97" s="1107"/>
      <c r="L97" s="1181"/>
    </row>
    <row r="98" spans="1:14" ht="24">
      <c r="A98" s="1182"/>
      <c r="B98" s="2173" t="s">
        <v>604</v>
      </c>
      <c r="C98" s="2174"/>
      <c r="D98" s="2175"/>
      <c r="E98" s="1214"/>
      <c r="F98" s="1184"/>
      <c r="G98" s="1215"/>
      <c r="H98" s="1186">
        <f>SUM(H80:H96)</f>
        <v>0</v>
      </c>
      <c r="I98" s="1215"/>
      <c r="J98" s="1186">
        <f>SUM(J80:J96)</f>
        <v>0</v>
      </c>
      <c r="K98" s="1187">
        <f>SUM(K80:K96)</f>
        <v>0</v>
      </c>
      <c r="L98" s="1188"/>
    </row>
    <row r="99" spans="1:14" ht="24">
      <c r="A99" s="1243">
        <v>1.4</v>
      </c>
      <c r="B99" s="2096" t="s">
        <v>531</v>
      </c>
      <c r="C99" s="2097"/>
      <c r="D99" s="2098"/>
      <c r="E99" s="1244"/>
      <c r="F99" s="1245"/>
      <c r="G99" s="1246"/>
      <c r="H99" s="1247"/>
      <c r="I99" s="1246"/>
      <c r="J99" s="1247"/>
      <c r="K99" s="1248"/>
      <c r="L99" s="1249"/>
    </row>
    <row r="100" spans="1:14" ht="24">
      <c r="A100" s="1163" t="s">
        <v>606</v>
      </c>
      <c r="B100" s="2093" t="s">
        <v>589</v>
      </c>
      <c r="C100" s="2094"/>
      <c r="D100" s="2095"/>
      <c r="E100" s="1209"/>
      <c r="F100" s="1167" t="s">
        <v>183</v>
      </c>
      <c r="G100" s="1199"/>
      <c r="H100" s="157"/>
      <c r="I100" s="1199"/>
      <c r="J100" s="157"/>
      <c r="K100" s="158"/>
      <c r="L100" s="1169"/>
    </row>
    <row r="101" spans="1:14" ht="24">
      <c r="A101" s="1163"/>
      <c r="B101" s="2093" t="s">
        <v>590</v>
      </c>
      <c r="C101" s="2094"/>
      <c r="D101" s="2095"/>
      <c r="E101" s="1209"/>
      <c r="F101" s="1167"/>
      <c r="G101" s="1199"/>
      <c r="H101" s="157"/>
      <c r="I101" s="1199"/>
      <c r="J101" s="157"/>
      <c r="K101" s="158"/>
      <c r="L101" s="1169"/>
    </row>
    <row r="102" spans="1:14" ht="24">
      <c r="A102" s="1163" t="s">
        <v>607</v>
      </c>
      <c r="B102" s="2093" t="s">
        <v>554</v>
      </c>
      <c r="C102" s="2094"/>
      <c r="D102" s="2095"/>
      <c r="E102" s="1209"/>
      <c r="F102" s="1167" t="s">
        <v>546</v>
      </c>
      <c r="G102" s="1199"/>
      <c r="H102" s="157"/>
      <c r="I102" s="1199"/>
      <c r="J102" s="157"/>
      <c r="K102" s="158"/>
      <c r="L102" s="1169"/>
    </row>
    <row r="103" spans="1:14" ht="24">
      <c r="A103" s="1163" t="s">
        <v>608</v>
      </c>
      <c r="B103" s="2093" t="s">
        <v>556</v>
      </c>
      <c r="C103" s="2094"/>
      <c r="D103" s="2095"/>
      <c r="E103" s="1209"/>
      <c r="F103" s="1160" t="s">
        <v>183</v>
      </c>
      <c r="G103" s="1199"/>
      <c r="H103" s="157"/>
      <c r="I103" s="1199"/>
      <c r="J103" s="157"/>
      <c r="K103" s="158"/>
      <c r="L103" s="1162"/>
    </row>
    <row r="104" spans="1:14" ht="24">
      <c r="A104" s="1163" t="s">
        <v>609</v>
      </c>
      <c r="B104" s="2093" t="s">
        <v>558</v>
      </c>
      <c r="C104" s="2094"/>
      <c r="D104" s="2095"/>
      <c r="E104" s="1209"/>
      <c r="F104" s="1160" t="s">
        <v>559</v>
      </c>
      <c r="G104" s="1199"/>
      <c r="H104" s="157"/>
      <c r="I104" s="1199"/>
      <c r="J104" s="157"/>
      <c r="K104" s="158"/>
      <c r="L104" s="1162"/>
    </row>
    <row r="105" spans="1:14" ht="24">
      <c r="A105" s="1163" t="s">
        <v>610</v>
      </c>
      <c r="B105" s="2093" t="s">
        <v>561</v>
      </c>
      <c r="C105" s="2094"/>
      <c r="D105" s="2095"/>
      <c r="E105" s="1209"/>
      <c r="F105" s="1160"/>
      <c r="G105" s="1199"/>
      <c r="H105" s="157"/>
      <c r="I105" s="1199"/>
      <c r="J105" s="157"/>
      <c r="K105" s="158"/>
      <c r="L105" s="1162"/>
    </row>
    <row r="106" spans="1:14" ht="24">
      <c r="A106" s="1163"/>
      <c r="B106" s="2093" t="s">
        <v>562</v>
      </c>
      <c r="C106" s="2094"/>
      <c r="D106" s="2095"/>
      <c r="E106" s="1209"/>
      <c r="F106" s="1160" t="s">
        <v>559</v>
      </c>
      <c r="G106" s="1200"/>
      <c r="H106" s="419"/>
      <c r="I106" s="1201"/>
      <c r="J106" s="157"/>
      <c r="K106" s="158"/>
      <c r="L106" s="1162"/>
    </row>
    <row r="107" spans="1:14" ht="24">
      <c r="A107" s="1163"/>
      <c r="B107" s="2093" t="s">
        <v>563</v>
      </c>
      <c r="C107" s="2094"/>
      <c r="D107" s="2095"/>
      <c r="E107" s="1209"/>
      <c r="F107" s="1160" t="s">
        <v>559</v>
      </c>
      <c r="G107" s="1200"/>
      <c r="H107" s="419"/>
      <c r="I107" s="1201"/>
      <c r="J107" s="157"/>
      <c r="K107" s="158"/>
      <c r="L107" s="1162"/>
    </row>
    <row r="108" spans="1:14" ht="24">
      <c r="A108" s="1163"/>
      <c r="B108" s="2093" t="s">
        <v>564</v>
      </c>
      <c r="C108" s="2094"/>
      <c r="D108" s="2095"/>
      <c r="E108" s="1209"/>
      <c r="F108" s="1160" t="s">
        <v>559</v>
      </c>
      <c r="G108" s="1200"/>
      <c r="H108" s="419"/>
      <c r="I108" s="1201"/>
      <c r="J108" s="157"/>
      <c r="K108" s="158"/>
      <c r="L108" s="1162"/>
    </row>
    <row r="109" spans="1:14" ht="24">
      <c r="A109" s="1163"/>
      <c r="B109" s="2093" t="s">
        <v>565</v>
      </c>
      <c r="C109" s="2094"/>
      <c r="D109" s="2095"/>
      <c r="E109" s="1209"/>
      <c r="F109" s="1160" t="s">
        <v>559</v>
      </c>
      <c r="G109" s="1200"/>
      <c r="H109" s="419"/>
      <c r="I109" s="1201"/>
      <c r="J109" s="157"/>
      <c r="K109" s="158"/>
      <c r="L109" s="1162"/>
    </row>
    <row r="110" spans="1:14" ht="24">
      <c r="A110" s="1163"/>
      <c r="B110" s="2093" t="s">
        <v>566</v>
      </c>
      <c r="C110" s="2094"/>
      <c r="D110" s="2095"/>
      <c r="E110" s="1209"/>
      <c r="F110" s="1160" t="s">
        <v>559</v>
      </c>
      <c r="G110" s="1200"/>
      <c r="H110" s="419"/>
      <c r="I110" s="1201"/>
      <c r="J110" s="157"/>
      <c r="K110" s="158"/>
      <c r="L110" s="1162"/>
    </row>
    <row r="111" spans="1:14" ht="24">
      <c r="A111" s="1163"/>
      <c r="B111" s="2093" t="s">
        <v>567</v>
      </c>
      <c r="C111" s="2094"/>
      <c r="D111" s="2095"/>
      <c r="E111" s="1209"/>
      <c r="F111" s="1160" t="s">
        <v>559</v>
      </c>
      <c r="G111" s="1200"/>
      <c r="H111" s="419"/>
      <c r="I111" s="1201"/>
      <c r="J111" s="157"/>
      <c r="K111" s="158"/>
      <c r="L111" s="1162"/>
      <c r="N111" s="367">
        <f>SUM(E106:E111)</f>
        <v>0</v>
      </c>
    </row>
    <row r="112" spans="1:14" ht="24">
      <c r="A112" s="1163" t="s">
        <v>611</v>
      </c>
      <c r="B112" s="2093" t="s">
        <v>569</v>
      </c>
      <c r="C112" s="2094"/>
      <c r="D112" s="2095"/>
      <c r="E112" s="1209"/>
      <c r="F112" s="1160" t="s">
        <v>559</v>
      </c>
      <c r="G112" s="1199"/>
      <c r="H112" s="161"/>
      <c r="I112" s="1199"/>
      <c r="J112" s="157"/>
      <c r="K112" s="158"/>
      <c r="L112" s="1162"/>
    </row>
    <row r="113" spans="1:12" ht="24">
      <c r="A113" s="1163" t="s">
        <v>612</v>
      </c>
      <c r="B113" s="2093" t="s">
        <v>597</v>
      </c>
      <c r="C113" s="2094"/>
      <c r="D113" s="2095"/>
      <c r="E113" s="1209"/>
      <c r="F113" s="1160" t="s">
        <v>559</v>
      </c>
      <c r="G113" s="1196"/>
      <c r="H113" s="157"/>
      <c r="I113" s="1196"/>
      <c r="J113" s="157"/>
      <c r="K113" s="158"/>
      <c r="L113" s="1162"/>
    </row>
    <row r="114" spans="1:12" ht="24">
      <c r="A114" s="1202" t="s">
        <v>613</v>
      </c>
      <c r="B114" s="1239" t="s">
        <v>599</v>
      </c>
      <c r="C114" s="1250"/>
      <c r="D114" s="1251"/>
      <c r="E114" s="1203"/>
      <c r="F114" s="1204" t="s">
        <v>559</v>
      </c>
      <c r="G114" s="1228"/>
      <c r="H114" s="533"/>
      <c r="I114" s="1228"/>
      <c r="J114" s="533"/>
      <c r="K114" s="534"/>
      <c r="L114" s="1207"/>
    </row>
    <row r="115" spans="1:12" ht="24">
      <c r="A115" s="1163" t="s">
        <v>614</v>
      </c>
      <c r="B115" s="2104" t="s">
        <v>601</v>
      </c>
      <c r="C115" s="2185"/>
      <c r="D115" s="2186"/>
      <c r="E115" s="1209"/>
      <c r="F115" s="1167" t="s">
        <v>183</v>
      </c>
      <c r="G115" s="1199"/>
      <c r="H115" s="157"/>
      <c r="I115" s="1199"/>
      <c r="J115" s="157"/>
      <c r="K115" s="158"/>
      <c r="L115" s="1169"/>
    </row>
    <row r="116" spans="1:12" ht="24">
      <c r="A116" s="1163" t="s">
        <v>2012</v>
      </c>
      <c r="B116" s="2093" t="s">
        <v>603</v>
      </c>
      <c r="C116" s="2094"/>
      <c r="D116" s="2095"/>
      <c r="E116" s="1209"/>
      <c r="F116" s="1160" t="s">
        <v>183</v>
      </c>
      <c r="G116" s="1196"/>
      <c r="H116" s="157"/>
      <c r="I116" s="1196"/>
      <c r="J116" s="157"/>
      <c r="K116" s="158"/>
      <c r="L116" s="1162"/>
    </row>
    <row r="117" spans="1:12" ht="24">
      <c r="A117" s="1175"/>
      <c r="B117" s="1176"/>
      <c r="C117" s="1177"/>
      <c r="D117" s="1178"/>
      <c r="E117" s="1212"/>
      <c r="F117" s="1179"/>
      <c r="G117" s="1213"/>
      <c r="H117" s="1108"/>
      <c r="I117" s="1213"/>
      <c r="J117" s="1108"/>
      <c r="K117" s="1107"/>
      <c r="L117" s="1181"/>
    </row>
    <row r="118" spans="1:12" ht="24">
      <c r="A118" s="1182"/>
      <c r="B118" s="2173" t="s">
        <v>615</v>
      </c>
      <c r="C118" s="2174"/>
      <c r="D118" s="2175"/>
      <c r="E118" s="1214"/>
      <c r="F118" s="1184"/>
      <c r="G118" s="1215"/>
      <c r="H118" s="1186">
        <f>SUM(H100:H116)</f>
        <v>0</v>
      </c>
      <c r="I118" s="1215"/>
      <c r="J118" s="1186">
        <f>SUM(J100:J116)</f>
        <v>0</v>
      </c>
      <c r="K118" s="1187">
        <f>SUM(K100:K116)</f>
        <v>0</v>
      </c>
      <c r="L118" s="1188"/>
    </row>
    <row r="119" spans="1:12" ht="24">
      <c r="A119" s="1216">
        <v>1.5</v>
      </c>
      <c r="B119" s="2087" t="s">
        <v>535</v>
      </c>
      <c r="C119" s="2088"/>
      <c r="D119" s="2089"/>
      <c r="E119" s="1217"/>
      <c r="F119" s="1218"/>
      <c r="G119" s="1219"/>
      <c r="H119" s="1220"/>
      <c r="I119" s="1219"/>
      <c r="J119" s="1220"/>
      <c r="K119" s="1221"/>
      <c r="L119" s="1222"/>
    </row>
    <row r="120" spans="1:12" ht="24">
      <c r="A120" s="1163" t="s">
        <v>617</v>
      </c>
      <c r="B120" s="478" t="s">
        <v>625</v>
      </c>
      <c r="C120" s="1252"/>
      <c r="D120" s="1253"/>
      <c r="E120" s="1209"/>
      <c r="F120" s="1160" t="s">
        <v>559</v>
      </c>
      <c r="G120" s="1196"/>
      <c r="H120" s="157"/>
      <c r="I120" s="1196"/>
      <c r="J120" s="157"/>
      <c r="K120" s="158"/>
      <c r="L120" s="1162"/>
    </row>
    <row r="121" spans="1:12" ht="24">
      <c r="A121" s="1163" t="s">
        <v>618</v>
      </c>
      <c r="B121" s="478" t="s">
        <v>2013</v>
      </c>
      <c r="C121" s="1252"/>
      <c r="D121" s="1253"/>
      <c r="E121" s="1209"/>
      <c r="F121" s="1160" t="s">
        <v>559</v>
      </c>
      <c r="G121" s="1196"/>
      <c r="H121" s="157"/>
      <c r="I121" s="1196"/>
      <c r="J121" s="157"/>
      <c r="K121" s="158"/>
      <c r="L121" s="1162"/>
    </row>
    <row r="122" spans="1:12" ht="24">
      <c r="A122" s="1163" t="s">
        <v>619</v>
      </c>
      <c r="B122" s="478" t="s">
        <v>2011</v>
      </c>
      <c r="C122" s="1252"/>
      <c r="D122" s="1253"/>
      <c r="E122" s="1209"/>
      <c r="F122" s="1160" t="s">
        <v>559</v>
      </c>
      <c r="G122" s="1196"/>
      <c r="H122" s="157"/>
      <c r="I122" s="1196"/>
      <c r="J122" s="157"/>
      <c r="K122" s="158"/>
      <c r="L122" s="1162"/>
    </row>
    <row r="123" spans="1:12" ht="24">
      <c r="A123" s="1163" t="s">
        <v>620</v>
      </c>
      <c r="B123" s="2093" t="s">
        <v>601</v>
      </c>
      <c r="C123" s="2094"/>
      <c r="D123" s="2095"/>
      <c r="E123" s="1209"/>
      <c r="F123" s="1160" t="s">
        <v>183</v>
      </c>
      <c r="G123" s="1199"/>
      <c r="H123" s="157"/>
      <c r="I123" s="1199"/>
      <c r="J123" s="157"/>
      <c r="K123" s="158"/>
      <c r="L123" s="1162"/>
    </row>
    <row r="124" spans="1:12" ht="24">
      <c r="A124" s="1163" t="s">
        <v>621</v>
      </c>
      <c r="B124" s="2093" t="s">
        <v>603</v>
      </c>
      <c r="C124" s="2094"/>
      <c r="D124" s="2095"/>
      <c r="E124" s="1209"/>
      <c r="F124" s="1160" t="s">
        <v>183</v>
      </c>
      <c r="G124" s="1196"/>
      <c r="H124" s="157"/>
      <c r="I124" s="1196"/>
      <c r="J124" s="157"/>
      <c r="K124" s="158"/>
      <c r="L124" s="1162"/>
    </row>
    <row r="125" spans="1:12" ht="24">
      <c r="A125" s="1175"/>
      <c r="B125" s="1254"/>
      <c r="C125" s="1254"/>
      <c r="D125" s="1255"/>
      <c r="E125" s="1212"/>
      <c r="F125" s="1179"/>
      <c r="G125" s="1213"/>
      <c r="H125" s="1108"/>
      <c r="I125" s="1213"/>
      <c r="J125" s="1108"/>
      <c r="K125" s="1107"/>
      <c r="L125" s="1181"/>
    </row>
    <row r="126" spans="1:12" ht="24">
      <c r="A126" s="1175"/>
      <c r="B126" s="1254"/>
      <c r="C126" s="1254"/>
      <c r="D126" s="1255"/>
      <c r="E126" s="1212"/>
      <c r="F126" s="1179"/>
      <c r="G126" s="1213"/>
      <c r="H126" s="1108"/>
      <c r="I126" s="1213"/>
      <c r="J126" s="1108"/>
      <c r="K126" s="1107"/>
      <c r="L126" s="1181"/>
    </row>
    <row r="127" spans="1:12" ht="24">
      <c r="A127" s="1175"/>
      <c r="B127" s="1254"/>
      <c r="C127" s="1254"/>
      <c r="D127" s="1255"/>
      <c r="E127" s="1212"/>
      <c r="F127" s="1179"/>
      <c r="G127" s="1213"/>
      <c r="H127" s="1108"/>
      <c r="I127" s="1213"/>
      <c r="J127" s="1108"/>
      <c r="K127" s="1107"/>
      <c r="L127" s="1181"/>
    </row>
    <row r="128" spans="1:12" ht="24">
      <c r="A128" s="1175"/>
      <c r="B128" s="1176"/>
      <c r="C128" s="1177"/>
      <c r="D128" s="1178"/>
      <c r="E128" s="1212"/>
      <c r="F128" s="1179"/>
      <c r="G128" s="1213"/>
      <c r="H128" s="1108"/>
      <c r="I128" s="1213"/>
      <c r="J128" s="1108"/>
      <c r="K128" s="1107"/>
      <c r="L128" s="1181"/>
    </row>
    <row r="129" spans="1:14" ht="24">
      <c r="A129" s="1182"/>
      <c r="B129" s="2173" t="s">
        <v>628</v>
      </c>
      <c r="C129" s="2174"/>
      <c r="D129" s="2175"/>
      <c r="E129" s="1214"/>
      <c r="F129" s="1184"/>
      <c r="G129" s="1215"/>
      <c r="H129" s="1186">
        <f>SUM(H120:H128)</f>
        <v>0</v>
      </c>
      <c r="I129" s="1215"/>
      <c r="J129" s="1186">
        <f>SUM(J120:J128)</f>
        <v>0</v>
      </c>
      <c r="K129" s="1187">
        <f>SUM(K120:K128)</f>
        <v>0</v>
      </c>
      <c r="L129" s="1188"/>
    </row>
    <row r="130" spans="1:14" ht="24">
      <c r="A130" s="1216">
        <v>1.6</v>
      </c>
      <c r="B130" s="2087" t="s">
        <v>2001</v>
      </c>
      <c r="C130" s="2088"/>
      <c r="D130" s="2089"/>
      <c r="E130" s="1217"/>
      <c r="F130" s="1218"/>
      <c r="G130" s="1219"/>
      <c r="H130" s="1220"/>
      <c r="I130" s="1219"/>
      <c r="J130" s="1220"/>
      <c r="K130" s="1221"/>
      <c r="L130" s="1222"/>
    </row>
    <row r="131" spans="1:14" ht="24">
      <c r="A131" s="1256" t="s">
        <v>629</v>
      </c>
      <c r="B131" s="2104" t="s">
        <v>550</v>
      </c>
      <c r="C131" s="2105"/>
      <c r="D131" s="2106"/>
      <c r="E131" s="1195"/>
      <c r="F131" s="469" t="s">
        <v>546</v>
      </c>
      <c r="G131" s="1196"/>
      <c r="H131" s="1220"/>
      <c r="I131" s="1219"/>
      <c r="J131" s="1220"/>
      <c r="K131" s="1221"/>
      <c r="L131" s="1222"/>
    </row>
    <row r="132" spans="1:14" ht="24">
      <c r="A132" s="1256" t="s">
        <v>630</v>
      </c>
      <c r="B132" s="2104" t="s">
        <v>552</v>
      </c>
      <c r="C132" s="2105"/>
      <c r="D132" s="2106"/>
      <c r="E132" s="1195"/>
      <c r="F132" s="469" t="s">
        <v>546</v>
      </c>
      <c r="G132" s="1219"/>
      <c r="H132" s="1220"/>
      <c r="I132" s="1219"/>
      <c r="J132" s="1220"/>
      <c r="K132" s="1221"/>
      <c r="L132" s="1222"/>
    </row>
    <row r="133" spans="1:14" ht="24">
      <c r="A133" s="1256" t="s">
        <v>631</v>
      </c>
      <c r="B133" s="2093" t="s">
        <v>647</v>
      </c>
      <c r="C133" s="2094"/>
      <c r="D133" s="2095"/>
      <c r="E133" s="1195"/>
      <c r="F133" s="1167" t="s">
        <v>546</v>
      </c>
      <c r="G133" s="1199"/>
      <c r="H133" s="157"/>
      <c r="I133" s="1199"/>
      <c r="J133" s="1220"/>
      <c r="K133" s="1221"/>
      <c r="L133" s="1169"/>
    </row>
    <row r="134" spans="1:14" ht="24">
      <c r="A134" s="1256" t="s">
        <v>632</v>
      </c>
      <c r="B134" s="2093" t="s">
        <v>556</v>
      </c>
      <c r="C134" s="2094"/>
      <c r="D134" s="2095"/>
      <c r="E134" s="1195"/>
      <c r="F134" s="1160" t="s">
        <v>183</v>
      </c>
      <c r="G134" s="1199"/>
      <c r="H134" s="157"/>
      <c r="I134" s="1199"/>
      <c r="J134" s="1220"/>
      <c r="K134" s="1221"/>
      <c r="L134" s="1162"/>
    </row>
    <row r="135" spans="1:14" ht="24">
      <c r="A135" s="1257" t="s">
        <v>633</v>
      </c>
      <c r="B135" s="2182" t="s">
        <v>558</v>
      </c>
      <c r="C135" s="2183"/>
      <c r="D135" s="2184"/>
      <c r="E135" s="1203"/>
      <c r="F135" s="1204" t="s">
        <v>559</v>
      </c>
      <c r="G135" s="1258"/>
      <c r="H135" s="533"/>
      <c r="I135" s="1228"/>
      <c r="J135" s="1259"/>
      <c r="K135" s="1260"/>
      <c r="L135" s="1207"/>
    </row>
    <row r="136" spans="1:14" ht="24">
      <c r="A136" s="1256" t="s">
        <v>634</v>
      </c>
      <c r="B136" s="2104" t="s">
        <v>561</v>
      </c>
      <c r="C136" s="2185"/>
      <c r="D136" s="2186"/>
      <c r="E136" s="1209"/>
      <c r="F136" s="1167"/>
      <c r="G136" s="1199"/>
      <c r="H136" s="157"/>
      <c r="I136" s="1199"/>
      <c r="J136" s="1220"/>
      <c r="K136" s="1221"/>
      <c r="L136" s="1169"/>
    </row>
    <row r="137" spans="1:14" ht="24">
      <c r="A137" s="1163"/>
      <c r="B137" s="2093" t="s">
        <v>562</v>
      </c>
      <c r="C137" s="2094"/>
      <c r="D137" s="2095"/>
      <c r="E137" s="1195"/>
      <c r="F137" s="1160" t="s">
        <v>559</v>
      </c>
      <c r="G137" s="1200"/>
      <c r="H137" s="419"/>
      <c r="I137" s="1201"/>
      <c r="J137" s="1220"/>
      <c r="K137" s="1221"/>
      <c r="L137" s="1162"/>
    </row>
    <row r="138" spans="1:14" ht="24">
      <c r="A138" s="1163"/>
      <c r="B138" s="2093" t="s">
        <v>563</v>
      </c>
      <c r="C138" s="2094"/>
      <c r="D138" s="2095"/>
      <c r="E138" s="1195"/>
      <c r="F138" s="1160" t="s">
        <v>559</v>
      </c>
      <c r="G138" s="1200"/>
      <c r="H138" s="419"/>
      <c r="I138" s="1201"/>
      <c r="J138" s="1220"/>
      <c r="K138" s="1221"/>
      <c r="L138" s="1162"/>
    </row>
    <row r="139" spans="1:14" ht="24">
      <c r="A139" s="1163"/>
      <c r="B139" s="2093" t="s">
        <v>564</v>
      </c>
      <c r="C139" s="2094"/>
      <c r="D139" s="2095"/>
      <c r="E139" s="1195"/>
      <c r="F139" s="1160" t="s">
        <v>559</v>
      </c>
      <c r="G139" s="1200"/>
      <c r="H139" s="419"/>
      <c r="I139" s="1201"/>
      <c r="J139" s="1220"/>
      <c r="K139" s="1221"/>
      <c r="L139" s="1162"/>
    </row>
    <row r="140" spans="1:14" ht="24">
      <c r="A140" s="1163"/>
      <c r="B140" s="2093" t="s">
        <v>565</v>
      </c>
      <c r="C140" s="2094"/>
      <c r="D140" s="2095"/>
      <c r="E140" s="1195"/>
      <c r="F140" s="1160" t="s">
        <v>559</v>
      </c>
      <c r="G140" s="1200"/>
      <c r="H140" s="419"/>
      <c r="I140" s="1201"/>
      <c r="J140" s="1220"/>
      <c r="K140" s="1221"/>
      <c r="L140" s="1162"/>
    </row>
    <row r="141" spans="1:14" ht="24">
      <c r="A141" s="1163"/>
      <c r="B141" s="2093" t="s">
        <v>566</v>
      </c>
      <c r="C141" s="2094"/>
      <c r="D141" s="2095"/>
      <c r="E141" s="1195"/>
      <c r="F141" s="1160" t="s">
        <v>559</v>
      </c>
      <c r="G141" s="1200"/>
      <c r="H141" s="419"/>
      <c r="I141" s="1201"/>
      <c r="J141" s="1220"/>
      <c r="K141" s="1221"/>
      <c r="L141" s="1162"/>
    </row>
    <row r="142" spans="1:14" ht="24">
      <c r="A142" s="1163"/>
      <c r="B142" s="2093" t="s">
        <v>567</v>
      </c>
      <c r="C142" s="2094"/>
      <c r="D142" s="2095"/>
      <c r="E142" s="1195"/>
      <c r="F142" s="1160" t="s">
        <v>559</v>
      </c>
      <c r="G142" s="1200"/>
      <c r="H142" s="419"/>
      <c r="I142" s="1201"/>
      <c r="J142" s="1220"/>
      <c r="K142" s="1221"/>
      <c r="L142" s="1162"/>
      <c r="N142" s="367">
        <f>SUM(E137:E142)</f>
        <v>0</v>
      </c>
    </row>
    <row r="143" spans="1:14" ht="24">
      <c r="A143" s="1225" t="s">
        <v>636</v>
      </c>
      <c r="B143" s="2093" t="s">
        <v>569</v>
      </c>
      <c r="C143" s="2094"/>
      <c r="D143" s="2095"/>
      <c r="E143" s="1195"/>
      <c r="F143" s="1160" t="s">
        <v>559</v>
      </c>
      <c r="G143" s="1199"/>
      <c r="H143" s="161"/>
      <c r="I143" s="1199"/>
      <c r="J143" s="1261"/>
      <c r="K143" s="1262"/>
      <c r="L143" s="1162"/>
    </row>
    <row r="144" spans="1:14" ht="24">
      <c r="A144" s="1225" t="s">
        <v>638</v>
      </c>
      <c r="B144" s="2093" t="s">
        <v>655</v>
      </c>
      <c r="C144" s="2094"/>
      <c r="D144" s="2095"/>
      <c r="E144" s="1195"/>
      <c r="F144" s="1160" t="s">
        <v>184</v>
      </c>
      <c r="G144" s="1196"/>
      <c r="H144" s="1261"/>
      <c r="I144" s="1196"/>
      <c r="J144" s="1261"/>
      <c r="K144" s="1262"/>
      <c r="L144" s="1162"/>
    </row>
    <row r="145" spans="1:14" ht="24">
      <c r="A145" s="1175"/>
      <c r="B145" s="1176"/>
      <c r="C145" s="1177"/>
      <c r="D145" s="1178"/>
      <c r="E145" s="1212"/>
      <c r="F145" s="1179"/>
      <c r="G145" s="1213"/>
      <c r="H145" s="1108"/>
      <c r="I145" s="1213"/>
      <c r="J145" s="1108"/>
      <c r="K145" s="1107"/>
      <c r="L145" s="1181"/>
    </row>
    <row r="146" spans="1:14" ht="24">
      <c r="A146" s="1182"/>
      <c r="B146" s="2173" t="s">
        <v>641</v>
      </c>
      <c r="C146" s="2174"/>
      <c r="D146" s="2175"/>
      <c r="E146" s="1214"/>
      <c r="F146" s="1184"/>
      <c r="G146" s="1215"/>
      <c r="H146" s="1186"/>
      <c r="I146" s="1215"/>
      <c r="J146" s="1186"/>
      <c r="K146" s="1187"/>
      <c r="L146" s="1188"/>
    </row>
    <row r="147" spans="1:14" ht="24">
      <c r="A147" s="1216">
        <v>1.7</v>
      </c>
      <c r="B147" s="2087" t="s">
        <v>537</v>
      </c>
      <c r="C147" s="2088"/>
      <c r="D147" s="2089"/>
      <c r="E147" s="1217"/>
      <c r="F147" s="1218"/>
      <c r="G147" s="1219"/>
      <c r="H147" s="1220"/>
      <c r="I147" s="1219"/>
      <c r="J147" s="1220"/>
      <c r="K147" s="1221"/>
      <c r="L147" s="1222"/>
    </row>
    <row r="148" spans="1:14" ht="24">
      <c r="A148" s="1163" t="s">
        <v>642</v>
      </c>
      <c r="B148" s="2093" t="s">
        <v>554</v>
      </c>
      <c r="C148" s="2094"/>
      <c r="D148" s="2095"/>
      <c r="E148" s="1209"/>
      <c r="F148" s="1167" t="s">
        <v>546</v>
      </c>
      <c r="G148" s="1199"/>
      <c r="H148" s="157"/>
      <c r="I148" s="1199"/>
      <c r="J148" s="157"/>
      <c r="K148" s="158"/>
      <c r="L148" s="1169"/>
    </row>
    <row r="149" spans="1:14" ht="24">
      <c r="A149" s="1163" t="s">
        <v>643</v>
      </c>
      <c r="B149" s="2093" t="s">
        <v>556</v>
      </c>
      <c r="C149" s="2094"/>
      <c r="D149" s="2095"/>
      <c r="E149" s="1209"/>
      <c r="F149" s="1160" t="s">
        <v>183</v>
      </c>
      <c r="G149" s="1199"/>
      <c r="H149" s="157"/>
      <c r="I149" s="1199"/>
      <c r="J149" s="157"/>
      <c r="K149" s="158"/>
      <c r="L149" s="1162"/>
    </row>
    <row r="150" spans="1:14" ht="24">
      <c r="A150" s="1163" t="s">
        <v>644</v>
      </c>
      <c r="B150" s="2093" t="s">
        <v>558</v>
      </c>
      <c r="C150" s="2094"/>
      <c r="D150" s="2095"/>
      <c r="E150" s="1209"/>
      <c r="F150" s="1160" t="s">
        <v>559</v>
      </c>
      <c r="G150" s="1199"/>
      <c r="H150" s="157"/>
      <c r="I150" s="1199"/>
      <c r="J150" s="157"/>
      <c r="K150" s="158"/>
      <c r="L150" s="1162"/>
    </row>
    <row r="151" spans="1:14" ht="24">
      <c r="A151" s="1163" t="s">
        <v>2014</v>
      </c>
      <c r="B151" s="2093" t="s">
        <v>561</v>
      </c>
      <c r="C151" s="2094"/>
      <c r="D151" s="2095"/>
      <c r="E151" s="1209"/>
      <c r="F151" s="1160"/>
      <c r="G151" s="1199"/>
      <c r="H151" s="157"/>
      <c r="I151" s="1199"/>
      <c r="J151" s="157"/>
      <c r="K151" s="158"/>
      <c r="L151" s="1162"/>
    </row>
    <row r="152" spans="1:14" ht="24">
      <c r="A152" s="1163"/>
      <c r="B152" s="2093" t="s">
        <v>562</v>
      </c>
      <c r="C152" s="2094"/>
      <c r="D152" s="2095"/>
      <c r="E152" s="1209"/>
      <c r="F152" s="1160" t="s">
        <v>559</v>
      </c>
      <c r="G152" s="1200"/>
      <c r="H152" s="419"/>
      <c r="I152" s="1201"/>
      <c r="J152" s="157"/>
      <c r="K152" s="158"/>
      <c r="L152" s="1162"/>
    </row>
    <row r="153" spans="1:14" ht="24">
      <c r="A153" s="1163"/>
      <c r="B153" s="2093" t="s">
        <v>563</v>
      </c>
      <c r="C153" s="2094"/>
      <c r="D153" s="2095"/>
      <c r="E153" s="1209"/>
      <c r="F153" s="1160" t="s">
        <v>559</v>
      </c>
      <c r="G153" s="1200"/>
      <c r="H153" s="419"/>
      <c r="I153" s="1201"/>
      <c r="J153" s="157"/>
      <c r="K153" s="158"/>
      <c r="L153" s="1162"/>
    </row>
    <row r="154" spans="1:14" ht="24">
      <c r="A154" s="1163"/>
      <c r="B154" s="2093" t="s">
        <v>564</v>
      </c>
      <c r="C154" s="2094"/>
      <c r="D154" s="2095"/>
      <c r="E154" s="1209"/>
      <c r="F154" s="1160" t="s">
        <v>559</v>
      </c>
      <c r="G154" s="1200"/>
      <c r="H154" s="419"/>
      <c r="I154" s="1201"/>
      <c r="J154" s="157"/>
      <c r="K154" s="158"/>
      <c r="L154" s="1162"/>
    </row>
    <row r="155" spans="1:14" ht="24">
      <c r="A155" s="1163"/>
      <c r="B155" s="2093" t="s">
        <v>565</v>
      </c>
      <c r="C155" s="2094"/>
      <c r="D155" s="2095"/>
      <c r="E155" s="1209"/>
      <c r="F155" s="1160" t="s">
        <v>559</v>
      </c>
      <c r="G155" s="1200"/>
      <c r="H155" s="419"/>
      <c r="I155" s="1201"/>
      <c r="J155" s="157"/>
      <c r="K155" s="158"/>
      <c r="L155" s="1162"/>
    </row>
    <row r="156" spans="1:14" ht="24">
      <c r="A156" s="1202"/>
      <c r="B156" s="2182" t="s">
        <v>566</v>
      </c>
      <c r="C156" s="2183"/>
      <c r="D156" s="2184"/>
      <c r="E156" s="1203"/>
      <c r="F156" s="1204" t="s">
        <v>559</v>
      </c>
      <c r="G156" s="1200"/>
      <c r="H156" s="1205"/>
      <c r="I156" s="1206"/>
      <c r="J156" s="533"/>
      <c r="K156" s="534"/>
      <c r="L156" s="1207"/>
    </row>
    <row r="157" spans="1:14" ht="24">
      <c r="A157" s="1163"/>
      <c r="B157" s="2104" t="s">
        <v>567</v>
      </c>
      <c r="C157" s="2185"/>
      <c r="D157" s="2186"/>
      <c r="E157" s="1209"/>
      <c r="F157" s="1167" t="s">
        <v>559</v>
      </c>
      <c r="G157" s="1200"/>
      <c r="H157" s="412"/>
      <c r="I157" s="1201"/>
      <c r="J157" s="157"/>
      <c r="K157" s="158"/>
      <c r="L157" s="1169"/>
      <c r="N157" s="367">
        <f>SUM(E152:E157)</f>
        <v>0</v>
      </c>
    </row>
    <row r="158" spans="1:14" ht="24">
      <c r="A158" s="1225" t="s">
        <v>2015</v>
      </c>
      <c r="B158" s="2093" t="s">
        <v>569</v>
      </c>
      <c r="C158" s="2094"/>
      <c r="D158" s="2095"/>
      <c r="E158" s="1195"/>
      <c r="F158" s="1160" t="s">
        <v>559</v>
      </c>
      <c r="G158" s="1199"/>
      <c r="H158" s="161"/>
      <c r="I158" s="1199"/>
      <c r="J158" s="161"/>
      <c r="K158" s="159"/>
      <c r="L158" s="1162"/>
    </row>
    <row r="159" spans="1:14" ht="24">
      <c r="A159" s="1163" t="s">
        <v>2016</v>
      </c>
      <c r="B159" s="478" t="s">
        <v>667</v>
      </c>
      <c r="C159" s="479"/>
      <c r="D159" s="480"/>
      <c r="E159" s="1209"/>
      <c r="F159" s="1160" t="s">
        <v>559</v>
      </c>
      <c r="G159" s="1196"/>
      <c r="H159" s="157"/>
      <c r="I159" s="1196"/>
      <c r="J159" s="157"/>
      <c r="K159" s="158"/>
      <c r="L159" s="1162"/>
    </row>
    <row r="160" spans="1:14" ht="24">
      <c r="A160" s="1163" t="s">
        <v>2017</v>
      </c>
      <c r="B160" s="478" t="s">
        <v>673</v>
      </c>
      <c r="C160" s="479"/>
      <c r="D160" s="480"/>
      <c r="E160" s="1209"/>
      <c r="F160" s="1160" t="s">
        <v>559</v>
      </c>
      <c r="G160" s="1196"/>
      <c r="H160" s="157"/>
      <c r="I160" s="1196"/>
      <c r="J160" s="157"/>
      <c r="K160" s="158"/>
      <c r="L160" s="1162"/>
    </row>
    <row r="161" spans="1:12" ht="24">
      <c r="A161" s="1163" t="s">
        <v>2018</v>
      </c>
      <c r="B161" s="478" t="s">
        <v>2019</v>
      </c>
      <c r="C161" s="479"/>
      <c r="D161" s="480"/>
      <c r="E161" s="1209"/>
      <c r="F161" s="1160" t="s">
        <v>559</v>
      </c>
      <c r="G161" s="1196"/>
      <c r="H161" s="157"/>
      <c r="I161" s="1196"/>
      <c r="J161" s="157"/>
      <c r="K161" s="158"/>
      <c r="L161" s="1162"/>
    </row>
    <row r="162" spans="1:12" ht="24">
      <c r="A162" s="1163" t="s">
        <v>2020</v>
      </c>
      <c r="B162" s="478" t="s">
        <v>2021</v>
      </c>
      <c r="C162" s="479"/>
      <c r="D162" s="480"/>
      <c r="E162" s="1209"/>
      <c r="F162" s="1160" t="s">
        <v>2022</v>
      </c>
      <c r="G162" s="1196"/>
      <c r="H162" s="157"/>
      <c r="I162" s="1196"/>
      <c r="J162" s="157"/>
      <c r="K162" s="158"/>
      <c r="L162" s="1162"/>
    </row>
    <row r="163" spans="1:12" ht="24">
      <c r="A163" s="1163" t="s">
        <v>2023</v>
      </c>
      <c r="B163" s="478" t="s">
        <v>2024</v>
      </c>
      <c r="C163" s="479"/>
      <c r="D163" s="480"/>
      <c r="E163" s="1209"/>
      <c r="F163" s="1160" t="s">
        <v>185</v>
      </c>
      <c r="G163" s="1196"/>
      <c r="H163" s="157"/>
      <c r="I163" s="1196"/>
      <c r="J163" s="157"/>
      <c r="K163" s="158"/>
      <c r="L163" s="1162"/>
    </row>
    <row r="164" spans="1:12" ht="24">
      <c r="A164" s="1163" t="s">
        <v>2025</v>
      </c>
      <c r="B164" s="1263" t="s">
        <v>601</v>
      </c>
      <c r="C164" s="1264"/>
      <c r="D164" s="1265"/>
      <c r="E164" s="1209"/>
      <c r="F164" s="1160" t="s">
        <v>183</v>
      </c>
      <c r="G164" s="1196"/>
      <c r="H164" s="157"/>
      <c r="I164" s="1196"/>
      <c r="J164" s="157"/>
      <c r="K164" s="158"/>
      <c r="L164" s="1162"/>
    </row>
    <row r="165" spans="1:12" ht="24">
      <c r="A165" s="1163" t="s">
        <v>2026</v>
      </c>
      <c r="B165" s="2187" t="s">
        <v>603</v>
      </c>
      <c r="C165" s="2188"/>
      <c r="D165" s="2189"/>
      <c r="E165" s="1209"/>
      <c r="F165" s="1160" t="s">
        <v>183</v>
      </c>
      <c r="G165" s="1196"/>
      <c r="H165" s="157"/>
      <c r="I165" s="1196"/>
      <c r="J165" s="157"/>
      <c r="K165" s="158"/>
      <c r="L165" s="1181"/>
    </row>
    <row r="166" spans="1:12" ht="24">
      <c r="A166" s="1163" t="s">
        <v>2027</v>
      </c>
      <c r="B166" s="1266" t="s">
        <v>693</v>
      </c>
      <c r="C166" s="1264"/>
      <c r="D166" s="1265"/>
      <c r="E166" s="1209"/>
      <c r="F166" s="1179" t="s">
        <v>184</v>
      </c>
      <c r="G166" s="1196"/>
      <c r="H166" s="157"/>
      <c r="I166" s="1200"/>
      <c r="J166" s="157"/>
      <c r="K166" s="158"/>
      <c r="L166" s="1181"/>
    </row>
    <row r="167" spans="1:12" ht="24">
      <c r="A167" s="1163" t="s">
        <v>2028</v>
      </c>
      <c r="B167" s="1266" t="s">
        <v>695</v>
      </c>
      <c r="C167" s="1264"/>
      <c r="D167" s="1265"/>
      <c r="E167" s="1209"/>
      <c r="F167" s="1179" t="s">
        <v>185</v>
      </c>
      <c r="G167" s="1196"/>
      <c r="H167" s="157"/>
      <c r="I167" s="1196"/>
      <c r="J167" s="157"/>
      <c r="K167" s="158"/>
      <c r="L167" s="1181"/>
    </row>
    <row r="168" spans="1:12" ht="24">
      <c r="A168" s="1175"/>
      <c r="B168" s="1176"/>
      <c r="C168" s="1177"/>
      <c r="D168" s="1178"/>
      <c r="E168" s="1212"/>
      <c r="F168" s="1179"/>
      <c r="G168" s="1213"/>
      <c r="H168" s="1108"/>
      <c r="I168" s="1213"/>
      <c r="J168" s="1108"/>
      <c r="K168" s="1107"/>
      <c r="L168" s="1181"/>
    </row>
    <row r="169" spans="1:12" ht="24">
      <c r="A169" s="1182"/>
      <c r="B169" s="2173" t="s">
        <v>645</v>
      </c>
      <c r="C169" s="2174"/>
      <c r="D169" s="2175"/>
      <c r="E169" s="1214"/>
      <c r="F169" s="1184"/>
      <c r="G169" s="1215"/>
      <c r="H169" s="1186"/>
      <c r="I169" s="1215"/>
      <c r="J169" s="1186"/>
      <c r="K169" s="1187"/>
      <c r="L169" s="1188"/>
    </row>
    <row r="170" spans="1:12" ht="24">
      <c r="A170" s="1267">
        <v>1.8</v>
      </c>
      <c r="B170" s="2087" t="s">
        <v>677</v>
      </c>
      <c r="C170" s="2088"/>
      <c r="D170" s="2089"/>
      <c r="E170" s="1217"/>
      <c r="F170" s="1218"/>
      <c r="G170" s="1219"/>
      <c r="H170" s="1220"/>
      <c r="I170" s="1219"/>
      <c r="J170" s="1220"/>
      <c r="K170" s="1221"/>
      <c r="L170" s="1222"/>
    </row>
    <row r="171" spans="1:12" ht="24">
      <c r="A171" s="1163" t="s">
        <v>646</v>
      </c>
      <c r="B171" s="936" t="s">
        <v>2029</v>
      </c>
      <c r="C171" s="1268"/>
      <c r="D171" s="1269"/>
      <c r="E171" s="1209"/>
      <c r="F171" s="1167" t="s">
        <v>559</v>
      </c>
      <c r="G171" s="1199"/>
      <c r="H171" s="157"/>
      <c r="I171" s="1199"/>
      <c r="J171" s="157"/>
      <c r="K171" s="158"/>
      <c r="L171" s="1169"/>
    </row>
    <row r="172" spans="1:12" ht="24">
      <c r="A172" s="1225" t="s">
        <v>648</v>
      </c>
      <c r="B172" s="936" t="s">
        <v>679</v>
      </c>
      <c r="C172" s="1268"/>
      <c r="D172" s="1269"/>
      <c r="E172" s="1195"/>
      <c r="F172" s="1160" t="s">
        <v>559</v>
      </c>
      <c r="G172" s="1199"/>
      <c r="H172" s="161"/>
      <c r="I172" s="1199"/>
      <c r="J172" s="161"/>
      <c r="K172" s="159"/>
      <c r="L172" s="1162"/>
    </row>
    <row r="173" spans="1:12" ht="24">
      <c r="A173" s="1225" t="s">
        <v>650</v>
      </c>
      <c r="B173" s="936" t="s">
        <v>2030</v>
      </c>
      <c r="C173" s="1268"/>
      <c r="D173" s="1269"/>
      <c r="E173" s="1195"/>
      <c r="F173" s="1160" t="s">
        <v>559</v>
      </c>
      <c r="G173" s="1199"/>
      <c r="H173" s="161"/>
      <c r="I173" s="1199"/>
      <c r="J173" s="161"/>
      <c r="K173" s="159"/>
      <c r="L173" s="1162"/>
    </row>
    <row r="174" spans="1:12" ht="24">
      <c r="A174" s="1163" t="s">
        <v>651</v>
      </c>
      <c r="B174" s="936" t="s">
        <v>683</v>
      </c>
      <c r="C174" s="1268"/>
      <c r="D174" s="1269"/>
      <c r="E174" s="1209"/>
      <c r="F174" s="1167" t="s">
        <v>559</v>
      </c>
      <c r="G174" s="1199"/>
      <c r="H174" s="157"/>
      <c r="I174" s="1199"/>
      <c r="J174" s="157"/>
      <c r="K174" s="158"/>
      <c r="L174" s="1162"/>
    </row>
    <row r="175" spans="1:12" ht="24">
      <c r="A175" s="1163" t="s">
        <v>652</v>
      </c>
      <c r="B175" s="936" t="s">
        <v>2031</v>
      </c>
      <c r="C175" s="1268"/>
      <c r="D175" s="1269"/>
      <c r="E175" s="1209"/>
      <c r="F175" s="1167" t="s">
        <v>559</v>
      </c>
      <c r="G175" s="1199"/>
      <c r="H175" s="157"/>
      <c r="I175" s="1199"/>
      <c r="J175" s="157"/>
      <c r="K175" s="158"/>
      <c r="L175" s="1162"/>
    </row>
    <row r="176" spans="1:12" ht="24">
      <c r="A176" s="1163" t="s">
        <v>653</v>
      </c>
      <c r="B176" s="2176" t="s">
        <v>601</v>
      </c>
      <c r="C176" s="2177"/>
      <c r="D176" s="2178"/>
      <c r="E176" s="1209"/>
      <c r="F176" s="1160" t="s">
        <v>183</v>
      </c>
      <c r="G176" s="1199"/>
      <c r="H176" s="157"/>
      <c r="I176" s="1199"/>
      <c r="J176" s="157"/>
      <c r="K176" s="158"/>
      <c r="L176" s="1162"/>
    </row>
    <row r="177" spans="1:14" ht="24">
      <c r="A177" s="1202" t="s">
        <v>654</v>
      </c>
      <c r="B177" s="2179" t="s">
        <v>603</v>
      </c>
      <c r="C177" s="2180"/>
      <c r="D177" s="2181"/>
      <c r="E177" s="1203"/>
      <c r="F177" s="1204" t="s">
        <v>183</v>
      </c>
      <c r="G177" s="1258"/>
      <c r="H177" s="533"/>
      <c r="I177" s="1258"/>
      <c r="J177" s="533"/>
      <c r="K177" s="534"/>
      <c r="L177" s="1207"/>
    </row>
    <row r="178" spans="1:14" ht="24">
      <c r="A178" s="1163" t="s">
        <v>656</v>
      </c>
      <c r="B178" s="1270" t="s">
        <v>693</v>
      </c>
      <c r="C178" s="1271"/>
      <c r="D178" s="1272"/>
      <c r="E178" s="1209"/>
      <c r="F178" s="1167" t="s">
        <v>184</v>
      </c>
      <c r="G178" s="1196"/>
      <c r="H178" s="157"/>
      <c r="I178" s="1200"/>
      <c r="J178" s="157"/>
      <c r="K178" s="158"/>
      <c r="L178" s="1169"/>
    </row>
    <row r="179" spans="1:14" ht="24">
      <c r="A179" s="1163" t="s">
        <v>658</v>
      </c>
      <c r="B179" s="1266" t="s">
        <v>2032</v>
      </c>
      <c r="C179" s="1273"/>
      <c r="D179" s="1274"/>
      <c r="E179" s="1209"/>
      <c r="F179" s="1160" t="s">
        <v>185</v>
      </c>
      <c r="G179" s="1196"/>
      <c r="H179" s="157"/>
      <c r="I179" s="1196"/>
      <c r="J179" s="157"/>
      <c r="K179" s="158"/>
      <c r="L179" s="1162"/>
    </row>
    <row r="180" spans="1:14" ht="24">
      <c r="A180" s="1175"/>
      <c r="B180" s="1176"/>
      <c r="C180" s="1177"/>
      <c r="D180" s="1178"/>
      <c r="E180" s="1212"/>
      <c r="F180" s="1179"/>
      <c r="G180" s="1213"/>
      <c r="H180" s="1108"/>
      <c r="I180" s="1213"/>
      <c r="J180" s="1108"/>
      <c r="K180" s="1107"/>
      <c r="L180" s="1181"/>
    </row>
    <row r="181" spans="1:14" ht="24">
      <c r="A181" s="1182"/>
      <c r="B181" s="2173" t="s">
        <v>660</v>
      </c>
      <c r="C181" s="2174"/>
      <c r="D181" s="2175"/>
      <c r="E181" s="1214"/>
      <c r="F181" s="1184"/>
      <c r="G181" s="1215"/>
      <c r="H181" s="1186"/>
      <c r="I181" s="1215"/>
      <c r="J181" s="1186"/>
      <c r="K181" s="1187"/>
      <c r="L181" s="1188"/>
    </row>
    <row r="182" spans="1:14" ht="24">
      <c r="A182" s="1267">
        <v>1.9</v>
      </c>
      <c r="B182" s="2087" t="s">
        <v>539</v>
      </c>
      <c r="C182" s="2088"/>
      <c r="D182" s="2089"/>
      <c r="E182" s="1217"/>
      <c r="F182" s="1218"/>
      <c r="G182" s="1219"/>
      <c r="H182" s="1220"/>
      <c r="I182" s="1219"/>
      <c r="J182" s="1220"/>
      <c r="K182" s="1221"/>
      <c r="L182" s="1222"/>
    </row>
    <row r="183" spans="1:14" ht="24">
      <c r="A183" s="1163" t="s">
        <v>661</v>
      </c>
      <c r="B183" s="2093" t="s">
        <v>554</v>
      </c>
      <c r="C183" s="2094"/>
      <c r="D183" s="2095"/>
      <c r="E183" s="1209"/>
      <c r="F183" s="1167" t="s">
        <v>546</v>
      </c>
      <c r="G183" s="1199"/>
      <c r="H183" s="157"/>
      <c r="I183" s="1199"/>
      <c r="J183" s="157"/>
      <c r="K183" s="158"/>
      <c r="L183" s="1169"/>
    </row>
    <row r="184" spans="1:14" ht="24">
      <c r="A184" s="1163" t="s">
        <v>662</v>
      </c>
      <c r="B184" s="2093" t="s">
        <v>556</v>
      </c>
      <c r="C184" s="2094"/>
      <c r="D184" s="2095"/>
      <c r="E184" s="1209"/>
      <c r="F184" s="1160" t="s">
        <v>183</v>
      </c>
      <c r="G184" s="1199"/>
      <c r="H184" s="157"/>
      <c r="I184" s="1199"/>
      <c r="J184" s="157"/>
      <c r="K184" s="158"/>
      <c r="L184" s="1162"/>
    </row>
    <row r="185" spans="1:14" ht="24">
      <c r="A185" s="1163" t="s">
        <v>663</v>
      </c>
      <c r="B185" s="2093" t="s">
        <v>558</v>
      </c>
      <c r="C185" s="2094"/>
      <c r="D185" s="2095"/>
      <c r="E185" s="1209"/>
      <c r="F185" s="1160" t="s">
        <v>559</v>
      </c>
      <c r="G185" s="1199"/>
      <c r="H185" s="157"/>
      <c r="I185" s="1199"/>
      <c r="J185" s="157"/>
      <c r="K185" s="158"/>
      <c r="L185" s="1162"/>
    </row>
    <row r="186" spans="1:14" ht="24">
      <c r="A186" s="1163" t="s">
        <v>664</v>
      </c>
      <c r="B186" s="2093" t="s">
        <v>561</v>
      </c>
      <c r="C186" s="2094"/>
      <c r="D186" s="2095"/>
      <c r="E186" s="1209"/>
      <c r="F186" s="1160"/>
      <c r="G186" s="1199"/>
      <c r="H186" s="157"/>
      <c r="I186" s="1199"/>
      <c r="J186" s="157"/>
      <c r="K186" s="158"/>
      <c r="L186" s="1162"/>
    </row>
    <row r="187" spans="1:14" ht="24">
      <c r="A187" s="1163"/>
      <c r="B187" s="2093" t="s">
        <v>562</v>
      </c>
      <c r="C187" s="2094"/>
      <c r="D187" s="2095"/>
      <c r="E187" s="1209"/>
      <c r="F187" s="1160" t="s">
        <v>559</v>
      </c>
      <c r="G187" s="1200"/>
      <c r="H187" s="419"/>
      <c r="I187" s="1201"/>
      <c r="J187" s="157"/>
      <c r="K187" s="158"/>
      <c r="L187" s="1162"/>
    </row>
    <row r="188" spans="1:14" ht="24">
      <c r="A188" s="1163"/>
      <c r="B188" s="2093" t="s">
        <v>563</v>
      </c>
      <c r="C188" s="2094"/>
      <c r="D188" s="2095"/>
      <c r="E188" s="1209"/>
      <c r="F188" s="1160" t="s">
        <v>559</v>
      </c>
      <c r="G188" s="1200"/>
      <c r="H188" s="419"/>
      <c r="I188" s="1201"/>
      <c r="J188" s="157"/>
      <c r="K188" s="158"/>
      <c r="L188" s="1162"/>
    </row>
    <row r="189" spans="1:14" ht="24">
      <c r="A189" s="1163"/>
      <c r="B189" s="2093" t="s">
        <v>564</v>
      </c>
      <c r="C189" s="2094"/>
      <c r="D189" s="2095"/>
      <c r="E189" s="1209"/>
      <c r="F189" s="1160" t="s">
        <v>559</v>
      </c>
      <c r="G189" s="1200"/>
      <c r="H189" s="419"/>
      <c r="I189" s="1201"/>
      <c r="J189" s="157"/>
      <c r="K189" s="158"/>
      <c r="L189" s="1162"/>
    </row>
    <row r="190" spans="1:14" ht="24">
      <c r="A190" s="1163"/>
      <c r="B190" s="2093" t="s">
        <v>565</v>
      </c>
      <c r="C190" s="2094"/>
      <c r="D190" s="2095"/>
      <c r="E190" s="1209"/>
      <c r="F190" s="1160" t="s">
        <v>559</v>
      </c>
      <c r="G190" s="1200"/>
      <c r="H190" s="419"/>
      <c r="I190" s="1201"/>
      <c r="J190" s="157"/>
      <c r="K190" s="158"/>
      <c r="L190" s="1162"/>
    </row>
    <row r="191" spans="1:14" ht="24">
      <c r="A191" s="1163"/>
      <c r="B191" s="2093" t="s">
        <v>566</v>
      </c>
      <c r="C191" s="2094"/>
      <c r="D191" s="2095"/>
      <c r="E191" s="1209"/>
      <c r="F191" s="1160" t="s">
        <v>559</v>
      </c>
      <c r="G191" s="1200"/>
      <c r="H191" s="419"/>
      <c r="I191" s="1201"/>
      <c r="J191" s="157"/>
      <c r="K191" s="158"/>
      <c r="L191" s="1162"/>
    </row>
    <row r="192" spans="1:14" ht="24">
      <c r="A192" s="1225"/>
      <c r="B192" s="2093" t="s">
        <v>567</v>
      </c>
      <c r="C192" s="2094"/>
      <c r="D192" s="2095"/>
      <c r="E192" s="1195"/>
      <c r="F192" s="1160" t="s">
        <v>559</v>
      </c>
      <c r="G192" s="1200"/>
      <c r="H192" s="419"/>
      <c r="I192" s="1201"/>
      <c r="J192" s="161"/>
      <c r="K192" s="159"/>
      <c r="L192" s="1162"/>
      <c r="N192" s="367">
        <f>SUM(E187:E192)</f>
        <v>0</v>
      </c>
    </row>
    <row r="193" spans="1:14" ht="24">
      <c r="A193" s="1225" t="s">
        <v>665</v>
      </c>
      <c r="B193" s="2093" t="s">
        <v>569</v>
      </c>
      <c r="C193" s="2094"/>
      <c r="D193" s="2095"/>
      <c r="E193" s="1195"/>
      <c r="F193" s="1160" t="s">
        <v>559</v>
      </c>
      <c r="G193" s="1199"/>
      <c r="H193" s="161"/>
      <c r="I193" s="1199"/>
      <c r="J193" s="161"/>
      <c r="K193" s="159"/>
      <c r="L193" s="1162"/>
    </row>
    <row r="194" spans="1:14" ht="24">
      <c r="A194" s="1175"/>
      <c r="B194" s="1263"/>
      <c r="C194" s="1264"/>
      <c r="D194" s="1265"/>
      <c r="E194" s="1212"/>
      <c r="F194" s="1179"/>
      <c r="G194" s="1213"/>
      <c r="H194" s="1108"/>
      <c r="I194" s="1213"/>
      <c r="J194" s="1108"/>
      <c r="K194" s="1107"/>
      <c r="L194" s="1181"/>
    </row>
    <row r="195" spans="1:14" ht="24">
      <c r="A195" s="1175"/>
      <c r="B195" s="2093"/>
      <c r="C195" s="2094"/>
      <c r="D195" s="2095"/>
      <c r="E195" s="1212"/>
      <c r="F195" s="1179"/>
      <c r="G195" s="1213"/>
      <c r="H195" s="1108"/>
      <c r="I195" s="1213"/>
      <c r="J195" s="1108"/>
      <c r="K195" s="1107"/>
      <c r="L195" s="1181"/>
    </row>
    <row r="196" spans="1:14" ht="24">
      <c r="A196" s="1175"/>
      <c r="B196" s="2093"/>
      <c r="C196" s="2094"/>
      <c r="D196" s="2095"/>
      <c r="E196" s="1212"/>
      <c r="F196" s="1179"/>
      <c r="G196" s="1213"/>
      <c r="H196" s="1108"/>
      <c r="I196" s="1213"/>
      <c r="J196" s="1108"/>
      <c r="K196" s="1107"/>
      <c r="L196" s="1181"/>
    </row>
    <row r="197" spans="1:14" ht="24">
      <c r="A197" s="1175"/>
      <c r="B197" s="1176"/>
      <c r="C197" s="1177"/>
      <c r="D197" s="1178"/>
      <c r="E197" s="1212"/>
      <c r="F197" s="1179"/>
      <c r="G197" s="1213"/>
      <c r="H197" s="1108"/>
      <c r="I197" s="1213"/>
      <c r="J197" s="1108"/>
      <c r="K197" s="1107"/>
      <c r="L197" s="1181"/>
      <c r="N197" s="490" t="s">
        <v>703</v>
      </c>
    </row>
    <row r="198" spans="1:14" ht="24">
      <c r="A198" s="1182"/>
      <c r="B198" s="2173" t="s">
        <v>676</v>
      </c>
      <c r="C198" s="2174"/>
      <c r="D198" s="2175"/>
      <c r="E198" s="1214"/>
      <c r="F198" s="1184"/>
      <c r="G198" s="1215"/>
      <c r="H198" s="1186"/>
      <c r="I198" s="1215"/>
      <c r="J198" s="1186"/>
      <c r="K198" s="1187"/>
      <c r="L198" s="1188"/>
      <c r="N198" s="491">
        <f>SUM(N53:N197)</f>
        <v>0</v>
      </c>
    </row>
    <row r="200" spans="1:14">
      <c r="N200" s="490" t="s">
        <v>704</v>
      </c>
    </row>
    <row r="201" spans="1:14">
      <c r="N201" s="491">
        <f>E183+E148+E133+E102+E82+E61+E44</f>
        <v>0</v>
      </c>
    </row>
    <row r="202" spans="1:14">
      <c r="G202" s="150"/>
    </row>
    <row r="203" spans="1:14">
      <c r="K203" s="492"/>
      <c r="L203" s="493"/>
      <c r="M203" s="494"/>
      <c r="N203" s="495" t="e">
        <f>N198/N201</f>
        <v>#DIV/0!</v>
      </c>
    </row>
  </sheetData>
  <mergeCells count="142"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35:D35"/>
    <mergeCell ref="B36:D36"/>
    <mergeCell ref="B37:D37"/>
    <mergeCell ref="B38:D38"/>
    <mergeCell ref="B39:D39"/>
    <mergeCell ref="B40:D40"/>
    <mergeCell ref="B10:D10"/>
    <mergeCell ref="B30:D30"/>
    <mergeCell ref="B31:D31"/>
    <mergeCell ref="B32:D32"/>
    <mergeCell ref="B33:D33"/>
    <mergeCell ref="B34:D34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60:D60"/>
    <mergeCell ref="B61:D61"/>
    <mergeCell ref="B62:D62"/>
    <mergeCell ref="B63:D63"/>
    <mergeCell ref="B64:D64"/>
    <mergeCell ref="B65:D65"/>
    <mergeCell ref="B53:D53"/>
    <mergeCell ref="B54:D54"/>
    <mergeCell ref="B56:D56"/>
    <mergeCell ref="B57:D57"/>
    <mergeCell ref="B58:D58"/>
    <mergeCell ref="B59:D59"/>
    <mergeCell ref="B72:D72"/>
    <mergeCell ref="B78:D78"/>
    <mergeCell ref="B79:D79"/>
    <mergeCell ref="B80:D80"/>
    <mergeCell ref="B81:D81"/>
    <mergeCell ref="B82:D82"/>
    <mergeCell ref="B66:D66"/>
    <mergeCell ref="B67:D67"/>
    <mergeCell ref="B68:D68"/>
    <mergeCell ref="B69:D69"/>
    <mergeCell ref="B70:D70"/>
    <mergeCell ref="B71:D71"/>
    <mergeCell ref="B89:D89"/>
    <mergeCell ref="B90:D90"/>
    <mergeCell ref="B91:D91"/>
    <mergeCell ref="B92:D92"/>
    <mergeCell ref="B95:D95"/>
    <mergeCell ref="B96:D96"/>
    <mergeCell ref="B83:D83"/>
    <mergeCell ref="B84:D84"/>
    <mergeCell ref="B85:D85"/>
    <mergeCell ref="B86:D86"/>
    <mergeCell ref="B87:D87"/>
    <mergeCell ref="B88:D88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118:D118"/>
    <mergeCell ref="B119:D119"/>
    <mergeCell ref="B123:D123"/>
    <mergeCell ref="B124:D124"/>
    <mergeCell ref="B129:D129"/>
    <mergeCell ref="B130:D130"/>
    <mergeCell ref="B110:D110"/>
    <mergeCell ref="B111:D111"/>
    <mergeCell ref="B112:D112"/>
    <mergeCell ref="B113:D113"/>
    <mergeCell ref="B115:D115"/>
    <mergeCell ref="B116:D116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50:D150"/>
    <mergeCell ref="B151:D151"/>
    <mergeCell ref="B152:D152"/>
    <mergeCell ref="B153:D153"/>
    <mergeCell ref="B154:D154"/>
    <mergeCell ref="B155:D155"/>
    <mergeCell ref="B143:D143"/>
    <mergeCell ref="B144:D144"/>
    <mergeCell ref="B146:D146"/>
    <mergeCell ref="B147:D147"/>
    <mergeCell ref="B148:D148"/>
    <mergeCell ref="B149:D149"/>
    <mergeCell ref="B176:D176"/>
    <mergeCell ref="B177:D177"/>
    <mergeCell ref="B181:D181"/>
    <mergeCell ref="B182:D182"/>
    <mergeCell ref="B183:D183"/>
    <mergeCell ref="B184:D184"/>
    <mergeCell ref="B156:D156"/>
    <mergeCell ref="B157:D157"/>
    <mergeCell ref="B158:D158"/>
    <mergeCell ref="B165:D165"/>
    <mergeCell ref="B169:D169"/>
    <mergeCell ref="B170:D170"/>
    <mergeCell ref="B191:D191"/>
    <mergeCell ref="B192:D192"/>
    <mergeCell ref="B193:D193"/>
    <mergeCell ref="B195:D195"/>
    <mergeCell ref="B196:D196"/>
    <mergeCell ref="B198:D198"/>
    <mergeCell ref="B185:D185"/>
    <mergeCell ref="B186:D186"/>
    <mergeCell ref="B187:D187"/>
    <mergeCell ref="B188:D188"/>
    <mergeCell ref="B189:D189"/>
    <mergeCell ref="B190:D190"/>
  </mergeCells>
  <printOptions horizontalCentered="1"/>
  <pageMargins left="0" right="0" top="0.35433070866141736" bottom="0.31496062992125984" header="0.31496062992125984" footer="0.15748031496062992"/>
  <pageSetup paperSize="9" scale="80" orientation="landscape" r:id="rId1"/>
  <headerFooter>
    <oddHeader xml:space="preserve">&amp;Rแผ่นที่ &amp;P ใน &amp;N แผ่น            </oddHeader>
    <oddFooter xml:space="preserve">&amp;Rงานโครงสร้าง - อาคารส่วนกีฬาและสระว่ายน้ำ            </oddFooter>
  </headerFooter>
  <rowBreaks count="8" manualBreakCount="8">
    <brk id="30" max="11" man="1"/>
    <brk id="51" max="11" man="1"/>
    <brk id="72" max="11" man="1"/>
    <brk id="93" max="11" man="1"/>
    <brk id="114" max="11" man="1"/>
    <brk id="135" max="11" man="1"/>
    <brk id="156" max="11" man="1"/>
    <brk id="177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N282"/>
  <sheetViews>
    <sheetView showGridLines="0" view="pageBreakPreview" topLeftCell="A85" zoomScaleNormal="80" zoomScaleSheetLayoutView="100" workbookViewId="0">
      <selection activeCell="H187" sqref="H187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67" style="361" customWidth="1"/>
    <col min="5" max="5" width="9.85546875" style="361" customWidth="1"/>
    <col min="6" max="6" width="8.28515625" style="361" customWidth="1"/>
    <col min="7" max="7" width="14.42578125" style="361" customWidth="1"/>
    <col min="8" max="8" width="16.28515625" style="361" customWidth="1"/>
    <col min="9" max="9" width="13.7109375" style="361" customWidth="1"/>
    <col min="10" max="10" width="14.5703125" style="361" customWidth="1"/>
    <col min="11" max="11" width="15.85546875" style="361" customWidth="1"/>
    <col min="12" max="12" width="11.42578125" style="361" customWidth="1"/>
    <col min="13" max="13" width="9.140625" style="361"/>
    <col min="14" max="14" width="12.85546875" style="361" customWidth="1"/>
    <col min="15" max="16384" width="9.140625" style="361"/>
  </cols>
  <sheetData>
    <row r="1" spans="1:12" ht="36.75" customHeight="1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705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43" t="s">
        <v>485</v>
      </c>
      <c r="E6" s="44" t="s">
        <v>28</v>
      </c>
      <c r="F6" s="43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12" t="s">
        <v>45</v>
      </c>
    </row>
    <row r="7" spans="1:12" ht="10.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13"/>
    </row>
    <row r="8" spans="1:12" ht="24.7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4">
        <v>2</v>
      </c>
      <c r="B10" s="1994" t="s">
        <v>29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v>2.1</v>
      </c>
      <c r="B11" s="134" t="s">
        <v>707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>
        <v>2.2000000000000002</v>
      </c>
      <c r="B12" s="133" t="s">
        <v>708</v>
      </c>
      <c r="C12" s="61"/>
      <c r="D12" s="62"/>
      <c r="E12" s="498"/>
      <c r="F12" s="57" t="s">
        <v>10</v>
      </c>
      <c r="G12" s="113"/>
      <c r="H12" s="157"/>
      <c r="I12" s="156"/>
      <c r="J12" s="157"/>
      <c r="K12" s="159"/>
      <c r="L12" s="66"/>
    </row>
    <row r="13" spans="1:12" ht="24">
      <c r="A13" s="132">
        <v>2.2999999999999998</v>
      </c>
      <c r="B13" s="133" t="s">
        <v>709</v>
      </c>
      <c r="C13" s="61"/>
      <c r="D13" s="62"/>
      <c r="E13" s="498"/>
      <c r="F13" s="57" t="s">
        <v>10</v>
      </c>
      <c r="G13" s="113"/>
      <c r="H13" s="120"/>
      <c r="I13" s="113"/>
      <c r="J13" s="120"/>
      <c r="K13" s="159"/>
      <c r="L13" s="66"/>
    </row>
    <row r="14" spans="1:12" ht="24">
      <c r="A14" s="132">
        <v>2.4</v>
      </c>
      <c r="B14" s="133" t="s">
        <v>710</v>
      </c>
      <c r="C14" s="61"/>
      <c r="D14" s="67"/>
      <c r="E14" s="498"/>
      <c r="F14" s="57" t="s">
        <v>10</v>
      </c>
      <c r="G14" s="114"/>
      <c r="H14" s="121"/>
      <c r="I14" s="114"/>
      <c r="J14" s="121"/>
      <c r="K14" s="159"/>
      <c r="L14" s="58"/>
    </row>
    <row r="15" spans="1:12" ht="24">
      <c r="A15" s="132">
        <v>2.5</v>
      </c>
      <c r="B15" s="133" t="s">
        <v>711</v>
      </c>
      <c r="C15" s="61"/>
      <c r="D15" s="67"/>
      <c r="E15" s="498"/>
      <c r="F15" s="57" t="s">
        <v>10</v>
      </c>
      <c r="G15" s="114"/>
      <c r="H15" s="121"/>
      <c r="I15" s="114"/>
      <c r="J15" s="121"/>
      <c r="K15" s="159"/>
      <c r="L15" s="58"/>
    </row>
    <row r="16" spans="1:12" ht="24">
      <c r="A16" s="132">
        <v>2.6</v>
      </c>
      <c r="B16" s="133" t="s">
        <v>712</v>
      </c>
      <c r="C16" s="61"/>
      <c r="D16" s="67"/>
      <c r="E16" s="498"/>
      <c r="F16" s="57" t="s">
        <v>10</v>
      </c>
      <c r="G16" s="114"/>
      <c r="H16" s="121"/>
      <c r="I16" s="114"/>
      <c r="J16" s="121"/>
      <c r="K16" s="159"/>
      <c r="L16" s="58"/>
    </row>
    <row r="17" spans="1:14" ht="24">
      <c r="A17" s="132">
        <v>2.7</v>
      </c>
      <c r="B17" s="133" t="s">
        <v>713</v>
      </c>
      <c r="C17" s="61"/>
      <c r="D17" s="67"/>
      <c r="E17" s="498"/>
      <c r="F17" s="57" t="s">
        <v>10</v>
      </c>
      <c r="G17" s="114"/>
      <c r="H17" s="121"/>
      <c r="I17" s="114"/>
      <c r="J17" s="121"/>
      <c r="K17" s="159"/>
      <c r="L17" s="58"/>
    </row>
    <row r="18" spans="1:14" ht="24">
      <c r="A18" s="132">
        <v>2.8</v>
      </c>
      <c r="B18" s="133" t="s">
        <v>714</v>
      </c>
      <c r="C18" s="61"/>
      <c r="D18" s="67"/>
      <c r="E18" s="498"/>
      <c r="F18" s="57" t="s">
        <v>10</v>
      </c>
      <c r="G18" s="114"/>
      <c r="H18" s="121"/>
      <c r="I18" s="114"/>
      <c r="J18" s="121"/>
      <c r="K18" s="159"/>
      <c r="L18" s="58"/>
    </row>
    <row r="19" spans="1:14" ht="24">
      <c r="A19" s="132">
        <v>2.9</v>
      </c>
      <c r="B19" s="133" t="s">
        <v>715</v>
      </c>
      <c r="C19" s="61"/>
      <c r="D19" s="67"/>
      <c r="E19" s="498"/>
      <c r="F19" s="57" t="s">
        <v>10</v>
      </c>
      <c r="G19" s="114"/>
      <c r="H19" s="121"/>
      <c r="I19" s="114"/>
      <c r="J19" s="121"/>
      <c r="K19" s="159"/>
      <c r="L19" s="58"/>
    </row>
    <row r="20" spans="1:14" ht="24">
      <c r="A20" s="500"/>
      <c r="B20" s="222"/>
      <c r="C20" s="61"/>
      <c r="D20" s="67"/>
      <c r="E20" s="498"/>
      <c r="F20" s="57"/>
      <c r="G20" s="114"/>
      <c r="H20" s="121"/>
      <c r="I20" s="114"/>
      <c r="J20" s="121"/>
      <c r="K20" s="159"/>
      <c r="L20" s="58"/>
    </row>
    <row r="21" spans="1:14" ht="24">
      <c r="A21" s="132"/>
      <c r="B21" s="60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4" ht="24">
      <c r="A22" s="132"/>
      <c r="B22" s="133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4" ht="24">
      <c r="A23" s="132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4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4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4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4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4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  <c r="N28" s="1094">
        <v>4266.91</v>
      </c>
    </row>
    <row r="29" spans="1:14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4" ht="24.75" thickTop="1">
      <c r="A30" s="501"/>
      <c r="B30" s="2121" t="s">
        <v>69</v>
      </c>
      <c r="C30" s="2122"/>
      <c r="D30" s="2123"/>
      <c r="E30" s="502"/>
      <c r="F30" s="503"/>
      <c r="G30" s="504"/>
      <c r="H30" s="518"/>
      <c r="I30" s="504"/>
      <c r="J30" s="518"/>
      <c r="K30" s="506"/>
      <c r="L30" s="74"/>
      <c r="N30" s="1194">
        <f>K30/N28</f>
        <v>0</v>
      </c>
    </row>
    <row r="31" spans="1:14" ht="24">
      <c r="A31" s="104">
        <v>2.1</v>
      </c>
      <c r="B31" s="2127" t="str">
        <f>B11</f>
        <v>งานวัสดุพื้น และผิวพื้น</v>
      </c>
      <c r="C31" s="2128"/>
      <c r="D31" s="2129"/>
      <c r="E31" s="105"/>
      <c r="F31" s="106"/>
      <c r="G31" s="111"/>
      <c r="H31" s="117"/>
      <c r="I31" s="111"/>
      <c r="J31" s="117"/>
      <c r="K31" s="63"/>
      <c r="L31" s="107"/>
    </row>
    <row r="32" spans="1:14" ht="24">
      <c r="A32" s="140" t="s">
        <v>716</v>
      </c>
      <c r="B32" s="145" t="s">
        <v>118</v>
      </c>
      <c r="C32" s="61" t="s">
        <v>719</v>
      </c>
      <c r="D32" s="62"/>
      <c r="E32" s="158"/>
      <c r="F32" s="159" t="s">
        <v>183</v>
      </c>
      <c r="G32" s="156"/>
      <c r="H32" s="161"/>
      <c r="I32" s="156"/>
      <c r="J32" s="161"/>
      <c r="K32" s="159"/>
      <c r="L32" s="513" t="s">
        <v>724</v>
      </c>
    </row>
    <row r="33" spans="1:12" ht="24">
      <c r="A33" s="132" t="s">
        <v>108</v>
      </c>
      <c r="B33" s="511" t="s">
        <v>119</v>
      </c>
      <c r="C33" s="61" t="s">
        <v>720</v>
      </c>
      <c r="D33" s="62"/>
      <c r="E33" s="158"/>
      <c r="F33" s="159" t="s">
        <v>183</v>
      </c>
      <c r="G33" s="156"/>
      <c r="H33" s="161"/>
      <c r="I33" s="156"/>
      <c r="J33" s="161"/>
      <c r="K33" s="159"/>
      <c r="L33" s="66"/>
    </row>
    <row r="34" spans="1:12" ht="24">
      <c r="A34" s="132" t="s">
        <v>254</v>
      </c>
      <c r="B34" s="145" t="s">
        <v>120</v>
      </c>
      <c r="C34" s="61" t="s">
        <v>721</v>
      </c>
      <c r="D34" s="67"/>
      <c r="E34" s="158"/>
      <c r="F34" s="159" t="s">
        <v>183</v>
      </c>
      <c r="G34" s="156"/>
      <c r="H34" s="161"/>
      <c r="I34" s="156"/>
      <c r="J34" s="161"/>
      <c r="K34" s="159"/>
      <c r="L34" s="66"/>
    </row>
    <row r="35" spans="1:12" ht="24">
      <c r="A35" s="132" t="s">
        <v>255</v>
      </c>
      <c r="B35" s="145" t="s">
        <v>121</v>
      </c>
      <c r="C35" s="61" t="s">
        <v>726</v>
      </c>
      <c r="D35" s="67"/>
      <c r="E35" s="158"/>
      <c r="F35" s="159" t="s">
        <v>183</v>
      </c>
      <c r="G35" s="156"/>
      <c r="H35" s="161"/>
      <c r="I35" s="156"/>
      <c r="J35" s="161"/>
      <c r="K35" s="159"/>
      <c r="L35" s="58"/>
    </row>
    <row r="36" spans="1:12" ht="24">
      <c r="A36" s="132" t="s">
        <v>258</v>
      </c>
      <c r="B36" s="145" t="s">
        <v>122</v>
      </c>
      <c r="C36" s="61" t="s">
        <v>728</v>
      </c>
      <c r="D36" s="67"/>
      <c r="E36" s="158"/>
      <c r="F36" s="159" t="s">
        <v>183</v>
      </c>
      <c r="G36" s="156"/>
      <c r="H36" s="161"/>
      <c r="I36" s="156"/>
      <c r="J36" s="161"/>
      <c r="K36" s="159"/>
      <c r="L36" s="513" t="s">
        <v>724</v>
      </c>
    </row>
    <row r="37" spans="1:12" ht="24">
      <c r="A37" s="132" t="s">
        <v>725</v>
      </c>
      <c r="B37" s="145" t="s">
        <v>123</v>
      </c>
      <c r="C37" s="61" t="s">
        <v>730</v>
      </c>
      <c r="D37" s="67"/>
      <c r="E37" s="158"/>
      <c r="F37" s="159" t="s">
        <v>183</v>
      </c>
      <c r="G37" s="156"/>
      <c r="H37" s="161"/>
      <c r="I37" s="156"/>
      <c r="J37" s="161"/>
      <c r="K37" s="159"/>
      <c r="L37" s="58"/>
    </row>
    <row r="38" spans="1:12" ht="24">
      <c r="A38" s="132" t="s">
        <v>727</v>
      </c>
      <c r="B38" s="145" t="s">
        <v>124</v>
      </c>
      <c r="C38" s="61" t="s">
        <v>732</v>
      </c>
      <c r="D38" s="67"/>
      <c r="E38" s="158"/>
      <c r="F38" s="159" t="s">
        <v>183</v>
      </c>
      <c r="G38" s="156"/>
      <c r="H38" s="161"/>
      <c r="I38" s="156"/>
      <c r="J38" s="161"/>
      <c r="K38" s="159"/>
      <c r="L38" s="513" t="s">
        <v>724</v>
      </c>
    </row>
    <row r="39" spans="1:12" ht="24">
      <c r="A39" s="132" t="s">
        <v>729</v>
      </c>
      <c r="B39" s="145" t="s">
        <v>216</v>
      </c>
      <c r="C39" s="61" t="s">
        <v>734</v>
      </c>
      <c r="D39" s="67"/>
      <c r="E39" s="158"/>
      <c r="F39" s="159" t="s">
        <v>183</v>
      </c>
      <c r="G39" s="156"/>
      <c r="H39" s="161"/>
      <c r="I39" s="156"/>
      <c r="J39" s="161"/>
      <c r="K39" s="159"/>
      <c r="L39" s="58"/>
    </row>
    <row r="40" spans="1:12" ht="24">
      <c r="A40" s="132" t="s">
        <v>731</v>
      </c>
      <c r="B40" s="145" t="s">
        <v>219</v>
      </c>
      <c r="C40" s="61" t="s">
        <v>736</v>
      </c>
      <c r="D40" s="62"/>
      <c r="E40" s="158"/>
      <c r="F40" s="159" t="s">
        <v>183</v>
      </c>
      <c r="G40" s="156"/>
      <c r="H40" s="161"/>
      <c r="I40" s="156"/>
      <c r="J40" s="161"/>
      <c r="K40" s="159"/>
      <c r="L40" s="58"/>
    </row>
    <row r="41" spans="1:12" ht="24">
      <c r="A41" s="132" t="s">
        <v>733</v>
      </c>
      <c r="B41" s="145" t="s">
        <v>221</v>
      </c>
      <c r="C41" s="61" t="s">
        <v>738</v>
      </c>
      <c r="D41" s="67"/>
      <c r="E41" s="158"/>
      <c r="F41" s="159" t="s">
        <v>183</v>
      </c>
      <c r="G41" s="156"/>
      <c r="H41" s="161"/>
      <c r="I41" s="156"/>
      <c r="J41" s="161"/>
      <c r="K41" s="159"/>
      <c r="L41" s="513" t="s">
        <v>724</v>
      </c>
    </row>
    <row r="42" spans="1:12" ht="24">
      <c r="A42" s="132"/>
      <c r="B42" s="145"/>
      <c r="C42" s="61" t="s">
        <v>739</v>
      </c>
      <c r="D42" s="67"/>
      <c r="E42" s="158"/>
      <c r="F42" s="159"/>
      <c r="G42" s="156"/>
      <c r="H42" s="161"/>
      <c r="I42" s="156"/>
      <c r="J42" s="161"/>
      <c r="K42" s="159"/>
      <c r="L42" s="58"/>
    </row>
    <row r="43" spans="1:12" ht="24">
      <c r="A43" s="132" t="s">
        <v>735</v>
      </c>
      <c r="B43" s="145" t="s">
        <v>285</v>
      </c>
      <c r="C43" s="61" t="s">
        <v>741</v>
      </c>
      <c r="D43" s="67"/>
      <c r="E43" s="159"/>
      <c r="F43" s="159" t="s">
        <v>183</v>
      </c>
      <c r="G43" s="156"/>
      <c r="H43" s="161"/>
      <c r="I43" s="156"/>
      <c r="J43" s="161"/>
      <c r="K43" s="159"/>
      <c r="L43" s="58"/>
    </row>
    <row r="44" spans="1:12" ht="24">
      <c r="A44" s="132"/>
      <c r="B44" s="145"/>
      <c r="C44" s="61" t="s">
        <v>742</v>
      </c>
      <c r="D44" s="67"/>
      <c r="E44" s="159"/>
      <c r="F44" s="159"/>
      <c r="G44" s="156"/>
      <c r="H44" s="161"/>
      <c r="I44" s="156"/>
      <c r="J44" s="161"/>
      <c r="K44" s="159"/>
      <c r="L44" s="58"/>
    </row>
    <row r="45" spans="1:12" ht="24">
      <c r="A45" s="132" t="s">
        <v>737</v>
      </c>
      <c r="B45" s="145" t="s">
        <v>388</v>
      </c>
      <c r="C45" s="61" t="s">
        <v>744</v>
      </c>
      <c r="D45" s="67"/>
      <c r="E45" s="159"/>
      <c r="F45" s="159" t="s">
        <v>183</v>
      </c>
      <c r="G45" s="156"/>
      <c r="H45" s="161"/>
      <c r="I45" s="156"/>
      <c r="J45" s="161"/>
      <c r="K45" s="159"/>
      <c r="L45" s="58"/>
    </row>
    <row r="46" spans="1:12" ht="24">
      <c r="A46" s="517"/>
      <c r="B46" s="145"/>
      <c r="C46" s="61"/>
      <c r="D46" s="67"/>
      <c r="E46" s="159"/>
      <c r="F46" s="159"/>
      <c r="G46" s="156"/>
      <c r="H46" s="161"/>
      <c r="I46" s="156"/>
      <c r="J46" s="161"/>
      <c r="K46" s="159"/>
      <c r="L46" s="58"/>
    </row>
    <row r="47" spans="1:12" ht="24">
      <c r="A47" s="517"/>
      <c r="B47" s="145"/>
      <c r="C47" s="61"/>
      <c r="D47" s="67"/>
      <c r="E47" s="159"/>
      <c r="F47" s="159"/>
      <c r="G47" s="156"/>
      <c r="H47" s="161"/>
      <c r="I47" s="156"/>
      <c r="J47" s="161"/>
      <c r="K47" s="159"/>
      <c r="L47" s="58"/>
    </row>
    <row r="48" spans="1:12" ht="24">
      <c r="A48" s="517"/>
      <c r="B48" s="145"/>
      <c r="C48" s="61"/>
      <c r="D48" s="67"/>
      <c r="E48" s="159"/>
      <c r="F48" s="159"/>
      <c r="G48" s="156"/>
      <c r="H48" s="161"/>
      <c r="I48" s="156"/>
      <c r="J48" s="161"/>
      <c r="K48" s="159"/>
      <c r="L48" s="58"/>
    </row>
    <row r="49" spans="1:12" ht="24">
      <c r="A49" s="517"/>
      <c r="B49" s="145"/>
      <c r="C49" s="61"/>
      <c r="D49" s="67"/>
      <c r="E49" s="159"/>
      <c r="F49" s="159"/>
      <c r="G49" s="156"/>
      <c r="H49" s="161"/>
      <c r="I49" s="156"/>
      <c r="J49" s="161"/>
      <c r="K49" s="159"/>
      <c r="L49" s="58"/>
    </row>
    <row r="50" spans="1:12" ht="24.75" thickBot="1">
      <c r="A50" s="517"/>
      <c r="B50" s="60"/>
      <c r="C50" s="61"/>
      <c r="D50" s="67"/>
      <c r="E50" s="159"/>
      <c r="F50" s="159"/>
      <c r="G50" s="156"/>
      <c r="H50" s="161"/>
      <c r="I50" s="156"/>
      <c r="J50" s="161"/>
      <c r="K50" s="159"/>
      <c r="L50" s="58"/>
    </row>
    <row r="51" spans="1:12" ht="24.75" thickTop="1">
      <c r="A51" s="501"/>
      <c r="B51" s="2121" t="s">
        <v>749</v>
      </c>
      <c r="C51" s="2122"/>
      <c r="D51" s="2123"/>
      <c r="E51" s="502"/>
      <c r="F51" s="503"/>
      <c r="G51" s="504"/>
      <c r="H51" s="518"/>
      <c r="I51" s="504"/>
      <c r="J51" s="518"/>
      <c r="K51" s="506"/>
      <c r="L51" s="74"/>
    </row>
    <row r="52" spans="1:12" ht="24">
      <c r="A52" s="104">
        <v>2.2000000000000002</v>
      </c>
      <c r="B52" s="2127" t="s">
        <v>109</v>
      </c>
      <c r="C52" s="2128"/>
      <c r="D52" s="2129"/>
      <c r="E52" s="155"/>
      <c r="F52" s="155"/>
      <c r="G52" s="156"/>
      <c r="H52" s="157"/>
      <c r="I52" s="156"/>
      <c r="J52" s="157"/>
      <c r="K52" s="158"/>
      <c r="L52" s="520"/>
    </row>
    <row r="53" spans="1:12" ht="24">
      <c r="A53" s="132" t="s">
        <v>268</v>
      </c>
      <c r="B53" s="145" t="s">
        <v>750</v>
      </c>
      <c r="C53" s="61" t="s">
        <v>751</v>
      </c>
      <c r="D53" s="62"/>
      <c r="E53" s="158"/>
      <c r="F53" s="159" t="s">
        <v>183</v>
      </c>
      <c r="G53" s="156"/>
      <c r="H53" s="161"/>
      <c r="I53" s="156"/>
      <c r="J53" s="161"/>
      <c r="K53" s="159"/>
      <c r="L53" s="513"/>
    </row>
    <row r="54" spans="1:12" ht="24">
      <c r="A54" s="132"/>
      <c r="B54" s="145"/>
      <c r="C54" s="61" t="s">
        <v>752</v>
      </c>
      <c r="D54" s="62"/>
      <c r="E54" s="1275"/>
      <c r="F54" s="159"/>
      <c r="G54" s="156"/>
      <c r="H54" s="161"/>
      <c r="I54" s="156"/>
      <c r="J54" s="161"/>
      <c r="K54" s="159"/>
      <c r="L54" s="58"/>
    </row>
    <row r="55" spans="1:12" ht="24">
      <c r="A55" s="132" t="s">
        <v>269</v>
      </c>
      <c r="B55" s="145" t="s">
        <v>2033</v>
      </c>
      <c r="C55" s="61" t="s">
        <v>2034</v>
      </c>
      <c r="D55" s="62"/>
      <c r="E55" s="1275"/>
      <c r="F55" s="220" t="s">
        <v>183</v>
      </c>
      <c r="G55" s="156"/>
      <c r="H55" s="161"/>
      <c r="I55" s="156"/>
      <c r="J55" s="161"/>
      <c r="K55" s="159"/>
      <c r="L55" s="1276" t="s">
        <v>755</v>
      </c>
    </row>
    <row r="56" spans="1:12" ht="24">
      <c r="A56" s="132"/>
      <c r="B56" s="145"/>
      <c r="C56" s="61" t="s">
        <v>2035</v>
      </c>
      <c r="D56" s="62"/>
      <c r="E56" s="1275"/>
      <c r="F56" s="220"/>
      <c r="G56" s="156"/>
      <c r="H56" s="161"/>
      <c r="I56" s="156"/>
      <c r="J56" s="161"/>
      <c r="K56" s="159"/>
      <c r="L56" s="58"/>
    </row>
    <row r="57" spans="1:12" ht="24">
      <c r="A57" s="132" t="s">
        <v>270</v>
      </c>
      <c r="B57" s="522" t="s">
        <v>129</v>
      </c>
      <c r="C57" s="90" t="s">
        <v>222</v>
      </c>
      <c r="D57" s="523"/>
      <c r="E57" s="1277"/>
      <c r="F57" s="220" t="s">
        <v>183</v>
      </c>
      <c r="G57" s="156"/>
      <c r="H57" s="161"/>
      <c r="I57" s="156"/>
      <c r="J57" s="161"/>
      <c r="K57" s="159"/>
      <c r="L57" s="58"/>
    </row>
    <row r="58" spans="1:12" ht="24">
      <c r="A58" s="132" t="s">
        <v>271</v>
      </c>
      <c r="B58" s="522" t="s">
        <v>128</v>
      </c>
      <c r="C58" s="90" t="s">
        <v>758</v>
      </c>
      <c r="D58" s="523"/>
      <c r="E58" s="220"/>
      <c r="F58" s="194" t="s">
        <v>183</v>
      </c>
      <c r="G58" s="156"/>
      <c r="H58" s="161"/>
      <c r="I58" s="156"/>
      <c r="J58" s="161"/>
      <c r="K58" s="159"/>
      <c r="L58" s="513" t="s">
        <v>724</v>
      </c>
    </row>
    <row r="59" spans="1:12" ht="24">
      <c r="A59" s="132" t="s">
        <v>272</v>
      </c>
      <c r="B59" s="522" t="s">
        <v>759</v>
      </c>
      <c r="C59" s="90" t="s">
        <v>2036</v>
      </c>
      <c r="D59" s="523"/>
      <c r="E59" s="1277"/>
      <c r="F59" s="194" t="s">
        <v>183</v>
      </c>
      <c r="G59" s="156"/>
      <c r="H59" s="161"/>
      <c r="I59" s="156"/>
      <c r="J59" s="161"/>
      <c r="K59" s="159"/>
      <c r="L59" s="58"/>
    </row>
    <row r="60" spans="1:12" ht="24">
      <c r="A60" s="132" t="s">
        <v>280</v>
      </c>
      <c r="B60" s="522" t="s">
        <v>762</v>
      </c>
      <c r="C60" s="90" t="s">
        <v>763</v>
      </c>
      <c r="D60" s="523"/>
      <c r="E60" s="1277"/>
      <c r="F60" s="194" t="s">
        <v>183</v>
      </c>
      <c r="G60" s="156"/>
      <c r="H60" s="161"/>
      <c r="I60" s="156"/>
      <c r="J60" s="161"/>
      <c r="K60" s="159"/>
      <c r="L60" s="58"/>
    </row>
    <row r="61" spans="1:12" ht="24">
      <c r="A61" s="132" t="s">
        <v>761</v>
      </c>
      <c r="B61" s="522" t="s">
        <v>765</v>
      </c>
      <c r="C61" s="90" t="s">
        <v>766</v>
      </c>
      <c r="D61" s="525"/>
      <c r="E61" s="1278"/>
      <c r="F61" s="194" t="s">
        <v>183</v>
      </c>
      <c r="G61" s="156"/>
      <c r="H61" s="161"/>
      <c r="I61" s="156"/>
      <c r="J61" s="161"/>
      <c r="K61" s="159"/>
      <c r="L61" s="58"/>
    </row>
    <row r="62" spans="1:12" ht="24">
      <c r="A62" s="132"/>
      <c r="B62" s="522"/>
      <c r="C62" s="90" t="s">
        <v>767</v>
      </c>
      <c r="D62" s="525"/>
      <c r="E62" s="1278"/>
      <c r="F62" s="194"/>
      <c r="G62" s="156"/>
      <c r="H62" s="161"/>
      <c r="I62" s="156"/>
      <c r="J62" s="161"/>
      <c r="K62" s="159"/>
      <c r="L62" s="58"/>
    </row>
    <row r="63" spans="1:12" ht="24">
      <c r="A63" s="132" t="s">
        <v>764</v>
      </c>
      <c r="B63" s="522" t="s">
        <v>769</v>
      </c>
      <c r="C63" s="90" t="s">
        <v>774</v>
      </c>
      <c r="D63" s="525"/>
      <c r="E63" s="194"/>
      <c r="F63" s="194" t="s">
        <v>183</v>
      </c>
      <c r="G63" s="156"/>
      <c r="H63" s="161"/>
      <c r="I63" s="156"/>
      <c r="J63" s="161"/>
      <c r="K63" s="159"/>
      <c r="L63" s="513" t="s">
        <v>724</v>
      </c>
    </row>
    <row r="64" spans="1:12" ht="24">
      <c r="A64" s="132"/>
      <c r="B64" s="522"/>
      <c r="C64" s="90" t="s">
        <v>775</v>
      </c>
      <c r="D64" s="525"/>
      <c r="E64" s="1278"/>
      <c r="F64" s="194"/>
      <c r="G64" s="156"/>
      <c r="H64" s="161"/>
      <c r="I64" s="156"/>
      <c r="J64" s="161"/>
      <c r="K64" s="159"/>
      <c r="L64" s="58"/>
    </row>
    <row r="65" spans="1:12" ht="24">
      <c r="A65" s="132" t="s">
        <v>768</v>
      </c>
      <c r="B65" s="522" t="s">
        <v>777</v>
      </c>
      <c r="C65" s="90" t="s">
        <v>778</v>
      </c>
      <c r="D65" s="525"/>
      <c r="E65" s="194"/>
      <c r="F65" s="194" t="s">
        <v>183</v>
      </c>
      <c r="G65" s="156"/>
      <c r="H65" s="161"/>
      <c r="I65" s="156"/>
      <c r="J65" s="161"/>
      <c r="K65" s="159"/>
      <c r="L65" s="513" t="s">
        <v>724</v>
      </c>
    </row>
    <row r="66" spans="1:12" ht="24">
      <c r="A66" s="132" t="s">
        <v>772</v>
      </c>
      <c r="B66" s="522" t="s">
        <v>131</v>
      </c>
      <c r="C66" s="90" t="s">
        <v>780</v>
      </c>
      <c r="D66" s="525"/>
      <c r="E66" s="1279"/>
      <c r="F66" s="194" t="s">
        <v>183</v>
      </c>
      <c r="G66" s="156"/>
      <c r="H66" s="161"/>
      <c r="I66" s="156"/>
      <c r="J66" s="161"/>
      <c r="K66" s="159"/>
      <c r="L66" s="58"/>
    </row>
    <row r="67" spans="1:12" ht="24">
      <c r="A67" s="132" t="s">
        <v>776</v>
      </c>
      <c r="B67" s="522" t="s">
        <v>132</v>
      </c>
      <c r="C67" s="90" t="s">
        <v>782</v>
      </c>
      <c r="D67" s="525"/>
      <c r="E67" s="194"/>
      <c r="F67" s="194" t="s">
        <v>183</v>
      </c>
      <c r="G67" s="156"/>
      <c r="H67" s="161"/>
      <c r="I67" s="156"/>
      <c r="J67" s="161"/>
      <c r="K67" s="159"/>
      <c r="L67" s="58"/>
    </row>
    <row r="68" spans="1:12" ht="24">
      <c r="A68" s="132" t="s">
        <v>779</v>
      </c>
      <c r="B68" s="522" t="s">
        <v>784</v>
      </c>
      <c r="C68" s="90" t="s">
        <v>785</v>
      </c>
      <c r="D68" s="525"/>
      <c r="E68" s="1279"/>
      <c r="F68" s="194" t="s">
        <v>183</v>
      </c>
      <c r="G68" s="156"/>
      <c r="H68" s="161"/>
      <c r="I68" s="156"/>
      <c r="J68" s="161"/>
      <c r="K68" s="159"/>
      <c r="L68" s="58"/>
    </row>
    <row r="69" spans="1:12" ht="24">
      <c r="A69" s="132"/>
      <c r="B69" s="522" t="s">
        <v>134</v>
      </c>
      <c r="C69" s="90" t="s">
        <v>2037</v>
      </c>
      <c r="D69" s="525"/>
      <c r="E69" s="1279"/>
      <c r="F69" s="194" t="s">
        <v>183</v>
      </c>
      <c r="G69" s="156"/>
      <c r="H69" s="161"/>
      <c r="I69" s="156"/>
      <c r="J69" s="161"/>
      <c r="K69" s="159"/>
      <c r="L69" s="58"/>
    </row>
    <row r="70" spans="1:12" ht="24">
      <c r="A70" s="132" t="s">
        <v>781</v>
      </c>
      <c r="B70" s="522" t="s">
        <v>787</v>
      </c>
      <c r="C70" s="90" t="s">
        <v>788</v>
      </c>
      <c r="D70" s="525"/>
      <c r="E70" s="194"/>
      <c r="F70" s="194" t="s">
        <v>183</v>
      </c>
      <c r="G70" s="156"/>
      <c r="H70" s="161"/>
      <c r="I70" s="156"/>
      <c r="J70" s="161"/>
      <c r="K70" s="159"/>
      <c r="L70" s="513" t="s">
        <v>724</v>
      </c>
    </row>
    <row r="71" spans="1:12" ht="24">
      <c r="A71" s="132" t="s">
        <v>783</v>
      </c>
      <c r="B71" s="145" t="s">
        <v>134</v>
      </c>
      <c r="C71" s="61" t="s">
        <v>136</v>
      </c>
      <c r="D71" s="67"/>
      <c r="E71" s="1280"/>
      <c r="F71" s="57"/>
      <c r="G71" s="114"/>
      <c r="H71" s="121"/>
      <c r="I71" s="114"/>
      <c r="J71" s="121"/>
      <c r="K71" s="68"/>
      <c r="L71" s="58"/>
    </row>
    <row r="72" spans="1:12" ht="24">
      <c r="A72" s="526"/>
      <c r="B72" s="1281"/>
      <c r="C72" s="1117" t="s">
        <v>137</v>
      </c>
      <c r="D72" s="1282"/>
      <c r="E72" s="1119"/>
      <c r="F72" s="1283" t="s">
        <v>184</v>
      </c>
      <c r="G72" s="532"/>
      <c r="H72" s="533"/>
      <c r="I72" s="532"/>
      <c r="J72" s="533"/>
      <c r="K72" s="534"/>
      <c r="L72" s="535"/>
    </row>
    <row r="73" spans="1:12" ht="24">
      <c r="A73" s="1284"/>
      <c r="B73" s="1285"/>
      <c r="C73" s="1143" t="s">
        <v>792</v>
      </c>
      <c r="D73" s="1144"/>
      <c r="E73" s="1286"/>
      <c r="F73" s="1287" t="s">
        <v>184</v>
      </c>
      <c r="G73" s="1288"/>
      <c r="H73" s="618"/>
      <c r="I73" s="1288"/>
      <c r="J73" s="618"/>
      <c r="K73" s="620"/>
      <c r="L73" s="1289"/>
    </row>
    <row r="74" spans="1:12" ht="24.75" thickBot="1">
      <c r="A74" s="1290"/>
      <c r="B74" s="1291"/>
      <c r="C74" s="1121"/>
      <c r="D74" s="1292"/>
      <c r="E74" s="63"/>
      <c r="F74" s="64"/>
      <c r="G74" s="1293"/>
      <c r="H74" s="120"/>
      <c r="I74" s="1293"/>
      <c r="J74" s="120"/>
      <c r="K74" s="65"/>
      <c r="L74" s="66"/>
    </row>
    <row r="75" spans="1:12" ht="24.75" thickTop="1">
      <c r="A75" s="501"/>
      <c r="B75" s="2121" t="s">
        <v>793</v>
      </c>
      <c r="C75" s="2122"/>
      <c r="D75" s="2123"/>
      <c r="E75" s="502"/>
      <c r="F75" s="503"/>
      <c r="G75" s="504"/>
      <c r="H75" s="518"/>
      <c r="I75" s="504"/>
      <c r="J75" s="518"/>
      <c r="K75" s="506"/>
      <c r="L75" s="74"/>
    </row>
    <row r="76" spans="1:12" ht="24">
      <c r="A76" s="104">
        <v>2.2999999999999998</v>
      </c>
      <c r="B76" s="2127" t="s">
        <v>110</v>
      </c>
      <c r="C76" s="2128"/>
      <c r="D76" s="2129"/>
      <c r="E76" s="155"/>
      <c r="F76" s="155"/>
      <c r="G76" s="156"/>
      <c r="H76" s="157"/>
      <c r="I76" s="156"/>
      <c r="J76" s="157"/>
      <c r="K76" s="158"/>
      <c r="L76" s="520"/>
    </row>
    <row r="77" spans="1:12" ht="24">
      <c r="A77" s="132" t="s">
        <v>794</v>
      </c>
      <c r="B77" s="144" t="s">
        <v>795</v>
      </c>
      <c r="C77" s="61" t="s">
        <v>796</v>
      </c>
      <c r="D77" s="55"/>
      <c r="E77" s="498"/>
      <c r="F77" s="159" t="s">
        <v>183</v>
      </c>
      <c r="G77" s="156"/>
      <c r="H77" s="161"/>
      <c r="I77" s="156"/>
      <c r="J77" s="161"/>
      <c r="K77" s="159"/>
      <c r="L77" s="510" t="s">
        <v>2038</v>
      </c>
    </row>
    <row r="78" spans="1:12" ht="24">
      <c r="A78" s="132" t="s">
        <v>797</v>
      </c>
      <c r="B78" s="145" t="s">
        <v>139</v>
      </c>
      <c r="C78" s="61" t="s">
        <v>798</v>
      </c>
      <c r="D78" s="62"/>
      <c r="E78" s="1294"/>
      <c r="F78" s="159" t="s">
        <v>183</v>
      </c>
      <c r="G78" s="156"/>
      <c r="H78" s="161"/>
      <c r="I78" s="156"/>
      <c r="J78" s="161"/>
      <c r="K78" s="159"/>
      <c r="L78" s="520"/>
    </row>
    <row r="79" spans="1:12" ht="24">
      <c r="A79" s="132" t="s">
        <v>799</v>
      </c>
      <c r="B79" s="145" t="s">
        <v>141</v>
      </c>
      <c r="C79" s="61" t="s">
        <v>800</v>
      </c>
      <c r="D79" s="67"/>
      <c r="E79" s="1294"/>
      <c r="F79" s="159" t="s">
        <v>183</v>
      </c>
      <c r="G79" s="156"/>
      <c r="H79" s="161"/>
      <c r="I79" s="156"/>
      <c r="J79" s="161"/>
      <c r="K79" s="159"/>
      <c r="L79" s="66"/>
    </row>
    <row r="80" spans="1:12" ht="24">
      <c r="A80" s="132" t="s">
        <v>801</v>
      </c>
      <c r="B80" s="145" t="s">
        <v>143</v>
      </c>
      <c r="C80" s="61" t="s">
        <v>802</v>
      </c>
      <c r="D80" s="67"/>
      <c r="E80" s="159"/>
      <c r="F80" s="159" t="s">
        <v>183</v>
      </c>
      <c r="G80" s="156"/>
      <c r="H80" s="161"/>
      <c r="I80" s="156"/>
      <c r="J80" s="161"/>
      <c r="K80" s="159"/>
      <c r="L80" s="513" t="s">
        <v>724</v>
      </c>
    </row>
    <row r="81" spans="1:12" ht="24">
      <c r="A81" s="132" t="s">
        <v>803</v>
      </c>
      <c r="B81" s="145" t="s">
        <v>804</v>
      </c>
      <c r="C81" s="61" t="s">
        <v>805</v>
      </c>
      <c r="D81" s="67"/>
      <c r="E81" s="1294"/>
      <c r="F81" s="159" t="s">
        <v>183</v>
      </c>
      <c r="G81" s="156"/>
      <c r="H81" s="161"/>
      <c r="I81" s="156"/>
      <c r="J81" s="161"/>
      <c r="K81" s="159"/>
      <c r="L81" s="58"/>
    </row>
    <row r="82" spans="1:12" ht="24">
      <c r="A82" s="132" t="s">
        <v>806</v>
      </c>
      <c r="B82" s="522" t="s">
        <v>807</v>
      </c>
      <c r="C82" s="61" t="s">
        <v>808</v>
      </c>
      <c r="D82" s="67"/>
      <c r="E82" s="159"/>
      <c r="F82" s="159" t="s">
        <v>183</v>
      </c>
      <c r="G82" s="156"/>
      <c r="H82" s="161"/>
      <c r="I82" s="156"/>
      <c r="J82" s="161"/>
      <c r="K82" s="159"/>
      <c r="L82" s="513" t="s">
        <v>724</v>
      </c>
    </row>
    <row r="83" spans="1:12" ht="24">
      <c r="A83" s="132" t="s">
        <v>809</v>
      </c>
      <c r="B83" s="522" t="s">
        <v>810</v>
      </c>
      <c r="C83" s="61" t="s">
        <v>811</v>
      </c>
      <c r="D83" s="523"/>
      <c r="E83" s="1146"/>
      <c r="F83" s="159" t="s">
        <v>183</v>
      </c>
      <c r="G83" s="156"/>
      <c r="H83" s="161"/>
      <c r="I83" s="156"/>
      <c r="J83" s="161"/>
      <c r="K83" s="159"/>
      <c r="L83" s="58"/>
    </row>
    <row r="84" spans="1:12" ht="24">
      <c r="A84" s="132" t="s">
        <v>812</v>
      </c>
      <c r="B84" s="522" t="s">
        <v>813</v>
      </c>
      <c r="C84" s="61" t="s">
        <v>751</v>
      </c>
      <c r="D84" s="62"/>
      <c r="E84" s="158"/>
      <c r="F84" s="159" t="s">
        <v>183</v>
      </c>
      <c r="G84" s="156"/>
      <c r="H84" s="161"/>
      <c r="I84" s="156"/>
      <c r="J84" s="161"/>
      <c r="K84" s="159"/>
      <c r="L84" s="58"/>
    </row>
    <row r="85" spans="1:12" ht="24">
      <c r="A85" s="132"/>
      <c r="B85" s="522"/>
      <c r="C85" s="61" t="s">
        <v>1047</v>
      </c>
      <c r="D85" s="62"/>
      <c r="E85" s="1275"/>
      <c r="F85" s="159"/>
      <c r="G85" s="156"/>
      <c r="H85" s="161"/>
      <c r="I85" s="156"/>
      <c r="J85" s="161"/>
      <c r="K85" s="159"/>
      <c r="L85" s="58"/>
    </row>
    <row r="86" spans="1:12" ht="24">
      <c r="A86" s="132"/>
      <c r="B86" s="522"/>
      <c r="C86" s="61" t="s">
        <v>2039</v>
      </c>
      <c r="D86" s="523"/>
      <c r="E86" s="220"/>
      <c r="F86" s="194"/>
      <c r="G86" s="156"/>
      <c r="H86" s="161"/>
      <c r="I86" s="156"/>
      <c r="J86" s="161"/>
      <c r="K86" s="159"/>
      <c r="L86" s="58"/>
    </row>
    <row r="87" spans="1:12" ht="24">
      <c r="A87" s="132"/>
      <c r="B87" s="522"/>
      <c r="C87" s="90"/>
      <c r="D87" s="525"/>
      <c r="E87" s="194"/>
      <c r="F87" s="194"/>
      <c r="G87" s="156"/>
      <c r="H87" s="161"/>
      <c r="I87" s="156"/>
      <c r="J87" s="161"/>
      <c r="K87" s="159"/>
      <c r="L87" s="58"/>
    </row>
    <row r="88" spans="1:12" ht="24">
      <c r="A88" s="132"/>
      <c r="B88" s="522"/>
      <c r="C88" s="90"/>
      <c r="D88" s="525"/>
      <c r="E88" s="194"/>
      <c r="F88" s="194"/>
      <c r="G88" s="156"/>
      <c r="H88" s="161"/>
      <c r="I88" s="156"/>
      <c r="J88" s="161"/>
      <c r="K88" s="159"/>
      <c r="L88" s="514"/>
    </row>
    <row r="89" spans="1:12" ht="24">
      <c r="A89" s="132"/>
      <c r="B89" s="522"/>
      <c r="C89" s="90"/>
      <c r="D89" s="525"/>
      <c r="E89" s="194"/>
      <c r="F89" s="194"/>
      <c r="G89" s="156"/>
      <c r="H89" s="161"/>
      <c r="I89" s="156"/>
      <c r="J89" s="161"/>
      <c r="K89" s="159"/>
      <c r="L89" s="58"/>
    </row>
    <row r="90" spans="1:12" ht="24">
      <c r="A90" s="517"/>
      <c r="B90" s="222"/>
      <c r="C90" s="61"/>
      <c r="D90" s="67"/>
      <c r="E90" s="56"/>
      <c r="F90" s="57"/>
      <c r="G90" s="114"/>
      <c r="H90" s="121"/>
      <c r="I90" s="114"/>
      <c r="J90" s="121"/>
      <c r="K90" s="68"/>
      <c r="L90" s="58"/>
    </row>
    <row r="91" spans="1:12" ht="24">
      <c r="A91" s="517"/>
      <c r="B91" s="133"/>
      <c r="C91" s="61"/>
      <c r="D91" s="67"/>
      <c r="E91" s="56"/>
      <c r="F91" s="57"/>
      <c r="G91" s="114"/>
      <c r="H91" s="121"/>
      <c r="I91" s="114"/>
      <c r="J91" s="121"/>
      <c r="K91" s="68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501"/>
      <c r="B93" s="2121" t="s">
        <v>818</v>
      </c>
      <c r="C93" s="2122"/>
      <c r="D93" s="2123"/>
      <c r="E93" s="502"/>
      <c r="F93" s="503"/>
      <c r="G93" s="504"/>
      <c r="H93" s="518"/>
      <c r="I93" s="504"/>
      <c r="J93" s="518"/>
      <c r="K93" s="506"/>
      <c r="L93" s="74"/>
    </row>
    <row r="94" spans="1:12" ht="24">
      <c r="A94" s="104">
        <v>2.4</v>
      </c>
      <c r="B94" s="2127" t="s">
        <v>819</v>
      </c>
      <c r="C94" s="2128"/>
      <c r="D94" s="2129"/>
      <c r="E94" s="155"/>
      <c r="F94" s="155"/>
      <c r="G94" s="156"/>
      <c r="H94" s="157"/>
      <c r="I94" s="156"/>
      <c r="J94" s="157"/>
      <c r="K94" s="158"/>
      <c r="L94" s="520"/>
    </row>
    <row r="95" spans="1:12" ht="24">
      <c r="A95" s="132" t="s">
        <v>820</v>
      </c>
      <c r="B95" s="144" t="s">
        <v>821</v>
      </c>
      <c r="C95" s="61" t="s">
        <v>822</v>
      </c>
      <c r="D95" s="543"/>
      <c r="E95" s="1294"/>
      <c r="F95" s="159" t="s">
        <v>183</v>
      </c>
      <c r="G95" s="156"/>
      <c r="H95" s="161"/>
      <c r="I95" s="156"/>
      <c r="J95" s="161"/>
      <c r="K95" s="159"/>
      <c r="L95" s="520" t="s">
        <v>823</v>
      </c>
    </row>
    <row r="96" spans="1:12" ht="24">
      <c r="A96" s="132" t="s">
        <v>824</v>
      </c>
      <c r="B96" s="145" t="s">
        <v>153</v>
      </c>
      <c r="C96" s="61" t="s">
        <v>825</v>
      </c>
      <c r="D96" s="544"/>
      <c r="E96" s="1089"/>
      <c r="F96" s="159" t="s">
        <v>183</v>
      </c>
      <c r="G96" s="156"/>
      <c r="H96" s="161"/>
      <c r="I96" s="156"/>
      <c r="J96" s="161"/>
      <c r="K96" s="159"/>
      <c r="L96" s="520" t="s">
        <v>823</v>
      </c>
    </row>
    <row r="97" spans="1:12" ht="24">
      <c r="A97" s="132" t="s">
        <v>826</v>
      </c>
      <c r="B97" s="145" t="s">
        <v>155</v>
      </c>
      <c r="C97" s="61" t="s">
        <v>2040</v>
      </c>
      <c r="D97" s="544"/>
      <c r="E97" s="158"/>
      <c r="F97" s="158" t="s">
        <v>183</v>
      </c>
      <c r="G97" s="156"/>
      <c r="H97" s="161"/>
      <c r="I97" s="156"/>
      <c r="J97" s="161"/>
      <c r="K97" s="159"/>
      <c r="L97" s="520" t="s">
        <v>823</v>
      </c>
    </row>
    <row r="98" spans="1:12" ht="24">
      <c r="A98" s="132"/>
      <c r="B98" s="145"/>
      <c r="C98" s="61" t="s">
        <v>827</v>
      </c>
      <c r="D98" s="545"/>
      <c r="E98" s="1294"/>
      <c r="F98" s="159"/>
      <c r="G98" s="160"/>
      <c r="H98" s="161"/>
      <c r="I98" s="160"/>
      <c r="J98" s="161"/>
      <c r="K98" s="159"/>
      <c r="L98" s="510"/>
    </row>
    <row r="99" spans="1:12" ht="24">
      <c r="A99" s="132" t="s">
        <v>828</v>
      </c>
      <c r="B99" s="145" t="s">
        <v>157</v>
      </c>
      <c r="C99" s="61" t="s">
        <v>829</v>
      </c>
      <c r="D99" s="545"/>
      <c r="E99" s="1294"/>
      <c r="F99" s="159" t="s">
        <v>183</v>
      </c>
      <c r="G99" s="156"/>
      <c r="H99" s="161"/>
      <c r="I99" s="156"/>
      <c r="J99" s="161"/>
      <c r="K99" s="159"/>
      <c r="L99" s="520" t="s">
        <v>823</v>
      </c>
    </row>
    <row r="100" spans="1:12" ht="24">
      <c r="A100" s="132"/>
      <c r="B100" s="145"/>
      <c r="C100" s="61" t="s">
        <v>830</v>
      </c>
      <c r="D100" s="545"/>
      <c r="E100" s="1294"/>
      <c r="F100" s="159"/>
      <c r="G100" s="160"/>
      <c r="H100" s="161"/>
      <c r="I100" s="160"/>
      <c r="J100" s="161"/>
      <c r="K100" s="159"/>
      <c r="L100" s="510"/>
    </row>
    <row r="101" spans="1:12" ht="24">
      <c r="A101" s="132" t="s">
        <v>831</v>
      </c>
      <c r="B101" s="145" t="s">
        <v>159</v>
      </c>
      <c r="C101" s="61" t="s">
        <v>832</v>
      </c>
      <c r="D101" s="545"/>
      <c r="E101" s="159"/>
      <c r="F101" s="159" t="s">
        <v>183</v>
      </c>
      <c r="G101" s="156"/>
      <c r="H101" s="161"/>
      <c r="I101" s="156"/>
      <c r="J101" s="161"/>
      <c r="K101" s="159"/>
      <c r="L101" s="520" t="s">
        <v>823</v>
      </c>
    </row>
    <row r="102" spans="1:12" ht="24">
      <c r="A102" s="132"/>
      <c r="B102" s="145"/>
      <c r="C102" s="61" t="s">
        <v>833</v>
      </c>
      <c r="D102" s="545"/>
      <c r="E102" s="1294"/>
      <c r="F102" s="159"/>
      <c r="G102" s="160"/>
      <c r="H102" s="161"/>
      <c r="I102" s="160"/>
      <c r="J102" s="161"/>
      <c r="K102" s="159"/>
      <c r="L102" s="510"/>
    </row>
    <row r="103" spans="1:12" ht="24">
      <c r="A103" s="132" t="s">
        <v>834</v>
      </c>
      <c r="B103" s="60" t="s">
        <v>134</v>
      </c>
      <c r="C103" s="61" t="s">
        <v>835</v>
      </c>
      <c r="D103" s="67"/>
      <c r="E103" s="1294"/>
      <c r="F103" s="159" t="s">
        <v>183</v>
      </c>
      <c r="G103" s="156"/>
      <c r="H103" s="157"/>
      <c r="I103" s="156"/>
      <c r="J103" s="157"/>
      <c r="K103" s="158"/>
      <c r="L103" s="510"/>
    </row>
    <row r="104" spans="1:12" ht="24">
      <c r="A104" s="132" t="s">
        <v>836</v>
      </c>
      <c r="B104" s="60" t="s">
        <v>134</v>
      </c>
      <c r="C104" s="61" t="s">
        <v>837</v>
      </c>
      <c r="D104" s="67"/>
      <c r="E104" s="159"/>
      <c r="F104" s="159" t="s">
        <v>183</v>
      </c>
      <c r="G104" s="156"/>
      <c r="H104" s="157"/>
      <c r="I104" s="156"/>
      <c r="J104" s="157"/>
      <c r="K104" s="158"/>
      <c r="L104" s="513" t="s">
        <v>724</v>
      </c>
    </row>
    <row r="105" spans="1:12" ht="24">
      <c r="A105" s="132" t="s">
        <v>838</v>
      </c>
      <c r="B105" s="60" t="s">
        <v>134</v>
      </c>
      <c r="C105" s="61" t="s">
        <v>2041</v>
      </c>
      <c r="D105" s="67"/>
      <c r="E105" s="1294"/>
      <c r="F105" s="159" t="s">
        <v>183</v>
      </c>
      <c r="G105" s="156"/>
      <c r="H105" s="157"/>
      <c r="I105" s="156"/>
      <c r="J105" s="157"/>
      <c r="K105" s="158"/>
      <c r="L105" s="510"/>
    </row>
    <row r="106" spans="1:12" ht="24">
      <c r="A106" s="132"/>
      <c r="B106" s="145"/>
      <c r="C106" s="90" t="s">
        <v>2042</v>
      </c>
      <c r="D106" s="545"/>
      <c r="E106" s="159"/>
      <c r="F106" s="159"/>
      <c r="G106" s="160"/>
      <c r="H106" s="161"/>
      <c r="I106" s="160"/>
      <c r="J106" s="161"/>
      <c r="K106" s="159"/>
      <c r="L106" s="510"/>
    </row>
    <row r="107" spans="1:12" ht="24">
      <c r="A107" s="132" t="s">
        <v>841</v>
      </c>
      <c r="B107" s="145" t="s">
        <v>134</v>
      </c>
      <c r="C107" s="61" t="s">
        <v>2043</v>
      </c>
      <c r="D107" s="545"/>
      <c r="E107" s="1294"/>
      <c r="F107" s="159" t="s">
        <v>183</v>
      </c>
      <c r="G107" s="156"/>
      <c r="H107" s="157"/>
      <c r="I107" s="156"/>
      <c r="J107" s="157"/>
      <c r="K107" s="158"/>
      <c r="L107" s="510"/>
    </row>
    <row r="108" spans="1:12" ht="24">
      <c r="A108" s="132"/>
      <c r="B108" s="145"/>
      <c r="C108" s="61" t="s">
        <v>2044</v>
      </c>
      <c r="D108" s="545"/>
      <c r="E108" s="159"/>
      <c r="F108" s="159"/>
      <c r="G108" s="551"/>
      <c r="H108" s="157"/>
      <c r="I108" s="551"/>
      <c r="J108" s="157"/>
      <c r="K108" s="158"/>
      <c r="L108" s="510"/>
    </row>
    <row r="109" spans="1:12" ht="24">
      <c r="A109" s="132"/>
      <c r="B109" s="145"/>
      <c r="C109" s="61"/>
      <c r="D109" s="545"/>
      <c r="E109" s="159"/>
      <c r="F109" s="159"/>
      <c r="G109" s="551"/>
      <c r="H109" s="157"/>
      <c r="I109" s="551"/>
      <c r="J109" s="157"/>
      <c r="K109" s="158"/>
      <c r="L109" s="510"/>
    </row>
    <row r="110" spans="1:12" ht="24">
      <c r="A110" s="132"/>
      <c r="B110" s="145"/>
      <c r="C110" s="61"/>
      <c r="D110" s="545"/>
      <c r="E110" s="159"/>
      <c r="F110" s="159"/>
      <c r="G110" s="551"/>
      <c r="H110" s="157"/>
      <c r="I110" s="551"/>
      <c r="J110" s="157"/>
      <c r="K110" s="158"/>
      <c r="L110" s="510"/>
    </row>
    <row r="111" spans="1:12" ht="24">
      <c r="A111" s="132"/>
      <c r="B111" s="145"/>
      <c r="C111" s="61"/>
      <c r="D111" s="545"/>
      <c r="E111" s="159"/>
      <c r="F111" s="159"/>
      <c r="G111" s="551"/>
      <c r="H111" s="157"/>
      <c r="I111" s="551"/>
      <c r="J111" s="157"/>
      <c r="K111" s="158"/>
      <c r="L111" s="510"/>
    </row>
    <row r="112" spans="1:12" ht="24">
      <c r="A112" s="517"/>
      <c r="B112" s="60"/>
      <c r="C112" s="61"/>
      <c r="D112" s="67"/>
      <c r="E112" s="159"/>
      <c r="F112" s="159"/>
      <c r="G112" s="156"/>
      <c r="H112" s="157"/>
      <c r="I112" s="156"/>
      <c r="J112" s="157"/>
      <c r="K112" s="158"/>
      <c r="L112" s="58"/>
    </row>
    <row r="113" spans="1:12" ht="24.75" thickBot="1">
      <c r="A113" s="69"/>
      <c r="B113" s="60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12" ht="24.75" thickTop="1">
      <c r="A114" s="501"/>
      <c r="B114" s="2121" t="s">
        <v>844</v>
      </c>
      <c r="C114" s="2122"/>
      <c r="D114" s="2123"/>
      <c r="E114" s="502"/>
      <c r="F114" s="503"/>
      <c r="G114" s="504"/>
      <c r="H114" s="518"/>
      <c r="I114" s="504"/>
      <c r="J114" s="518"/>
      <c r="K114" s="506"/>
      <c r="L114" s="74"/>
    </row>
    <row r="115" spans="1:12" ht="24">
      <c r="A115" s="104">
        <v>2.5</v>
      </c>
      <c r="B115" s="2127" t="s">
        <v>845</v>
      </c>
      <c r="C115" s="2128"/>
      <c r="D115" s="2129"/>
      <c r="E115" s="155"/>
      <c r="F115" s="155"/>
      <c r="G115" s="156"/>
      <c r="H115" s="157"/>
      <c r="I115" s="156"/>
      <c r="J115" s="157"/>
      <c r="K115" s="158"/>
      <c r="L115" s="520"/>
    </row>
    <row r="116" spans="1:12" ht="24">
      <c r="A116" s="132" t="s">
        <v>846</v>
      </c>
      <c r="B116" s="145" t="s">
        <v>146</v>
      </c>
      <c r="C116" s="61" t="s">
        <v>2045</v>
      </c>
      <c r="D116" s="62"/>
      <c r="E116" s="158"/>
      <c r="F116" s="158" t="s">
        <v>184</v>
      </c>
      <c r="G116" s="156"/>
      <c r="H116" s="161"/>
      <c r="I116" s="156"/>
      <c r="J116" s="161"/>
      <c r="K116" s="159"/>
      <c r="L116" s="513" t="s">
        <v>724</v>
      </c>
    </row>
    <row r="117" spans="1:12" ht="24">
      <c r="A117" s="132" t="s">
        <v>848</v>
      </c>
      <c r="B117" s="145" t="s">
        <v>148</v>
      </c>
      <c r="C117" s="61" t="s">
        <v>298</v>
      </c>
      <c r="D117" s="62"/>
      <c r="E117" s="1089"/>
      <c r="F117" s="158" t="s">
        <v>184</v>
      </c>
      <c r="G117" s="156"/>
      <c r="H117" s="161"/>
      <c r="I117" s="156"/>
      <c r="J117" s="161"/>
      <c r="K117" s="159"/>
      <c r="L117" s="520"/>
    </row>
    <row r="118" spans="1:12" ht="24">
      <c r="A118" s="132" t="s">
        <v>849</v>
      </c>
      <c r="B118" s="60" t="s">
        <v>150</v>
      </c>
      <c r="C118" s="61" t="s">
        <v>147</v>
      </c>
      <c r="D118" s="62"/>
      <c r="E118" s="1089"/>
      <c r="F118" s="158" t="s">
        <v>184</v>
      </c>
      <c r="G118" s="156"/>
      <c r="H118" s="161"/>
      <c r="I118" s="156"/>
      <c r="J118" s="161"/>
      <c r="K118" s="159"/>
      <c r="L118" s="510"/>
    </row>
    <row r="119" spans="1:12" ht="24">
      <c r="A119" s="132"/>
      <c r="B119" s="60"/>
      <c r="C119" s="61"/>
      <c r="D119" s="67"/>
      <c r="E119" s="159"/>
      <c r="F119" s="158"/>
      <c r="G119" s="156"/>
      <c r="H119" s="161"/>
      <c r="I119" s="156"/>
      <c r="J119" s="161"/>
      <c r="K119" s="159"/>
      <c r="L119" s="510"/>
    </row>
    <row r="120" spans="1:12" ht="24">
      <c r="A120" s="132"/>
      <c r="B120" s="60"/>
      <c r="C120" s="61"/>
      <c r="D120" s="67"/>
      <c r="E120" s="1294"/>
      <c r="F120" s="158"/>
      <c r="G120" s="156"/>
      <c r="H120" s="161"/>
      <c r="I120" s="156"/>
      <c r="J120" s="161"/>
      <c r="K120" s="159"/>
      <c r="L120" s="510"/>
    </row>
    <row r="121" spans="1:12" ht="24">
      <c r="A121" s="132"/>
      <c r="B121" s="60"/>
      <c r="C121" s="61"/>
      <c r="D121" s="67"/>
      <c r="E121" s="1294"/>
      <c r="F121" s="158"/>
      <c r="G121" s="156"/>
      <c r="H121" s="161"/>
      <c r="I121" s="156"/>
      <c r="J121" s="161"/>
      <c r="K121" s="159"/>
      <c r="L121" s="510"/>
    </row>
    <row r="122" spans="1:12" ht="24">
      <c r="A122" s="132"/>
      <c r="B122" s="60"/>
      <c r="C122" s="61"/>
      <c r="D122" s="67"/>
      <c r="E122" s="1294"/>
      <c r="F122" s="158"/>
      <c r="G122" s="156"/>
      <c r="H122" s="161"/>
      <c r="I122" s="156"/>
      <c r="J122" s="161"/>
      <c r="K122" s="159"/>
      <c r="L122" s="510"/>
    </row>
    <row r="123" spans="1:12" ht="24">
      <c r="A123" s="132"/>
      <c r="B123" s="145"/>
      <c r="C123" s="61"/>
      <c r="D123" s="67"/>
      <c r="E123" s="1294"/>
      <c r="F123" s="158"/>
      <c r="G123" s="156"/>
      <c r="H123" s="161"/>
      <c r="I123" s="156"/>
      <c r="J123" s="161"/>
      <c r="K123" s="159"/>
      <c r="L123" s="510"/>
    </row>
    <row r="124" spans="1:12" ht="24">
      <c r="A124" s="132"/>
      <c r="B124" s="145"/>
      <c r="C124" s="61"/>
      <c r="D124" s="67"/>
      <c r="E124" s="1294"/>
      <c r="F124" s="158"/>
      <c r="G124" s="160"/>
      <c r="H124" s="161"/>
      <c r="I124" s="160"/>
      <c r="J124" s="161"/>
      <c r="K124" s="159"/>
      <c r="L124" s="510"/>
    </row>
    <row r="125" spans="1:12" ht="24">
      <c r="A125" s="132"/>
      <c r="B125" s="60"/>
      <c r="C125" s="61"/>
      <c r="D125" s="67"/>
      <c r="E125" s="1294"/>
      <c r="F125" s="159"/>
      <c r="G125" s="160"/>
      <c r="H125" s="161"/>
      <c r="I125" s="160"/>
      <c r="J125" s="161"/>
      <c r="K125" s="159"/>
      <c r="L125" s="510"/>
    </row>
    <row r="126" spans="1:12" ht="24">
      <c r="A126" s="132"/>
      <c r="B126" s="60"/>
      <c r="C126" s="61"/>
      <c r="D126" s="67"/>
      <c r="E126" s="1294"/>
      <c r="F126" s="159"/>
      <c r="G126" s="160"/>
      <c r="H126" s="161"/>
      <c r="I126" s="160"/>
      <c r="J126" s="161"/>
      <c r="K126" s="159"/>
      <c r="L126" s="510"/>
    </row>
    <row r="127" spans="1:12" ht="24">
      <c r="A127" s="132"/>
      <c r="B127" s="60"/>
      <c r="C127" s="61"/>
      <c r="D127" s="67"/>
      <c r="E127" s="1294"/>
      <c r="F127" s="159"/>
      <c r="G127" s="160"/>
      <c r="H127" s="161"/>
      <c r="I127" s="160"/>
      <c r="J127" s="161"/>
      <c r="K127" s="159"/>
      <c r="L127" s="510"/>
    </row>
    <row r="128" spans="1:12" ht="24">
      <c r="A128" s="132"/>
      <c r="B128" s="60"/>
      <c r="C128" s="61"/>
      <c r="D128" s="67"/>
      <c r="E128" s="1294"/>
      <c r="F128" s="159"/>
      <c r="G128" s="160"/>
      <c r="H128" s="161"/>
      <c r="I128" s="160"/>
      <c r="J128" s="161"/>
      <c r="K128" s="159"/>
      <c r="L128" s="510"/>
    </row>
    <row r="129" spans="1:12" ht="24">
      <c r="A129" s="132"/>
      <c r="B129" s="60"/>
      <c r="C129" s="61"/>
      <c r="D129" s="67"/>
      <c r="E129" s="1294"/>
      <c r="F129" s="159"/>
      <c r="G129" s="160"/>
      <c r="H129" s="161"/>
      <c r="I129" s="160"/>
      <c r="J129" s="161"/>
      <c r="K129" s="159"/>
      <c r="L129" s="510"/>
    </row>
    <row r="130" spans="1:12" ht="24">
      <c r="A130" s="517"/>
      <c r="B130" s="60"/>
      <c r="C130" s="61"/>
      <c r="D130" s="67"/>
      <c r="E130" s="1294"/>
      <c r="F130" s="159"/>
      <c r="G130" s="160"/>
      <c r="H130" s="161"/>
      <c r="I130" s="160"/>
      <c r="J130" s="161"/>
      <c r="K130" s="159"/>
      <c r="L130" s="510"/>
    </row>
    <row r="131" spans="1:12" ht="24">
      <c r="A131" s="517"/>
      <c r="B131" s="60"/>
      <c r="C131" s="61"/>
      <c r="D131" s="67"/>
      <c r="E131" s="1294"/>
      <c r="F131" s="159"/>
      <c r="G131" s="160"/>
      <c r="H131" s="161"/>
      <c r="I131" s="160"/>
      <c r="J131" s="161"/>
      <c r="K131" s="159"/>
      <c r="L131" s="510"/>
    </row>
    <row r="132" spans="1:12" ht="24">
      <c r="A132" s="517"/>
      <c r="B132" s="60"/>
      <c r="C132" s="61"/>
      <c r="D132" s="67"/>
      <c r="E132" s="1294"/>
      <c r="F132" s="159"/>
      <c r="G132" s="160"/>
      <c r="H132" s="161"/>
      <c r="I132" s="160"/>
      <c r="J132" s="161"/>
      <c r="K132" s="159"/>
      <c r="L132" s="510"/>
    </row>
    <row r="133" spans="1:12" ht="24">
      <c r="A133" s="517"/>
      <c r="B133" s="60"/>
      <c r="C133" s="61"/>
      <c r="D133" s="67"/>
      <c r="E133" s="1294"/>
      <c r="F133" s="159"/>
      <c r="G133" s="160"/>
      <c r="H133" s="161"/>
      <c r="I133" s="160"/>
      <c r="J133" s="161"/>
      <c r="K133" s="159"/>
      <c r="L133" s="510"/>
    </row>
    <row r="134" spans="1:12" ht="24.75" thickBot="1">
      <c r="A134" s="517"/>
      <c r="B134" s="60"/>
      <c r="C134" s="61"/>
      <c r="D134" s="67"/>
      <c r="E134" s="1294"/>
      <c r="F134" s="159"/>
      <c r="G134" s="160"/>
      <c r="H134" s="161"/>
      <c r="I134" s="160"/>
      <c r="J134" s="161"/>
      <c r="K134" s="159"/>
      <c r="L134" s="510"/>
    </row>
    <row r="135" spans="1:12" ht="24.75" thickTop="1">
      <c r="A135" s="552"/>
      <c r="B135" s="2121" t="s">
        <v>850</v>
      </c>
      <c r="C135" s="2122"/>
      <c r="D135" s="2123"/>
      <c r="E135" s="1295"/>
      <c r="F135" s="553"/>
      <c r="G135" s="554"/>
      <c r="H135" s="555"/>
      <c r="I135" s="556"/>
      <c r="J135" s="555"/>
      <c r="K135" s="555"/>
      <c r="L135" s="557"/>
    </row>
    <row r="136" spans="1:12" ht="24">
      <c r="A136" s="558">
        <v>2.6</v>
      </c>
      <c r="B136" s="559" t="s">
        <v>851</v>
      </c>
      <c r="C136" s="560"/>
      <c r="D136" s="560"/>
      <c r="E136" s="1296"/>
      <c r="F136" s="562"/>
      <c r="G136" s="563"/>
      <c r="H136" s="157"/>
      <c r="I136" s="156"/>
      <c r="J136" s="157"/>
      <c r="K136" s="158"/>
      <c r="L136" s="520"/>
    </row>
    <row r="137" spans="1:12" ht="24">
      <c r="A137" s="564" t="s">
        <v>852</v>
      </c>
      <c r="B137" s="1297" t="s">
        <v>305</v>
      </c>
      <c r="C137" s="566" t="s">
        <v>2046</v>
      </c>
      <c r="D137" s="566"/>
      <c r="E137" s="1298"/>
      <c r="F137" s="568" t="s">
        <v>185</v>
      </c>
      <c r="G137" s="549"/>
      <c r="H137" s="161"/>
      <c r="I137" s="586"/>
      <c r="J137" s="161"/>
      <c r="K137" s="159"/>
      <c r="L137" s="510"/>
    </row>
    <row r="138" spans="1:12" ht="24">
      <c r="A138" s="564"/>
      <c r="B138" s="1299"/>
      <c r="C138" s="566" t="s">
        <v>2047</v>
      </c>
      <c r="D138" s="566"/>
      <c r="E138" s="1298"/>
      <c r="F138" s="568"/>
      <c r="G138" s="549"/>
      <c r="H138" s="161"/>
      <c r="I138" s="586"/>
      <c r="J138" s="161"/>
      <c r="K138" s="159"/>
      <c r="L138" s="510"/>
    </row>
    <row r="139" spans="1:12" ht="24">
      <c r="A139" s="564" t="s">
        <v>855</v>
      </c>
      <c r="B139" s="1297" t="s">
        <v>306</v>
      </c>
      <c r="C139" s="566" t="s">
        <v>2048</v>
      </c>
      <c r="D139" s="566"/>
      <c r="E139" s="1298"/>
      <c r="F139" s="568" t="s">
        <v>185</v>
      </c>
      <c r="G139" s="549"/>
      <c r="H139" s="161"/>
      <c r="I139" s="586"/>
      <c r="J139" s="161"/>
      <c r="K139" s="159"/>
      <c r="L139" s="510"/>
    </row>
    <row r="140" spans="1:12" ht="24">
      <c r="A140" s="564"/>
      <c r="B140" s="1299"/>
      <c r="C140" s="566" t="s">
        <v>2049</v>
      </c>
      <c r="D140" s="566"/>
      <c r="E140" s="1298"/>
      <c r="F140" s="568"/>
      <c r="G140" s="549"/>
      <c r="H140" s="161"/>
      <c r="I140" s="586"/>
      <c r="J140" s="161"/>
      <c r="K140" s="159"/>
      <c r="L140" s="510"/>
    </row>
    <row r="141" spans="1:12" ht="24">
      <c r="A141" s="564" t="s">
        <v>858</v>
      </c>
      <c r="B141" s="1297" t="s">
        <v>307</v>
      </c>
      <c r="C141" s="566" t="s">
        <v>2050</v>
      </c>
      <c r="D141" s="579"/>
      <c r="E141" s="1300"/>
      <c r="F141" s="581" t="s">
        <v>185</v>
      </c>
      <c r="G141" s="589"/>
      <c r="H141" s="157"/>
      <c r="I141" s="672"/>
      <c r="J141" s="157"/>
      <c r="K141" s="158"/>
      <c r="L141" s="510"/>
    </row>
    <row r="142" spans="1:12" ht="24">
      <c r="A142" s="564"/>
      <c r="B142" s="1299"/>
      <c r="C142" s="566" t="s">
        <v>2051</v>
      </c>
      <c r="D142" s="566"/>
      <c r="E142" s="1298"/>
      <c r="F142" s="568"/>
      <c r="G142" s="549"/>
      <c r="H142" s="161"/>
      <c r="I142" s="586"/>
      <c r="J142" s="161"/>
      <c r="K142" s="159"/>
      <c r="L142" s="510"/>
    </row>
    <row r="143" spans="1:12" ht="24">
      <c r="A143" s="564" t="s">
        <v>860</v>
      </c>
      <c r="B143" s="1297" t="s">
        <v>301</v>
      </c>
      <c r="C143" s="566" t="s">
        <v>2052</v>
      </c>
      <c r="D143" s="566"/>
      <c r="E143" s="1298"/>
      <c r="F143" s="568" t="s">
        <v>185</v>
      </c>
      <c r="G143" s="549"/>
      <c r="H143" s="161"/>
      <c r="I143" s="586"/>
      <c r="J143" s="161"/>
      <c r="K143" s="159"/>
      <c r="L143" s="510"/>
    </row>
    <row r="144" spans="1:12" ht="24">
      <c r="A144" s="587"/>
      <c r="B144" s="1299"/>
      <c r="C144" s="566" t="s">
        <v>2053</v>
      </c>
      <c r="D144" s="566"/>
      <c r="E144" s="1298"/>
      <c r="F144" s="568"/>
      <c r="G144" s="549"/>
      <c r="H144" s="161"/>
      <c r="I144" s="586"/>
      <c r="J144" s="161"/>
      <c r="K144" s="159"/>
      <c r="L144" s="510"/>
    </row>
    <row r="145" spans="1:12" ht="24">
      <c r="A145" s="564" t="s">
        <v>863</v>
      </c>
      <c r="B145" s="1301" t="s">
        <v>302</v>
      </c>
      <c r="C145" s="566" t="s">
        <v>2052</v>
      </c>
      <c r="D145" s="566"/>
      <c r="E145" s="1298"/>
      <c r="F145" s="568" t="s">
        <v>185</v>
      </c>
      <c r="G145" s="549"/>
      <c r="H145" s="161"/>
      <c r="I145" s="586"/>
      <c r="J145" s="161"/>
      <c r="K145" s="159"/>
      <c r="L145" s="520"/>
    </row>
    <row r="146" spans="1:12" ht="24">
      <c r="A146" s="564"/>
      <c r="B146" s="1299"/>
      <c r="C146" s="566" t="s">
        <v>2054</v>
      </c>
      <c r="D146" s="566"/>
      <c r="E146" s="1298"/>
      <c r="F146" s="568"/>
      <c r="G146" s="549"/>
      <c r="H146" s="161"/>
      <c r="I146" s="586"/>
      <c r="J146" s="161"/>
      <c r="K146" s="159"/>
      <c r="L146" s="510"/>
    </row>
    <row r="147" spans="1:12" ht="24">
      <c r="A147" s="564" t="s">
        <v>866</v>
      </c>
      <c r="B147" s="1297" t="s">
        <v>303</v>
      </c>
      <c r="C147" s="566" t="s">
        <v>2055</v>
      </c>
      <c r="D147" s="566"/>
      <c r="E147" s="1298"/>
      <c r="F147" s="568" t="s">
        <v>185</v>
      </c>
      <c r="G147" s="549"/>
      <c r="H147" s="161"/>
      <c r="I147" s="586"/>
      <c r="J147" s="161"/>
      <c r="K147" s="159"/>
      <c r="L147" s="510"/>
    </row>
    <row r="148" spans="1:12" ht="24">
      <c r="A148" s="587"/>
      <c r="B148" s="1299"/>
      <c r="C148" s="566" t="s">
        <v>2056</v>
      </c>
      <c r="D148" s="566"/>
      <c r="E148" s="1298"/>
      <c r="F148" s="568"/>
      <c r="G148" s="549"/>
      <c r="H148" s="161"/>
      <c r="I148" s="586"/>
      <c r="J148" s="161"/>
      <c r="K148" s="159"/>
      <c r="L148" s="510"/>
    </row>
    <row r="149" spans="1:12" ht="24">
      <c r="A149" s="1302" t="s">
        <v>868</v>
      </c>
      <c r="B149" s="1297" t="s">
        <v>869</v>
      </c>
      <c r="C149" s="566" t="s">
        <v>2055</v>
      </c>
      <c r="D149" s="566"/>
      <c r="E149" s="1298"/>
      <c r="F149" s="568" t="s">
        <v>185</v>
      </c>
      <c r="G149" s="549"/>
      <c r="H149" s="161"/>
      <c r="I149" s="586"/>
      <c r="J149" s="161"/>
      <c r="K149" s="159"/>
      <c r="L149" s="510"/>
    </row>
    <row r="150" spans="1:12" ht="24">
      <c r="A150" s="592"/>
      <c r="B150" s="1299"/>
      <c r="C150" s="566" t="s">
        <v>2057</v>
      </c>
      <c r="D150" s="566"/>
      <c r="E150" s="1298"/>
      <c r="F150" s="568"/>
      <c r="G150" s="549"/>
      <c r="H150" s="161"/>
      <c r="I150" s="549"/>
      <c r="J150" s="161"/>
      <c r="K150" s="159"/>
      <c r="L150" s="510"/>
    </row>
    <row r="151" spans="1:12" ht="24">
      <c r="A151" s="564" t="s">
        <v>872</v>
      </c>
      <c r="B151" s="1297" t="s">
        <v>873</v>
      </c>
      <c r="C151" s="579" t="s">
        <v>2058</v>
      </c>
      <c r="D151" s="579"/>
      <c r="E151" s="1300"/>
      <c r="F151" s="581" t="s">
        <v>185</v>
      </c>
      <c r="G151" s="589"/>
      <c r="H151" s="157"/>
      <c r="I151" s="672"/>
      <c r="J151" s="157"/>
      <c r="K151" s="158"/>
      <c r="L151" s="510"/>
    </row>
    <row r="152" spans="1:12" ht="24">
      <c r="A152" s="564"/>
      <c r="B152" s="1299"/>
      <c r="C152" s="566" t="s">
        <v>2059</v>
      </c>
      <c r="D152" s="566"/>
      <c r="E152" s="1298"/>
      <c r="F152" s="568"/>
      <c r="G152" s="549"/>
      <c r="H152" s="161"/>
      <c r="I152" s="586"/>
      <c r="J152" s="161"/>
      <c r="K152" s="159"/>
      <c r="L152" s="510"/>
    </row>
    <row r="153" spans="1:12" ht="24">
      <c r="A153" s="564" t="s">
        <v>875</v>
      </c>
      <c r="B153" s="1297" t="s">
        <v>2060</v>
      </c>
      <c r="C153" s="566" t="s">
        <v>2052</v>
      </c>
      <c r="D153" s="566"/>
      <c r="E153" s="1298"/>
      <c r="F153" s="568" t="s">
        <v>185</v>
      </c>
      <c r="G153" s="549"/>
      <c r="H153" s="161"/>
      <c r="I153" s="586"/>
      <c r="J153" s="161"/>
      <c r="K153" s="159"/>
      <c r="L153" s="510"/>
    </row>
    <row r="154" spans="1:12" ht="24">
      <c r="A154" s="587"/>
      <c r="B154" s="1299"/>
      <c r="C154" s="566" t="s">
        <v>2061</v>
      </c>
      <c r="D154" s="566"/>
      <c r="E154" s="1298"/>
      <c r="F154" s="568"/>
      <c r="G154" s="549"/>
      <c r="H154" s="161"/>
      <c r="I154" s="549"/>
      <c r="J154" s="161"/>
      <c r="K154" s="159"/>
      <c r="L154" s="510"/>
    </row>
    <row r="155" spans="1:12" ht="24">
      <c r="A155" s="1302" t="s">
        <v>877</v>
      </c>
      <c r="B155" s="1301" t="s">
        <v>2062</v>
      </c>
      <c r="C155" s="566" t="s">
        <v>2052</v>
      </c>
      <c r="D155" s="579"/>
      <c r="E155" s="1300"/>
      <c r="F155" s="581" t="s">
        <v>185</v>
      </c>
      <c r="G155" s="549"/>
      <c r="H155" s="161"/>
      <c r="I155" s="586"/>
      <c r="J155" s="161"/>
      <c r="K155" s="159"/>
      <c r="L155" s="510"/>
    </row>
    <row r="156" spans="1:12" ht="24">
      <c r="A156" s="1303"/>
      <c r="B156" s="1304"/>
      <c r="C156" s="573" t="s">
        <v>2063</v>
      </c>
      <c r="D156" s="573"/>
      <c r="E156" s="1305"/>
      <c r="F156" s="575"/>
      <c r="G156" s="588"/>
      <c r="H156" s="533"/>
      <c r="I156" s="677"/>
      <c r="J156" s="533"/>
      <c r="K156" s="534"/>
      <c r="L156" s="577"/>
    </row>
    <row r="157" spans="1:12" ht="24">
      <c r="A157" s="1302" t="s">
        <v>880</v>
      </c>
      <c r="B157" s="1297" t="s">
        <v>186</v>
      </c>
      <c r="C157" s="566" t="s">
        <v>2064</v>
      </c>
      <c r="D157" s="566"/>
      <c r="E157" s="1298"/>
      <c r="F157" s="568" t="s">
        <v>185</v>
      </c>
      <c r="G157" s="549"/>
      <c r="H157" s="161"/>
      <c r="I157" s="586"/>
      <c r="J157" s="161"/>
      <c r="K157" s="159"/>
      <c r="L157" s="520"/>
    </row>
    <row r="158" spans="1:12" ht="24">
      <c r="A158" s="1302"/>
      <c r="B158" s="1299"/>
      <c r="C158" s="566" t="s">
        <v>2065</v>
      </c>
      <c r="D158" s="566"/>
      <c r="E158" s="1298"/>
      <c r="F158" s="568"/>
      <c r="G158" s="549"/>
      <c r="H158" s="161"/>
      <c r="I158" s="586"/>
      <c r="J158" s="161"/>
      <c r="K158" s="159"/>
      <c r="L158" s="510"/>
    </row>
    <row r="159" spans="1:12" ht="24">
      <c r="A159" s="1302" t="s">
        <v>882</v>
      </c>
      <c r="B159" s="1297" t="s">
        <v>187</v>
      </c>
      <c r="C159" s="566" t="s">
        <v>2066</v>
      </c>
      <c r="D159" s="566"/>
      <c r="E159" s="1300"/>
      <c r="F159" s="581" t="s">
        <v>185</v>
      </c>
      <c r="G159" s="589"/>
      <c r="H159" s="161"/>
      <c r="I159" s="672"/>
      <c r="J159" s="161"/>
      <c r="K159" s="159"/>
      <c r="L159" s="510"/>
    </row>
    <row r="160" spans="1:12" ht="24">
      <c r="A160" s="1302"/>
      <c r="B160" s="1299"/>
      <c r="C160" s="566" t="s">
        <v>2067</v>
      </c>
      <c r="D160" s="566"/>
      <c r="E160" s="1298"/>
      <c r="F160" s="568"/>
      <c r="G160" s="549"/>
      <c r="H160" s="161"/>
      <c r="I160" s="586"/>
      <c r="J160" s="161"/>
      <c r="K160" s="159"/>
      <c r="L160" s="510"/>
    </row>
    <row r="161" spans="1:12" ht="24">
      <c r="A161" s="1302" t="s">
        <v>885</v>
      </c>
      <c r="B161" s="1297" t="s">
        <v>892</v>
      </c>
      <c r="C161" s="566" t="s">
        <v>2068</v>
      </c>
      <c r="D161" s="566"/>
      <c r="E161" s="1298"/>
      <c r="F161" s="568" t="s">
        <v>185</v>
      </c>
      <c r="G161" s="549"/>
      <c r="H161" s="161"/>
      <c r="I161" s="586"/>
      <c r="J161" s="161"/>
      <c r="K161" s="159"/>
      <c r="L161" s="510"/>
    </row>
    <row r="162" spans="1:12" ht="24">
      <c r="A162" s="1302"/>
      <c r="B162" s="1306"/>
      <c r="C162" s="566" t="s">
        <v>2069</v>
      </c>
      <c r="D162" s="1307"/>
      <c r="E162" s="1298"/>
      <c r="F162" s="568"/>
      <c r="G162" s="549"/>
      <c r="H162" s="161"/>
      <c r="I162" s="586"/>
      <c r="J162" s="161"/>
      <c r="K162" s="159"/>
      <c r="L162" s="510"/>
    </row>
    <row r="163" spans="1:12" ht="24">
      <c r="A163" s="1302" t="s">
        <v>888</v>
      </c>
      <c r="B163" s="1297">
        <v>1</v>
      </c>
      <c r="C163" s="566" t="s">
        <v>2070</v>
      </c>
      <c r="D163" s="566"/>
      <c r="E163" s="1298"/>
      <c r="F163" s="568" t="s">
        <v>185</v>
      </c>
      <c r="G163" s="549"/>
      <c r="H163" s="161"/>
      <c r="I163" s="586"/>
      <c r="J163" s="161"/>
      <c r="K163" s="159"/>
      <c r="L163" s="510"/>
    </row>
    <row r="164" spans="1:12" ht="24">
      <c r="A164" s="1302"/>
      <c r="B164" s="1299"/>
      <c r="C164" s="566" t="s">
        <v>2071</v>
      </c>
      <c r="D164" s="566"/>
      <c r="E164" s="1296"/>
      <c r="F164" s="568"/>
      <c r="G164" s="549"/>
      <c r="H164" s="161"/>
      <c r="I164" s="586"/>
      <c r="J164" s="161"/>
      <c r="K164" s="159"/>
      <c r="L164" s="510"/>
    </row>
    <row r="165" spans="1:12" ht="24">
      <c r="A165" s="1302"/>
      <c r="B165" s="1308"/>
      <c r="C165" s="1309" t="s">
        <v>2072</v>
      </c>
      <c r="D165" s="594"/>
      <c r="E165" s="1310"/>
      <c r="F165" s="568"/>
      <c r="G165" s="549"/>
      <c r="H165" s="161"/>
      <c r="I165" s="586"/>
      <c r="J165" s="161"/>
      <c r="K165" s="159"/>
      <c r="L165" s="510"/>
    </row>
    <row r="166" spans="1:12" ht="24">
      <c r="A166" s="1302" t="s">
        <v>891</v>
      </c>
      <c r="B166" s="1311">
        <v>2</v>
      </c>
      <c r="C166" s="566" t="s">
        <v>2073</v>
      </c>
      <c r="D166" s="594"/>
      <c r="E166" s="1312"/>
      <c r="F166" s="568" t="s">
        <v>185</v>
      </c>
      <c r="G166" s="549"/>
      <c r="H166" s="161"/>
      <c r="I166" s="586"/>
      <c r="J166" s="161"/>
      <c r="K166" s="159"/>
      <c r="L166" s="510"/>
    </row>
    <row r="167" spans="1:12" ht="24">
      <c r="A167" s="1302"/>
      <c r="B167" s="1308"/>
      <c r="C167" s="566" t="s">
        <v>2074</v>
      </c>
      <c r="D167" s="594"/>
      <c r="E167" s="1312"/>
      <c r="F167" s="616"/>
      <c r="G167" s="629"/>
      <c r="H167" s="1108"/>
      <c r="I167" s="665"/>
      <c r="J167" s="1108"/>
      <c r="K167" s="1107"/>
      <c r="L167" s="591"/>
    </row>
    <row r="168" spans="1:12" ht="24">
      <c r="A168" s="1302"/>
      <c r="B168" s="1308"/>
      <c r="C168" s="566" t="s">
        <v>2075</v>
      </c>
      <c r="D168" s="594"/>
      <c r="E168" s="1312"/>
      <c r="F168" s="616"/>
      <c r="G168" s="629"/>
      <c r="H168" s="1108"/>
      <c r="I168" s="665"/>
      <c r="J168" s="1108"/>
      <c r="K168" s="1107"/>
      <c r="L168" s="591"/>
    </row>
    <row r="169" spans="1:12" ht="24">
      <c r="A169" s="592" t="s">
        <v>895</v>
      </c>
      <c r="B169" s="1311">
        <v>3</v>
      </c>
      <c r="C169" s="566" t="s">
        <v>2076</v>
      </c>
      <c r="D169" s="594"/>
      <c r="E169" s="1312"/>
      <c r="F169" s="568" t="s">
        <v>185</v>
      </c>
      <c r="G169" s="549"/>
      <c r="H169" s="161"/>
      <c r="I169" s="586"/>
      <c r="J169" s="161"/>
      <c r="K169" s="159"/>
      <c r="L169" s="591"/>
    </row>
    <row r="170" spans="1:12" ht="24">
      <c r="A170" s="592"/>
      <c r="B170" s="1313"/>
      <c r="C170" s="566" t="s">
        <v>2077</v>
      </c>
      <c r="D170" s="566"/>
      <c r="E170" s="1314"/>
      <c r="F170" s="568"/>
      <c r="G170" s="549"/>
      <c r="H170" s="161"/>
      <c r="I170" s="586"/>
      <c r="J170" s="161"/>
      <c r="K170" s="159"/>
      <c r="L170" s="591"/>
    </row>
    <row r="171" spans="1:12" ht="24">
      <c r="A171" s="592" t="s">
        <v>898</v>
      </c>
      <c r="B171" s="1313">
        <v>4</v>
      </c>
      <c r="C171" s="566" t="s">
        <v>2078</v>
      </c>
      <c r="D171" s="566"/>
      <c r="E171" s="1314"/>
      <c r="F171" s="568" t="s">
        <v>185</v>
      </c>
      <c r="G171" s="549"/>
      <c r="H171" s="161"/>
      <c r="I171" s="586"/>
      <c r="J171" s="161"/>
      <c r="K171" s="159"/>
      <c r="L171" s="591"/>
    </row>
    <row r="172" spans="1:12" ht="24">
      <c r="A172" s="592"/>
      <c r="B172" s="1313"/>
      <c r="C172" s="566" t="s">
        <v>2079</v>
      </c>
      <c r="D172" s="566"/>
      <c r="E172" s="1314"/>
      <c r="F172" s="568"/>
      <c r="G172" s="549"/>
      <c r="H172" s="161"/>
      <c r="I172" s="586"/>
      <c r="J172" s="161"/>
      <c r="K172" s="159"/>
      <c r="L172" s="510"/>
    </row>
    <row r="173" spans="1:12" ht="24">
      <c r="A173" s="592" t="s">
        <v>901</v>
      </c>
      <c r="B173" s="1313" t="s">
        <v>384</v>
      </c>
      <c r="C173" s="566" t="s">
        <v>2070</v>
      </c>
      <c r="D173" s="566"/>
      <c r="E173" s="1314"/>
      <c r="F173" s="568" t="s">
        <v>185</v>
      </c>
      <c r="G173" s="549"/>
      <c r="H173" s="161"/>
      <c r="I173" s="586"/>
      <c r="J173" s="161"/>
      <c r="K173" s="159"/>
      <c r="L173" s="510"/>
    </row>
    <row r="174" spans="1:12" ht="24">
      <c r="A174" s="1302"/>
      <c r="B174" s="1313"/>
      <c r="C174" s="566" t="s">
        <v>2080</v>
      </c>
      <c r="D174" s="566"/>
      <c r="E174" s="1314"/>
      <c r="F174" s="568"/>
      <c r="G174" s="549"/>
      <c r="H174" s="161"/>
      <c r="I174" s="586"/>
      <c r="J174" s="161"/>
      <c r="K174" s="159"/>
      <c r="L174" s="510"/>
    </row>
    <row r="175" spans="1:12" ht="24">
      <c r="A175" s="592"/>
      <c r="B175" s="1313"/>
      <c r="C175" s="1309" t="s">
        <v>2081</v>
      </c>
      <c r="D175" s="566"/>
      <c r="E175" s="1314"/>
      <c r="F175" s="568"/>
      <c r="G175" s="549"/>
      <c r="H175" s="161"/>
      <c r="I175" s="586"/>
      <c r="J175" s="161"/>
      <c r="K175" s="159"/>
      <c r="L175" s="510"/>
    </row>
    <row r="176" spans="1:12" ht="24">
      <c r="A176" s="592" t="s">
        <v>904</v>
      </c>
      <c r="B176" s="1315" t="s">
        <v>313</v>
      </c>
      <c r="C176" s="579" t="s">
        <v>2076</v>
      </c>
      <c r="D176" s="579"/>
      <c r="E176" s="1316"/>
      <c r="F176" s="568" t="s">
        <v>185</v>
      </c>
      <c r="G176" s="549"/>
      <c r="H176" s="161"/>
      <c r="I176" s="586"/>
      <c r="J176" s="161"/>
      <c r="K176" s="159"/>
      <c r="L176" s="510"/>
    </row>
    <row r="177" spans="1:12" ht="24">
      <c r="A177" s="1303"/>
      <c r="B177" s="1317"/>
      <c r="C177" s="573" t="s">
        <v>2082</v>
      </c>
      <c r="D177" s="573"/>
      <c r="E177" s="1318"/>
      <c r="F177" s="575"/>
      <c r="G177" s="588"/>
      <c r="H177" s="533"/>
      <c r="I177" s="677"/>
      <c r="J177" s="533"/>
      <c r="K177" s="534"/>
      <c r="L177" s="577"/>
    </row>
    <row r="178" spans="1:12" ht="24.75" thickBot="1">
      <c r="A178" s="596"/>
      <c r="B178" s="597"/>
      <c r="C178" s="598"/>
      <c r="D178" s="599"/>
      <c r="E178" s="1319"/>
      <c r="F178" s="601"/>
      <c r="G178" s="602"/>
      <c r="H178" s="603"/>
      <c r="I178" s="604"/>
      <c r="J178" s="603"/>
      <c r="K178" s="605"/>
      <c r="L178" s="606"/>
    </row>
    <row r="179" spans="1:12" ht="24.75" thickTop="1">
      <c r="A179" s="607"/>
      <c r="B179" s="2121" t="s">
        <v>952</v>
      </c>
      <c r="C179" s="2122"/>
      <c r="D179" s="2123"/>
      <c r="E179" s="1141"/>
      <c r="F179" s="609"/>
      <c r="G179" s="610"/>
      <c r="H179" s="518"/>
      <c r="I179" s="611"/>
      <c r="J179" s="518"/>
      <c r="K179" s="506"/>
      <c r="L179" s="74"/>
    </row>
    <row r="180" spans="1:12" ht="24">
      <c r="A180" s="612">
        <v>2.7</v>
      </c>
      <c r="B180" s="613" t="s">
        <v>953</v>
      </c>
      <c r="C180" s="614"/>
      <c r="D180" s="615"/>
      <c r="E180" s="1296"/>
      <c r="F180" s="616"/>
      <c r="G180" s="629"/>
      <c r="H180" s="161"/>
      <c r="I180" s="665"/>
      <c r="J180" s="161"/>
      <c r="K180" s="159"/>
      <c r="L180" s="510"/>
    </row>
    <row r="181" spans="1:12" ht="24">
      <c r="A181" s="621" t="s">
        <v>954</v>
      </c>
      <c r="B181" s="622" t="s">
        <v>2083</v>
      </c>
      <c r="C181" s="615"/>
      <c r="D181" s="615"/>
      <c r="E181" s="1320"/>
      <c r="F181" s="1321" t="s">
        <v>956</v>
      </c>
      <c r="G181" s="629"/>
      <c r="H181" s="161"/>
      <c r="I181" s="665"/>
      <c r="J181" s="161"/>
      <c r="K181" s="159"/>
      <c r="L181" s="510"/>
    </row>
    <row r="182" spans="1:12" ht="24">
      <c r="A182" s="627"/>
      <c r="B182" s="624" t="s">
        <v>1006</v>
      </c>
      <c r="C182" s="1322" t="s">
        <v>2084</v>
      </c>
      <c r="D182" s="1323"/>
      <c r="E182" s="1298"/>
      <c r="F182" s="568" t="s">
        <v>185</v>
      </c>
      <c r="G182" s="549"/>
      <c r="H182" s="161"/>
      <c r="I182" s="586"/>
      <c r="J182" s="161"/>
      <c r="K182" s="159"/>
      <c r="L182" s="510"/>
    </row>
    <row r="183" spans="1:12" ht="24">
      <c r="A183" s="627"/>
      <c r="B183" s="624" t="s">
        <v>1006</v>
      </c>
      <c r="C183" s="1322" t="s">
        <v>2085</v>
      </c>
      <c r="D183" s="1323"/>
      <c r="E183" s="1298"/>
      <c r="F183" s="568" t="s">
        <v>185</v>
      </c>
      <c r="G183" s="549"/>
      <c r="H183" s="161"/>
      <c r="I183" s="586"/>
      <c r="J183" s="161"/>
      <c r="K183" s="159"/>
      <c r="L183" s="510"/>
    </row>
    <row r="184" spans="1:12" ht="24">
      <c r="A184" s="627"/>
      <c r="B184" s="624" t="s">
        <v>1006</v>
      </c>
      <c r="C184" s="1322" t="s">
        <v>2086</v>
      </c>
      <c r="D184" s="1323"/>
      <c r="E184" s="1298"/>
      <c r="F184" s="568" t="s">
        <v>185</v>
      </c>
      <c r="G184" s="549"/>
      <c r="H184" s="161"/>
      <c r="I184" s="586"/>
      <c r="J184" s="161"/>
      <c r="K184" s="159"/>
      <c r="L184" s="510"/>
    </row>
    <row r="185" spans="1:12" ht="24">
      <c r="A185" s="628"/>
      <c r="B185" s="1324" t="s">
        <v>1006</v>
      </c>
      <c r="C185" s="1322" t="s">
        <v>2087</v>
      </c>
      <c r="D185" s="1323"/>
      <c r="E185" s="1298"/>
      <c r="F185" s="616" t="s">
        <v>185</v>
      </c>
      <c r="G185" s="629"/>
      <c r="H185" s="161"/>
      <c r="I185" s="665"/>
      <c r="J185" s="161"/>
      <c r="K185" s="159"/>
      <c r="L185" s="510"/>
    </row>
    <row r="186" spans="1:12" ht="24">
      <c r="A186" s="628"/>
      <c r="B186" s="624" t="s">
        <v>1006</v>
      </c>
      <c r="C186" s="1322" t="s">
        <v>2088</v>
      </c>
      <c r="D186" s="1323"/>
      <c r="E186" s="1298"/>
      <c r="F186" s="568" t="s">
        <v>185</v>
      </c>
      <c r="G186" s="549"/>
      <c r="H186" s="161"/>
      <c r="I186" s="586"/>
      <c r="J186" s="161"/>
      <c r="K186" s="159"/>
      <c r="L186" s="510"/>
    </row>
    <row r="187" spans="1:12" ht="24">
      <c r="A187" s="628"/>
      <c r="B187" s="1324" t="s">
        <v>1006</v>
      </c>
      <c r="C187" s="1322" t="s">
        <v>2089</v>
      </c>
      <c r="D187" s="1322"/>
      <c r="E187" s="1298"/>
      <c r="F187" s="616" t="s">
        <v>185</v>
      </c>
      <c r="G187" s="629"/>
      <c r="H187" s="161"/>
      <c r="I187" s="665"/>
      <c r="J187" s="161"/>
      <c r="K187" s="159"/>
      <c r="L187" s="510"/>
    </row>
    <row r="188" spans="1:12" ht="24">
      <c r="A188" s="628"/>
      <c r="B188" s="1324" t="s">
        <v>1006</v>
      </c>
      <c r="C188" s="1322" t="s">
        <v>2090</v>
      </c>
      <c r="D188" s="1322"/>
      <c r="E188" s="1298"/>
      <c r="F188" s="616" t="s">
        <v>185</v>
      </c>
      <c r="G188" s="629"/>
      <c r="H188" s="161"/>
      <c r="I188" s="665"/>
      <c r="J188" s="161"/>
      <c r="K188" s="159"/>
      <c r="L188" s="510"/>
    </row>
    <row r="189" spans="1:12" ht="24">
      <c r="A189" s="630"/>
      <c r="B189" s="624" t="s">
        <v>1006</v>
      </c>
      <c r="C189" s="1322" t="s">
        <v>2091</v>
      </c>
      <c r="D189" s="1322"/>
      <c r="E189" s="1298"/>
      <c r="F189" s="568" t="s">
        <v>185</v>
      </c>
      <c r="G189" s="549"/>
      <c r="H189" s="161"/>
      <c r="I189" s="586"/>
      <c r="J189" s="161"/>
      <c r="K189" s="159"/>
      <c r="L189" s="510"/>
    </row>
    <row r="190" spans="1:12" ht="24">
      <c r="A190" s="630"/>
      <c r="B190" s="624" t="s">
        <v>1006</v>
      </c>
      <c r="C190" s="1322" t="s">
        <v>2092</v>
      </c>
      <c r="D190" s="1322"/>
      <c r="E190" s="1298"/>
      <c r="F190" s="568" t="s">
        <v>185</v>
      </c>
      <c r="G190" s="549"/>
      <c r="H190" s="161"/>
      <c r="I190" s="586"/>
      <c r="J190" s="161"/>
      <c r="K190" s="159"/>
      <c r="L190" s="510"/>
    </row>
    <row r="191" spans="1:12" ht="24">
      <c r="A191" s="630"/>
      <c r="B191" s="1325" t="s">
        <v>1006</v>
      </c>
      <c r="C191" s="1326" t="s">
        <v>2093</v>
      </c>
      <c r="D191" s="1326"/>
      <c r="E191" s="1300"/>
      <c r="F191" s="674" t="s">
        <v>185</v>
      </c>
      <c r="G191" s="631"/>
      <c r="H191" s="157"/>
      <c r="I191" s="1327"/>
      <c r="J191" s="161"/>
      <c r="K191" s="159"/>
      <c r="L191" s="510"/>
    </row>
    <row r="192" spans="1:12" ht="24">
      <c r="A192" s="628"/>
      <c r="B192" s="1324" t="s">
        <v>1006</v>
      </c>
      <c r="C192" s="1322" t="s">
        <v>2094</v>
      </c>
      <c r="D192" s="1322"/>
      <c r="E192" s="1298"/>
      <c r="F192" s="616" t="s">
        <v>185</v>
      </c>
      <c r="G192" s="629"/>
      <c r="H192" s="161"/>
      <c r="I192" s="665"/>
      <c r="J192" s="161"/>
      <c r="K192" s="159"/>
      <c r="L192" s="510"/>
    </row>
    <row r="193" spans="1:12" ht="24">
      <c r="A193" s="628"/>
      <c r="B193" s="624" t="s">
        <v>1006</v>
      </c>
      <c r="C193" s="1322" t="s">
        <v>2095</v>
      </c>
      <c r="D193" s="1322"/>
      <c r="E193" s="1298"/>
      <c r="F193" s="568" t="s">
        <v>185</v>
      </c>
      <c r="G193" s="549"/>
      <c r="H193" s="161"/>
      <c r="I193" s="586"/>
      <c r="J193" s="161"/>
      <c r="K193" s="159"/>
      <c r="L193" s="510"/>
    </row>
    <row r="194" spans="1:12" ht="24">
      <c r="A194" s="632"/>
      <c r="B194" s="624" t="s">
        <v>1006</v>
      </c>
      <c r="C194" s="1322" t="s">
        <v>2096</v>
      </c>
      <c r="D194" s="1322"/>
      <c r="E194" s="1298"/>
      <c r="F194" s="568" t="s">
        <v>185</v>
      </c>
      <c r="G194" s="549"/>
      <c r="H194" s="161"/>
      <c r="I194" s="586"/>
      <c r="J194" s="161"/>
      <c r="K194" s="159"/>
      <c r="L194" s="510"/>
    </row>
    <row r="195" spans="1:12" ht="24">
      <c r="A195" s="633"/>
      <c r="B195" s="624" t="s">
        <v>1006</v>
      </c>
      <c r="C195" s="1322" t="s">
        <v>2097</v>
      </c>
      <c r="D195" s="1322"/>
      <c r="E195" s="1298"/>
      <c r="F195" s="568" t="s">
        <v>185</v>
      </c>
      <c r="G195" s="549"/>
      <c r="H195" s="161"/>
      <c r="I195" s="586"/>
      <c r="J195" s="161"/>
      <c r="K195" s="159"/>
      <c r="L195" s="510"/>
    </row>
    <row r="196" spans="1:12" ht="24">
      <c r="A196" s="632"/>
      <c r="B196" s="624" t="s">
        <v>1006</v>
      </c>
      <c r="C196" s="1322" t="s">
        <v>2098</v>
      </c>
      <c r="D196" s="1322"/>
      <c r="E196" s="1298"/>
      <c r="F196" s="568" t="s">
        <v>185</v>
      </c>
      <c r="G196" s="549"/>
      <c r="H196" s="161"/>
      <c r="I196" s="586"/>
      <c r="J196" s="161"/>
      <c r="K196" s="159"/>
      <c r="L196" s="510"/>
    </row>
    <row r="197" spans="1:12" ht="24">
      <c r="A197" s="638"/>
      <c r="B197" s="639" t="s">
        <v>1006</v>
      </c>
      <c r="C197" s="1326" t="s">
        <v>2099</v>
      </c>
      <c r="D197" s="1326"/>
      <c r="E197" s="1300"/>
      <c r="F197" s="581" t="s">
        <v>185</v>
      </c>
      <c r="G197" s="589"/>
      <c r="H197" s="157"/>
      <c r="I197" s="672"/>
      <c r="J197" s="157"/>
      <c r="K197" s="158"/>
      <c r="L197" s="520"/>
    </row>
    <row r="198" spans="1:12" ht="24">
      <c r="A198" s="634"/>
      <c r="B198" s="635" t="s">
        <v>1006</v>
      </c>
      <c r="C198" s="1328" t="s">
        <v>2100</v>
      </c>
      <c r="D198" s="1328"/>
      <c r="E198" s="1305"/>
      <c r="F198" s="575" t="s">
        <v>185</v>
      </c>
      <c r="G198" s="588"/>
      <c r="H198" s="533"/>
      <c r="I198" s="677"/>
      <c r="J198" s="533"/>
      <c r="K198" s="534"/>
      <c r="L198" s="577"/>
    </row>
    <row r="199" spans="1:12" ht="24">
      <c r="A199" s="638"/>
      <c r="B199" s="1325" t="s">
        <v>1006</v>
      </c>
      <c r="C199" s="1326" t="s">
        <v>2101</v>
      </c>
      <c r="D199" s="1326"/>
      <c r="E199" s="1300"/>
      <c r="F199" s="674" t="s">
        <v>185</v>
      </c>
      <c r="G199" s="631"/>
      <c r="H199" s="157"/>
      <c r="I199" s="1327"/>
      <c r="J199" s="157"/>
      <c r="K199" s="158"/>
      <c r="L199" s="520"/>
    </row>
    <row r="200" spans="1:12" ht="24">
      <c r="A200" s="633"/>
      <c r="B200" s="1324" t="s">
        <v>1006</v>
      </c>
      <c r="C200" s="1322" t="s">
        <v>2102</v>
      </c>
      <c r="D200" s="1322"/>
      <c r="E200" s="1298"/>
      <c r="F200" s="568" t="s">
        <v>185</v>
      </c>
      <c r="G200" s="549"/>
      <c r="H200" s="161"/>
      <c r="I200" s="586"/>
      <c r="J200" s="161"/>
      <c r="K200" s="159"/>
      <c r="L200" s="510"/>
    </row>
    <row r="201" spans="1:12" ht="24">
      <c r="A201" s="632"/>
      <c r="B201" s="624" t="s">
        <v>1006</v>
      </c>
      <c r="C201" s="1322" t="s">
        <v>2103</v>
      </c>
      <c r="D201" s="1322"/>
      <c r="E201" s="1298"/>
      <c r="F201" s="568" t="s">
        <v>185</v>
      </c>
      <c r="G201" s="549"/>
      <c r="H201" s="161"/>
      <c r="I201" s="586"/>
      <c r="J201" s="161"/>
      <c r="K201" s="159"/>
      <c r="L201" s="510"/>
    </row>
    <row r="202" spans="1:12" ht="24">
      <c r="A202" s="642"/>
      <c r="B202" s="639" t="s">
        <v>1006</v>
      </c>
      <c r="C202" s="1326" t="s">
        <v>2104</v>
      </c>
      <c r="D202" s="1326"/>
      <c r="E202" s="1300"/>
      <c r="F202" s="581" t="s">
        <v>185</v>
      </c>
      <c r="G202" s="589"/>
      <c r="H202" s="157"/>
      <c r="I202" s="672"/>
      <c r="J202" s="157"/>
      <c r="K202" s="158"/>
      <c r="L202" s="520"/>
    </row>
    <row r="203" spans="1:12" ht="24">
      <c r="A203" s="638"/>
      <c r="B203" s="1325" t="s">
        <v>1006</v>
      </c>
      <c r="C203" s="1326" t="s">
        <v>2105</v>
      </c>
      <c r="D203" s="1326"/>
      <c r="E203" s="1300"/>
      <c r="F203" s="674" t="s">
        <v>185</v>
      </c>
      <c r="G203" s="631"/>
      <c r="H203" s="157"/>
      <c r="I203" s="1327"/>
      <c r="J203" s="157"/>
      <c r="K203" s="158"/>
      <c r="L203" s="520"/>
    </row>
    <row r="204" spans="1:12" ht="24">
      <c r="A204" s="633"/>
      <c r="B204" s="1324" t="s">
        <v>1006</v>
      </c>
      <c r="C204" s="1322" t="s">
        <v>2106</v>
      </c>
      <c r="D204" s="1322"/>
      <c r="E204" s="1298"/>
      <c r="F204" s="616" t="s">
        <v>185</v>
      </c>
      <c r="G204" s="629"/>
      <c r="H204" s="161"/>
      <c r="I204" s="665"/>
      <c r="J204" s="161"/>
      <c r="K204" s="159"/>
      <c r="L204" s="510"/>
    </row>
    <row r="205" spans="1:12" ht="24">
      <c r="A205" s="633"/>
      <c r="B205" s="1324" t="s">
        <v>1006</v>
      </c>
      <c r="C205" s="1322" t="s">
        <v>2107</v>
      </c>
      <c r="D205" s="1322"/>
      <c r="E205" s="1298"/>
      <c r="F205" s="616" t="s">
        <v>185</v>
      </c>
      <c r="G205" s="629"/>
      <c r="H205" s="161"/>
      <c r="I205" s="665"/>
      <c r="J205" s="161"/>
      <c r="K205" s="159"/>
      <c r="L205" s="510"/>
    </row>
    <row r="206" spans="1:12" ht="24">
      <c r="A206" s="633"/>
      <c r="B206" s="1324" t="s">
        <v>1006</v>
      </c>
      <c r="C206" s="1322" t="s">
        <v>2108</v>
      </c>
      <c r="D206" s="1322"/>
      <c r="E206" s="1298"/>
      <c r="F206" s="616" t="s">
        <v>185</v>
      </c>
      <c r="G206" s="629"/>
      <c r="H206" s="161"/>
      <c r="I206" s="665"/>
      <c r="J206" s="161"/>
      <c r="K206" s="159"/>
      <c r="L206" s="510"/>
    </row>
    <row r="207" spans="1:12" ht="24">
      <c r="A207" s="633"/>
      <c r="B207" s="1324" t="s">
        <v>1006</v>
      </c>
      <c r="C207" s="1322" t="s">
        <v>2109</v>
      </c>
      <c r="D207" s="1322"/>
      <c r="E207" s="1298"/>
      <c r="F207" s="616" t="s">
        <v>185</v>
      </c>
      <c r="G207" s="629"/>
      <c r="H207" s="161"/>
      <c r="I207" s="665"/>
      <c r="J207" s="161"/>
      <c r="K207" s="159"/>
      <c r="L207" s="510"/>
    </row>
    <row r="208" spans="1:12" ht="24">
      <c r="A208" s="633"/>
      <c r="B208" s="1324" t="s">
        <v>1006</v>
      </c>
      <c r="C208" s="1322" t="s">
        <v>2110</v>
      </c>
      <c r="D208" s="1322"/>
      <c r="E208" s="1298"/>
      <c r="F208" s="616" t="s">
        <v>185</v>
      </c>
      <c r="G208" s="629"/>
      <c r="H208" s="161"/>
      <c r="I208" s="665"/>
      <c r="J208" s="161"/>
      <c r="K208" s="159"/>
      <c r="L208" s="510"/>
    </row>
    <row r="209" spans="1:12" ht="24">
      <c r="A209" s="633"/>
      <c r="B209" s="1324" t="s">
        <v>1006</v>
      </c>
      <c r="C209" s="1322" t="s">
        <v>2111</v>
      </c>
      <c r="D209" s="1322"/>
      <c r="E209" s="1298"/>
      <c r="F209" s="616" t="s">
        <v>185</v>
      </c>
      <c r="G209" s="629"/>
      <c r="H209" s="161"/>
      <c r="I209" s="665"/>
      <c r="J209" s="161"/>
      <c r="K209" s="159"/>
      <c r="L209" s="510"/>
    </row>
    <row r="210" spans="1:12" ht="24">
      <c r="A210" s="633"/>
      <c r="B210" s="1324" t="s">
        <v>1006</v>
      </c>
      <c r="C210" s="1322" t="s">
        <v>2112</v>
      </c>
      <c r="D210" s="1322"/>
      <c r="E210" s="1298"/>
      <c r="F210" s="616" t="s">
        <v>185</v>
      </c>
      <c r="G210" s="629"/>
      <c r="H210" s="161"/>
      <c r="I210" s="665"/>
      <c r="J210" s="161"/>
      <c r="K210" s="159"/>
      <c r="L210" s="591"/>
    </row>
    <row r="211" spans="1:12" ht="24">
      <c r="A211" s="633"/>
      <c r="B211" s="1324" t="s">
        <v>1006</v>
      </c>
      <c r="C211" s="1329" t="s">
        <v>2113</v>
      </c>
      <c r="D211" s="1329"/>
      <c r="E211" s="1330"/>
      <c r="F211" s="616" t="s">
        <v>185</v>
      </c>
      <c r="G211" s="629"/>
      <c r="H211" s="161"/>
      <c r="I211" s="665"/>
      <c r="J211" s="161"/>
      <c r="K211" s="159"/>
      <c r="L211" s="591"/>
    </row>
    <row r="212" spans="1:12" ht="24">
      <c r="A212" s="633"/>
      <c r="B212" s="1324" t="s">
        <v>1006</v>
      </c>
      <c r="C212" s="1329" t="s">
        <v>2114</v>
      </c>
      <c r="D212" s="1329"/>
      <c r="E212" s="1330"/>
      <c r="F212" s="616" t="s">
        <v>185</v>
      </c>
      <c r="G212" s="629"/>
      <c r="H212" s="161"/>
      <c r="I212" s="665"/>
      <c r="J212" s="161"/>
      <c r="K212" s="159"/>
      <c r="L212" s="591"/>
    </row>
    <row r="213" spans="1:12" ht="24">
      <c r="A213" s="633"/>
      <c r="B213" s="1324" t="s">
        <v>1006</v>
      </c>
      <c r="C213" s="1329" t="s">
        <v>2115</v>
      </c>
      <c r="D213" s="1329"/>
      <c r="E213" s="1330"/>
      <c r="F213" s="616" t="s">
        <v>185</v>
      </c>
      <c r="G213" s="629"/>
      <c r="H213" s="1108"/>
      <c r="I213" s="665"/>
      <c r="J213" s="1108"/>
      <c r="K213" s="1107"/>
      <c r="L213" s="591"/>
    </row>
    <row r="214" spans="1:12" ht="24">
      <c r="A214" s="633"/>
      <c r="B214" s="1324" t="s">
        <v>1006</v>
      </c>
      <c r="C214" s="222" t="s">
        <v>2116</v>
      </c>
      <c r="D214" s="1329"/>
      <c r="E214" s="1298"/>
      <c r="F214" s="616" t="s">
        <v>185</v>
      </c>
      <c r="G214" s="629"/>
      <c r="H214" s="161"/>
      <c r="I214" s="665"/>
      <c r="J214" s="161"/>
      <c r="K214" s="159"/>
      <c r="L214" s="591"/>
    </row>
    <row r="215" spans="1:12" ht="24">
      <c r="A215" s="633"/>
      <c r="B215" s="1324" t="s">
        <v>1006</v>
      </c>
      <c r="C215" s="222" t="s">
        <v>2117</v>
      </c>
      <c r="D215" s="1329"/>
      <c r="E215" s="1298"/>
      <c r="F215" s="616" t="s">
        <v>185</v>
      </c>
      <c r="G215" s="629"/>
      <c r="H215" s="161"/>
      <c r="I215" s="665"/>
      <c r="J215" s="161"/>
      <c r="K215" s="159"/>
      <c r="L215" s="591"/>
    </row>
    <row r="216" spans="1:12" ht="24">
      <c r="A216" s="633"/>
      <c r="B216" s="1324" t="s">
        <v>1006</v>
      </c>
      <c r="C216" s="1322" t="s">
        <v>2118</v>
      </c>
      <c r="D216" s="1322"/>
      <c r="E216" s="1298"/>
      <c r="F216" s="616" t="s">
        <v>185</v>
      </c>
      <c r="G216" s="629"/>
      <c r="H216" s="161"/>
      <c r="I216" s="665"/>
      <c r="J216" s="161"/>
      <c r="K216" s="159"/>
      <c r="L216" s="591"/>
    </row>
    <row r="217" spans="1:12" ht="24">
      <c r="A217" s="632"/>
      <c r="B217" s="624"/>
      <c r="C217" s="1322"/>
      <c r="D217" s="1322"/>
      <c r="E217" s="1296"/>
      <c r="F217" s="568"/>
      <c r="G217" s="549"/>
      <c r="H217" s="161"/>
      <c r="I217" s="586"/>
      <c r="J217" s="161"/>
      <c r="K217" s="159"/>
      <c r="L217" s="510"/>
    </row>
    <row r="218" spans="1:12" ht="24">
      <c r="A218" s="645"/>
      <c r="B218" s="646"/>
      <c r="C218" s="647"/>
      <c r="D218" s="647"/>
      <c r="E218" s="1331"/>
      <c r="F218" s="649"/>
      <c r="G218" s="650"/>
      <c r="H218" s="651"/>
      <c r="I218" s="652"/>
      <c r="J218" s="651"/>
      <c r="K218" s="653"/>
      <c r="L218" s="654"/>
    </row>
    <row r="219" spans="1:12" ht="24">
      <c r="A219" s="655"/>
      <c r="B219" s="2192" t="s">
        <v>1002</v>
      </c>
      <c r="C219" s="2193"/>
      <c r="D219" s="2194"/>
      <c r="E219" s="1332"/>
      <c r="F219" s="657"/>
      <c r="G219" s="658"/>
      <c r="H219" s="1333"/>
      <c r="I219" s="660"/>
      <c r="J219" s="1333"/>
      <c r="K219" s="659"/>
      <c r="L219" s="661"/>
    </row>
    <row r="220" spans="1:12" ht="24">
      <c r="A220" s="612">
        <v>2.8</v>
      </c>
      <c r="B220" s="662" t="s">
        <v>2119</v>
      </c>
      <c r="C220" s="663"/>
      <c r="D220" s="663"/>
      <c r="E220" s="1298"/>
      <c r="F220" s="616"/>
      <c r="G220" s="629"/>
      <c r="H220" s="161"/>
      <c r="I220" s="665"/>
      <c r="J220" s="161"/>
      <c r="K220" s="159"/>
      <c r="L220" s="510"/>
    </row>
    <row r="221" spans="1:12" ht="24">
      <c r="A221" s="628" t="s">
        <v>1004</v>
      </c>
      <c r="B221" s="1334" t="s">
        <v>243</v>
      </c>
      <c r="C221" s="663" t="s">
        <v>2120</v>
      </c>
      <c r="D221" s="663"/>
      <c r="E221" s="1298"/>
      <c r="F221" s="616"/>
      <c r="G221" s="549"/>
      <c r="H221" s="161"/>
      <c r="I221" s="586"/>
      <c r="J221" s="161"/>
      <c r="K221" s="159"/>
      <c r="L221" s="510"/>
    </row>
    <row r="222" spans="1:12" ht="24">
      <c r="A222" s="668"/>
      <c r="B222" s="624" t="s">
        <v>1006</v>
      </c>
      <c r="C222" s="667" t="s">
        <v>2121</v>
      </c>
      <c r="D222" s="667"/>
      <c r="E222" s="1298"/>
      <c r="F222" s="568" t="s">
        <v>183</v>
      </c>
      <c r="G222" s="156"/>
      <c r="H222" s="157"/>
      <c r="I222" s="156"/>
      <c r="J222" s="161"/>
      <c r="K222" s="159"/>
      <c r="L222" s="510"/>
    </row>
    <row r="223" spans="1:12" ht="24">
      <c r="A223" s="668"/>
      <c r="B223" s="624" t="s">
        <v>1006</v>
      </c>
      <c r="C223" s="667" t="s">
        <v>1008</v>
      </c>
      <c r="D223" s="667"/>
      <c r="E223" s="1298"/>
      <c r="F223" s="568" t="s">
        <v>183</v>
      </c>
      <c r="G223" s="156"/>
      <c r="H223" s="161"/>
      <c r="I223" s="156"/>
      <c r="J223" s="161"/>
      <c r="K223" s="159"/>
      <c r="L223" s="510"/>
    </row>
    <row r="224" spans="1:12" ht="24">
      <c r="A224" s="669"/>
      <c r="B224" s="624" t="s">
        <v>1006</v>
      </c>
      <c r="C224" s="667" t="s">
        <v>2122</v>
      </c>
      <c r="D224" s="667"/>
      <c r="E224" s="1298"/>
      <c r="F224" s="581" t="s">
        <v>184</v>
      </c>
      <c r="G224" s="589"/>
      <c r="H224" s="157"/>
      <c r="I224" s="672"/>
      <c r="J224" s="161"/>
      <c r="K224" s="159"/>
      <c r="L224" s="520"/>
    </row>
    <row r="225" spans="1:12" ht="24">
      <c r="A225" s="669"/>
      <c r="B225" s="639" t="s">
        <v>1006</v>
      </c>
      <c r="C225" s="670" t="s">
        <v>2123</v>
      </c>
      <c r="D225" s="670"/>
      <c r="E225" s="1300"/>
      <c r="F225" s="616" t="s">
        <v>184</v>
      </c>
      <c r="G225" s="549"/>
      <c r="H225" s="161"/>
      <c r="I225" s="549"/>
      <c r="J225" s="161"/>
      <c r="K225" s="159"/>
      <c r="L225" s="510"/>
    </row>
    <row r="226" spans="1:12" ht="24">
      <c r="A226" s="628" t="s">
        <v>1012</v>
      </c>
      <c r="B226" s="1334" t="s">
        <v>1013</v>
      </c>
      <c r="C226" s="1335" t="s">
        <v>2124</v>
      </c>
      <c r="D226" s="667"/>
      <c r="E226" s="1298"/>
      <c r="F226" s="616"/>
      <c r="G226" s="549"/>
      <c r="H226" s="161"/>
      <c r="I226" s="586"/>
      <c r="J226" s="161"/>
      <c r="K226" s="159"/>
      <c r="L226" s="510"/>
    </row>
    <row r="227" spans="1:12" ht="24">
      <c r="A227" s="628"/>
      <c r="B227" s="624" t="s">
        <v>1006</v>
      </c>
      <c r="C227" s="667" t="s">
        <v>2121</v>
      </c>
      <c r="D227" s="667"/>
      <c r="E227" s="1298"/>
      <c r="F227" s="568" t="s">
        <v>183</v>
      </c>
      <c r="G227" s="156"/>
      <c r="H227" s="157"/>
      <c r="I227" s="156"/>
      <c r="J227" s="161"/>
      <c r="K227" s="159"/>
      <c r="L227" s="510"/>
    </row>
    <row r="228" spans="1:12" ht="24">
      <c r="A228" s="668"/>
      <c r="B228" s="624" t="s">
        <v>1006</v>
      </c>
      <c r="C228" s="667" t="s">
        <v>2125</v>
      </c>
      <c r="D228" s="667"/>
      <c r="E228" s="1298"/>
      <c r="F228" s="568" t="s">
        <v>184</v>
      </c>
      <c r="G228" s="549"/>
      <c r="H228" s="161"/>
      <c r="I228" s="672"/>
      <c r="J228" s="161"/>
      <c r="K228" s="159"/>
      <c r="L228" s="510"/>
    </row>
    <row r="229" spans="1:12" ht="24">
      <c r="A229" s="669"/>
      <c r="B229" s="639" t="s">
        <v>1006</v>
      </c>
      <c r="C229" s="670" t="s">
        <v>2126</v>
      </c>
      <c r="D229" s="670"/>
      <c r="E229" s="1300"/>
      <c r="F229" s="581" t="s">
        <v>184</v>
      </c>
      <c r="G229" s="549"/>
      <c r="H229" s="161"/>
      <c r="I229" s="549"/>
      <c r="J229" s="161"/>
      <c r="K229" s="159"/>
      <c r="L229" s="520"/>
    </row>
    <row r="230" spans="1:12" ht="24">
      <c r="A230" s="630" t="s">
        <v>1017</v>
      </c>
      <c r="B230" s="1336" t="s">
        <v>1018</v>
      </c>
      <c r="C230" s="1335" t="s">
        <v>2127</v>
      </c>
      <c r="D230" s="670"/>
      <c r="E230" s="1300"/>
      <c r="F230" s="674"/>
      <c r="G230" s="549"/>
      <c r="H230" s="161"/>
      <c r="I230" s="586"/>
      <c r="J230" s="157"/>
      <c r="K230" s="158"/>
      <c r="L230" s="520"/>
    </row>
    <row r="231" spans="1:12" ht="24">
      <c r="A231" s="668"/>
      <c r="B231" s="624" t="s">
        <v>1006</v>
      </c>
      <c r="C231" s="667" t="s">
        <v>2121</v>
      </c>
      <c r="D231" s="667"/>
      <c r="E231" s="1298"/>
      <c r="F231" s="568" t="s">
        <v>183</v>
      </c>
      <c r="G231" s="156"/>
      <c r="H231" s="157"/>
      <c r="I231" s="156"/>
      <c r="J231" s="161"/>
      <c r="K231" s="159"/>
      <c r="L231" s="510"/>
    </row>
    <row r="232" spans="1:12" ht="24">
      <c r="A232" s="630"/>
      <c r="B232" s="624" t="s">
        <v>1006</v>
      </c>
      <c r="C232" s="667" t="s">
        <v>2128</v>
      </c>
      <c r="D232" s="667"/>
      <c r="E232" s="1298"/>
      <c r="F232" s="568" t="s">
        <v>184</v>
      </c>
      <c r="G232" s="549"/>
      <c r="H232" s="161"/>
      <c r="I232" s="672"/>
      <c r="J232" s="161"/>
      <c r="K232" s="159"/>
      <c r="L232" s="510"/>
    </row>
    <row r="233" spans="1:12" ht="24">
      <c r="A233" s="630"/>
      <c r="B233" s="639" t="s">
        <v>1006</v>
      </c>
      <c r="C233" s="670" t="s">
        <v>2126</v>
      </c>
      <c r="D233" s="670"/>
      <c r="E233" s="1300"/>
      <c r="F233" s="616" t="s">
        <v>184</v>
      </c>
      <c r="G233" s="549"/>
      <c r="H233" s="161"/>
      <c r="I233" s="549"/>
      <c r="J233" s="161"/>
      <c r="K233" s="159"/>
      <c r="L233" s="510"/>
    </row>
    <row r="234" spans="1:12" ht="24">
      <c r="A234" s="630" t="s">
        <v>1020</v>
      </c>
      <c r="B234" s="1336" t="s">
        <v>250</v>
      </c>
      <c r="C234" s="1335" t="s">
        <v>2129</v>
      </c>
      <c r="D234" s="667"/>
      <c r="E234" s="1298"/>
      <c r="F234" s="616"/>
      <c r="G234" s="549"/>
      <c r="H234" s="161"/>
      <c r="I234" s="586"/>
      <c r="J234" s="161"/>
      <c r="K234" s="159"/>
      <c r="L234" s="510"/>
    </row>
    <row r="235" spans="1:12" ht="24">
      <c r="A235" s="668"/>
      <c r="B235" s="624" t="s">
        <v>1006</v>
      </c>
      <c r="C235" s="667" t="s">
        <v>2130</v>
      </c>
      <c r="D235" s="667"/>
      <c r="E235" s="1298"/>
      <c r="F235" s="568" t="s">
        <v>183</v>
      </c>
      <c r="G235" s="156"/>
      <c r="H235" s="157"/>
      <c r="I235" s="156"/>
      <c r="J235" s="161"/>
      <c r="K235" s="159"/>
      <c r="L235" s="510"/>
    </row>
    <row r="236" spans="1:12" ht="24">
      <c r="A236" s="630"/>
      <c r="B236" s="624" t="s">
        <v>1006</v>
      </c>
      <c r="C236" s="667" t="s">
        <v>2122</v>
      </c>
      <c r="D236" s="667"/>
      <c r="E236" s="1298"/>
      <c r="F236" s="568" t="s">
        <v>184</v>
      </c>
      <c r="G236" s="549"/>
      <c r="H236" s="161"/>
      <c r="I236" s="672"/>
      <c r="J236" s="161"/>
      <c r="K236" s="159"/>
      <c r="L236" s="520"/>
    </row>
    <row r="237" spans="1:12" ht="24">
      <c r="A237" s="630" t="s">
        <v>1022</v>
      </c>
      <c r="B237" s="1336" t="s">
        <v>251</v>
      </c>
      <c r="C237" s="1335" t="s">
        <v>1027</v>
      </c>
      <c r="D237" s="667"/>
      <c r="E237" s="1298"/>
      <c r="F237" s="616"/>
      <c r="G237" s="549"/>
      <c r="H237" s="161"/>
      <c r="I237" s="672"/>
      <c r="J237" s="161"/>
      <c r="K237" s="159"/>
      <c r="L237" s="520"/>
    </row>
    <row r="238" spans="1:12" ht="24">
      <c r="A238" s="630"/>
      <c r="B238" s="624" t="s">
        <v>1006</v>
      </c>
      <c r="C238" s="667" t="s">
        <v>2131</v>
      </c>
      <c r="D238" s="667"/>
      <c r="E238" s="1298"/>
      <c r="F238" s="616" t="s">
        <v>185</v>
      </c>
      <c r="G238" s="549"/>
      <c r="H238" s="157"/>
      <c r="I238" s="156"/>
      <c r="J238" s="161"/>
      <c r="K238" s="159"/>
      <c r="L238" s="520"/>
    </row>
    <row r="239" spans="1:12" ht="24">
      <c r="A239" s="628"/>
      <c r="B239" s="624" t="s">
        <v>1006</v>
      </c>
      <c r="C239" s="667" t="s">
        <v>2132</v>
      </c>
      <c r="D239" s="667"/>
      <c r="E239" s="1298"/>
      <c r="F239" s="568" t="s">
        <v>185</v>
      </c>
      <c r="G239" s="549"/>
      <c r="H239" s="161"/>
      <c r="I239" s="160"/>
      <c r="J239" s="161"/>
      <c r="K239" s="159"/>
      <c r="L239" s="510"/>
    </row>
    <row r="240" spans="1:12" ht="24">
      <c r="A240" s="675"/>
      <c r="B240" s="635"/>
      <c r="C240" s="676"/>
      <c r="D240" s="676"/>
      <c r="E240" s="1305"/>
      <c r="F240" s="575"/>
      <c r="G240" s="588"/>
      <c r="H240" s="533"/>
      <c r="I240" s="532"/>
      <c r="J240" s="533"/>
      <c r="K240" s="534"/>
      <c r="L240" s="577"/>
    </row>
    <row r="241" spans="1:12" ht="24">
      <c r="A241" s="1337" t="s">
        <v>1024</v>
      </c>
      <c r="B241" s="1338" t="s">
        <v>2133</v>
      </c>
      <c r="C241" s="1335" t="s">
        <v>2134</v>
      </c>
      <c r="D241" s="671"/>
      <c r="E241" s="1339"/>
      <c r="F241" s="674"/>
      <c r="G241" s="589"/>
      <c r="H241" s="157"/>
      <c r="I241" s="678"/>
      <c r="J241" s="234"/>
      <c r="K241" s="232"/>
      <c r="L241" s="644"/>
    </row>
    <row r="242" spans="1:12" ht="24">
      <c r="A242" s="1340"/>
      <c r="B242" s="624" t="s">
        <v>1006</v>
      </c>
      <c r="C242" s="667" t="s">
        <v>2135</v>
      </c>
      <c r="D242" s="1341"/>
      <c r="E242" s="1330"/>
      <c r="F242" s="568" t="s">
        <v>183</v>
      </c>
      <c r="G242" s="156"/>
      <c r="H242" s="157"/>
      <c r="I242" s="156"/>
      <c r="J242" s="161"/>
      <c r="K242" s="159"/>
      <c r="L242" s="591"/>
    </row>
    <row r="243" spans="1:12" ht="24">
      <c r="A243" s="1340"/>
      <c r="B243" s="639" t="s">
        <v>1006</v>
      </c>
      <c r="C243" s="670" t="s">
        <v>2136</v>
      </c>
      <c r="D243" s="670"/>
      <c r="E243" s="1298"/>
      <c r="F243" s="568" t="s">
        <v>184</v>
      </c>
      <c r="G243" s="549"/>
      <c r="H243" s="161"/>
      <c r="I243" s="672"/>
      <c r="J243" s="161"/>
      <c r="K243" s="159"/>
      <c r="L243" s="591"/>
    </row>
    <row r="244" spans="1:12" ht="24">
      <c r="A244" s="1342" t="s">
        <v>1025</v>
      </c>
      <c r="B244" s="1338" t="s">
        <v>2133</v>
      </c>
      <c r="C244" s="1343" t="s">
        <v>2137</v>
      </c>
      <c r="D244" s="1344"/>
      <c r="E244" s="1330"/>
      <c r="F244" s="616"/>
      <c r="G244" s="549"/>
      <c r="H244" s="161"/>
      <c r="I244" s="1345"/>
      <c r="J244" s="1108"/>
      <c r="K244" s="1107"/>
      <c r="L244" s="591"/>
    </row>
    <row r="245" spans="1:12" ht="24">
      <c r="A245" s="1340"/>
      <c r="B245" s="624" t="s">
        <v>1006</v>
      </c>
      <c r="C245" s="667" t="s">
        <v>2130</v>
      </c>
      <c r="D245" s="667"/>
      <c r="E245" s="1298"/>
      <c r="F245" s="568" t="s">
        <v>183</v>
      </c>
      <c r="G245" s="156"/>
      <c r="H245" s="157"/>
      <c r="I245" s="156"/>
      <c r="J245" s="161"/>
      <c r="K245" s="159"/>
      <c r="L245" s="591"/>
    </row>
    <row r="246" spans="1:12" ht="24">
      <c r="A246" s="1340"/>
      <c r="B246" s="624" t="s">
        <v>1006</v>
      </c>
      <c r="C246" s="667" t="s">
        <v>2122</v>
      </c>
      <c r="D246" s="667"/>
      <c r="E246" s="1298"/>
      <c r="F246" s="568" t="s">
        <v>184</v>
      </c>
      <c r="G246" s="549"/>
      <c r="H246" s="161"/>
      <c r="I246" s="672"/>
      <c r="J246" s="161"/>
      <c r="K246" s="159"/>
      <c r="L246" s="591"/>
    </row>
    <row r="247" spans="1:12" ht="24.75" thickBot="1">
      <c r="A247" s="682"/>
      <c r="B247" s="683"/>
      <c r="C247" s="684"/>
      <c r="D247" s="684"/>
      <c r="E247" s="1346"/>
      <c r="F247" s="601"/>
      <c r="G247" s="602"/>
      <c r="H247" s="603"/>
      <c r="I247" s="602"/>
      <c r="J247" s="603"/>
      <c r="K247" s="605"/>
      <c r="L247" s="606"/>
    </row>
    <row r="248" spans="1:12" ht="24.75" thickTop="1">
      <c r="A248" s="686"/>
      <c r="B248" s="2121" t="s">
        <v>1044</v>
      </c>
      <c r="C248" s="2122"/>
      <c r="D248" s="2123"/>
      <c r="E248" s="1347"/>
      <c r="F248" s="609"/>
      <c r="G248" s="610"/>
      <c r="H248" s="688"/>
      <c r="I248" s="689"/>
      <c r="J248" s="688"/>
      <c r="K248" s="690"/>
      <c r="L248" s="691"/>
    </row>
    <row r="249" spans="1:12" ht="24">
      <c r="A249" s="692">
        <v>2.9</v>
      </c>
      <c r="B249" s="693" t="s">
        <v>715</v>
      </c>
      <c r="C249" s="694"/>
      <c r="D249" s="694"/>
      <c r="E249" s="1300"/>
      <c r="F249" s="695"/>
      <c r="G249" s="696"/>
      <c r="H249" s="157"/>
      <c r="I249" s="589"/>
      <c r="J249" s="157"/>
      <c r="K249" s="158"/>
      <c r="L249" s="520"/>
    </row>
    <row r="250" spans="1:12" ht="24">
      <c r="A250" s="623" t="s">
        <v>1045</v>
      </c>
      <c r="B250" s="697" t="s">
        <v>2138</v>
      </c>
      <c r="C250" s="566"/>
      <c r="D250" s="566"/>
      <c r="E250" s="1298"/>
      <c r="F250" s="616" t="s">
        <v>183</v>
      </c>
      <c r="G250" s="629"/>
      <c r="H250" s="161"/>
      <c r="I250" s="665"/>
      <c r="J250" s="161"/>
      <c r="K250" s="159"/>
      <c r="L250" s="510" t="s">
        <v>755</v>
      </c>
    </row>
    <row r="251" spans="1:12" ht="24">
      <c r="A251" s="623"/>
      <c r="B251" s="697" t="s">
        <v>2139</v>
      </c>
      <c r="C251" s="566"/>
      <c r="D251" s="566"/>
      <c r="E251" s="1298"/>
      <c r="F251" s="616"/>
      <c r="G251" s="629"/>
      <c r="H251" s="161"/>
      <c r="I251" s="665"/>
      <c r="J251" s="161"/>
      <c r="K251" s="159"/>
      <c r="L251" s="510"/>
    </row>
    <row r="252" spans="1:12" ht="24">
      <c r="A252" s="623" t="s">
        <v>1050</v>
      </c>
      <c r="B252" s="697" t="s">
        <v>2140</v>
      </c>
      <c r="C252" s="566"/>
      <c r="D252" s="566"/>
      <c r="E252" s="1298"/>
      <c r="F252" s="616" t="s">
        <v>184</v>
      </c>
      <c r="G252" s="629"/>
      <c r="H252" s="161"/>
      <c r="I252" s="665"/>
      <c r="J252" s="161"/>
      <c r="K252" s="159"/>
      <c r="L252" s="510"/>
    </row>
    <row r="253" spans="1:12" ht="24">
      <c r="A253" s="623" t="s">
        <v>1052</v>
      </c>
      <c r="B253" s="697" t="s">
        <v>2141</v>
      </c>
      <c r="C253" s="566"/>
      <c r="D253" s="566"/>
      <c r="E253" s="1298"/>
      <c r="F253" s="616" t="s">
        <v>183</v>
      </c>
      <c r="G253" s="629"/>
      <c r="H253" s="161"/>
      <c r="I253" s="665"/>
      <c r="J253" s="161"/>
      <c r="K253" s="159"/>
      <c r="L253" s="510" t="s">
        <v>755</v>
      </c>
    </row>
    <row r="254" spans="1:12" ht="24">
      <c r="A254" s="623"/>
      <c r="B254" s="702" t="s">
        <v>2142</v>
      </c>
      <c r="C254" s="566"/>
      <c r="D254" s="566"/>
      <c r="E254" s="1348"/>
      <c r="F254" s="616"/>
      <c r="G254" s="629"/>
      <c r="H254" s="699"/>
      <c r="I254" s="665"/>
      <c r="J254" s="699"/>
      <c r="K254" s="194"/>
      <c r="L254" s="700"/>
    </row>
    <row r="255" spans="1:12" ht="24">
      <c r="A255" s="623" t="s">
        <v>1054</v>
      </c>
      <c r="B255" s="702" t="s">
        <v>2143</v>
      </c>
      <c r="C255" s="566"/>
      <c r="D255" s="566"/>
      <c r="E255" s="1348"/>
      <c r="F255" s="616" t="s">
        <v>183</v>
      </c>
      <c r="G255" s="629"/>
      <c r="H255" s="699"/>
      <c r="I255" s="665"/>
      <c r="J255" s="699"/>
      <c r="K255" s="194"/>
      <c r="L255" s="700" t="s">
        <v>755</v>
      </c>
    </row>
    <row r="256" spans="1:12" ht="24">
      <c r="A256" s="623"/>
      <c r="B256" s="702" t="s">
        <v>1047</v>
      </c>
      <c r="C256" s="566"/>
      <c r="D256" s="566"/>
      <c r="E256" s="1348"/>
      <c r="F256" s="616"/>
      <c r="G256" s="629"/>
      <c r="H256" s="699"/>
      <c r="I256" s="1349"/>
      <c r="J256" s="699"/>
      <c r="K256" s="194"/>
      <c r="L256" s="700"/>
    </row>
    <row r="257" spans="1:12" ht="24">
      <c r="A257" s="623" t="s">
        <v>1057</v>
      </c>
      <c r="B257" s="697" t="s">
        <v>2144</v>
      </c>
      <c r="C257" s="566"/>
      <c r="D257" s="566"/>
      <c r="E257" s="1348"/>
      <c r="F257" s="568" t="s">
        <v>183</v>
      </c>
      <c r="G257" s="629"/>
      <c r="H257" s="699"/>
      <c r="I257" s="665"/>
      <c r="J257" s="699"/>
      <c r="K257" s="194"/>
      <c r="L257" s="700" t="s">
        <v>755</v>
      </c>
    </row>
    <row r="258" spans="1:12" ht="24">
      <c r="A258" s="623"/>
      <c r="B258" s="697" t="s">
        <v>1047</v>
      </c>
      <c r="C258" s="566"/>
      <c r="D258" s="566"/>
      <c r="E258" s="1348"/>
      <c r="F258" s="568"/>
      <c r="G258" s="549"/>
      <c r="H258" s="699"/>
      <c r="I258" s="549"/>
      <c r="J258" s="699"/>
      <c r="K258" s="194"/>
      <c r="L258" s="700"/>
    </row>
    <row r="259" spans="1:12" ht="24">
      <c r="A259" s="623" t="s">
        <v>1060</v>
      </c>
      <c r="B259" s="697" t="s">
        <v>2145</v>
      </c>
      <c r="C259" s="566"/>
      <c r="D259" s="566"/>
      <c r="E259" s="1298"/>
      <c r="F259" s="568" t="s">
        <v>184</v>
      </c>
      <c r="G259" s="549"/>
      <c r="H259" s="161"/>
      <c r="I259" s="549"/>
      <c r="J259" s="161"/>
      <c r="K259" s="159"/>
      <c r="L259" s="510"/>
    </row>
    <row r="260" spans="1:12" ht="24">
      <c r="A260" s="709" t="s">
        <v>1062</v>
      </c>
      <c r="B260" s="710" t="s">
        <v>2146</v>
      </c>
      <c r="C260" s="594"/>
      <c r="D260" s="594"/>
      <c r="E260" s="1330"/>
      <c r="F260" s="616" t="s">
        <v>1059</v>
      </c>
      <c r="G260" s="629"/>
      <c r="H260" s="161"/>
      <c r="I260" s="629"/>
      <c r="J260" s="161"/>
      <c r="K260" s="159"/>
      <c r="L260" s="591"/>
    </row>
    <row r="261" spans="1:12" ht="24">
      <c r="A261" s="713"/>
      <c r="B261" s="1350"/>
      <c r="C261" s="573"/>
      <c r="D261" s="573"/>
      <c r="E261" s="1305"/>
      <c r="F261" s="575"/>
      <c r="G261" s="588"/>
      <c r="H261" s="533"/>
      <c r="I261" s="588"/>
      <c r="J261" s="533"/>
      <c r="K261" s="534"/>
      <c r="L261" s="577"/>
    </row>
    <row r="262" spans="1:12" ht="24">
      <c r="A262" s="1351" t="s">
        <v>1064</v>
      </c>
      <c r="B262" s="1352" t="s">
        <v>2147</v>
      </c>
      <c r="C262" s="1353"/>
      <c r="D262" s="1353"/>
      <c r="E262" s="1354"/>
      <c r="F262" s="1355"/>
      <c r="G262" s="617"/>
      <c r="H262" s="1356"/>
      <c r="I262" s="617"/>
      <c r="J262" s="1356"/>
      <c r="K262" s="1357"/>
      <c r="L262" s="1358"/>
    </row>
    <row r="263" spans="1:12" ht="24">
      <c r="A263" s="1359"/>
      <c r="B263" s="697" t="s">
        <v>1047</v>
      </c>
      <c r="C263" s="1360"/>
      <c r="D263" s="1360"/>
      <c r="E263" s="1361"/>
      <c r="F263" s="674"/>
      <c r="G263" s="631"/>
      <c r="H263" s="550"/>
      <c r="I263" s="1362"/>
      <c r="J263" s="550"/>
      <c r="K263" s="220"/>
      <c r="L263" s="1363" t="s">
        <v>755</v>
      </c>
    </row>
    <row r="264" spans="1:12" ht="24">
      <c r="A264" s="709"/>
      <c r="B264" s="710" t="s">
        <v>2148</v>
      </c>
      <c r="C264" s="594"/>
      <c r="D264" s="594"/>
      <c r="E264" s="1364"/>
      <c r="F264" s="616" t="s">
        <v>183</v>
      </c>
      <c r="G264" s="629"/>
      <c r="H264" s="699"/>
      <c r="I264" s="665"/>
      <c r="J264" s="699"/>
      <c r="K264" s="194"/>
      <c r="L264" s="1365"/>
    </row>
    <row r="265" spans="1:12" ht="24">
      <c r="A265" s="709"/>
      <c r="B265" s="710" t="s">
        <v>2149</v>
      </c>
      <c r="C265" s="594"/>
      <c r="D265" s="594"/>
      <c r="E265" s="1364"/>
      <c r="F265" s="616" t="s">
        <v>183</v>
      </c>
      <c r="G265" s="629"/>
      <c r="H265" s="699"/>
      <c r="I265" s="665"/>
      <c r="J265" s="699"/>
      <c r="K265" s="194"/>
      <c r="L265" s="1365"/>
    </row>
    <row r="266" spans="1:12" ht="24">
      <c r="A266" s="709"/>
      <c r="B266" s="710" t="s">
        <v>2150</v>
      </c>
      <c r="C266" s="594"/>
      <c r="D266" s="594"/>
      <c r="E266" s="1364"/>
      <c r="F266" s="616" t="s">
        <v>183</v>
      </c>
      <c r="G266" s="629"/>
      <c r="H266" s="699"/>
      <c r="I266" s="665"/>
      <c r="J266" s="699"/>
      <c r="K266" s="194"/>
      <c r="L266" s="1365"/>
    </row>
    <row r="267" spans="1:12" ht="24">
      <c r="A267" s="709" t="s">
        <v>1066</v>
      </c>
      <c r="B267" s="710" t="s">
        <v>2151</v>
      </c>
      <c r="C267" s="594"/>
      <c r="D267" s="594"/>
      <c r="E267" s="1330"/>
      <c r="F267" s="616" t="s">
        <v>183</v>
      </c>
      <c r="G267" s="629"/>
      <c r="H267" s="161"/>
      <c r="I267" s="629"/>
      <c r="J267" s="161"/>
      <c r="K267" s="159"/>
      <c r="L267" s="591"/>
    </row>
    <row r="268" spans="1:12" ht="24">
      <c r="A268" s="709" t="s">
        <v>1068</v>
      </c>
      <c r="B268" s="710" t="s">
        <v>2152</v>
      </c>
      <c r="C268" s="594"/>
      <c r="D268" s="594"/>
      <c r="E268" s="1330"/>
      <c r="F268" s="616" t="s">
        <v>184</v>
      </c>
      <c r="G268" s="629"/>
      <c r="H268" s="161"/>
      <c r="I268" s="629"/>
      <c r="J268" s="161"/>
      <c r="K268" s="159"/>
      <c r="L268" s="591"/>
    </row>
    <row r="269" spans="1:12" ht="24">
      <c r="A269" s="709" t="s">
        <v>1070</v>
      </c>
      <c r="B269" s="697" t="s">
        <v>2153</v>
      </c>
      <c r="C269" s="566"/>
      <c r="D269" s="566"/>
      <c r="E269" s="1298"/>
      <c r="F269" s="568" t="s">
        <v>184</v>
      </c>
      <c r="G269" s="549"/>
      <c r="H269" s="161"/>
      <c r="I269" s="549"/>
      <c r="J269" s="161"/>
      <c r="K269" s="159"/>
      <c r="L269" s="591"/>
    </row>
    <row r="270" spans="1:12" ht="24">
      <c r="A270" s="709"/>
      <c r="B270" s="697" t="s">
        <v>2154</v>
      </c>
      <c r="C270" s="566"/>
      <c r="D270" s="566"/>
      <c r="E270" s="1298"/>
      <c r="F270" s="568"/>
      <c r="G270" s="549"/>
      <c r="H270" s="161"/>
      <c r="I270" s="549"/>
      <c r="J270" s="161"/>
      <c r="K270" s="159"/>
      <c r="L270" s="591"/>
    </row>
    <row r="271" spans="1:12" ht="24">
      <c r="A271" s="623" t="s">
        <v>1072</v>
      </c>
      <c r="B271" s="697" t="s">
        <v>2155</v>
      </c>
      <c r="C271" s="566"/>
      <c r="D271" s="566"/>
      <c r="E271" s="1298"/>
      <c r="F271" s="568" t="s">
        <v>183</v>
      </c>
      <c r="G271" s="549"/>
      <c r="H271" s="161"/>
      <c r="I271" s="549"/>
      <c r="J271" s="161"/>
      <c r="K271" s="159"/>
      <c r="L271" s="510"/>
    </row>
    <row r="272" spans="1:12" ht="24">
      <c r="A272" s="623" t="s">
        <v>1075</v>
      </c>
      <c r="B272" s="697" t="s">
        <v>2156</v>
      </c>
      <c r="C272" s="566"/>
      <c r="D272" s="566"/>
      <c r="E272" s="1298"/>
      <c r="F272" s="568" t="s">
        <v>183</v>
      </c>
      <c r="G272" s="549"/>
      <c r="H272" s="161"/>
      <c r="I272" s="549"/>
      <c r="J272" s="161"/>
      <c r="K272" s="159"/>
      <c r="L272" s="510" t="s">
        <v>2157</v>
      </c>
    </row>
    <row r="273" spans="1:12" ht="24">
      <c r="A273" s="623" t="s">
        <v>1076</v>
      </c>
      <c r="B273" s="697" t="s">
        <v>2158</v>
      </c>
      <c r="C273" s="566"/>
      <c r="D273" s="566"/>
      <c r="E273" s="1298"/>
      <c r="F273" s="568" t="s">
        <v>10</v>
      </c>
      <c r="G273" s="549"/>
      <c r="H273" s="161"/>
      <c r="I273" s="549"/>
      <c r="J273" s="161"/>
      <c r="K273" s="159"/>
      <c r="L273" s="510"/>
    </row>
    <row r="274" spans="1:12" ht="24">
      <c r="A274" s="627" t="s">
        <v>1079</v>
      </c>
      <c r="B274" s="702" t="s">
        <v>2159</v>
      </c>
      <c r="C274" s="579"/>
      <c r="D274" s="579"/>
      <c r="E274" s="1366"/>
      <c r="F274" s="568" t="s">
        <v>185</v>
      </c>
      <c r="G274" s="589"/>
      <c r="H274" s="161"/>
      <c r="I274" s="549"/>
      <c r="J274" s="161"/>
      <c r="K274" s="159"/>
      <c r="L274" s="510"/>
    </row>
    <row r="275" spans="1:12" ht="24">
      <c r="A275" s="623"/>
      <c r="B275" s="697"/>
      <c r="C275" s="566"/>
      <c r="D275" s="566"/>
      <c r="E275" s="1298"/>
      <c r="F275" s="568"/>
      <c r="G275" s="549"/>
      <c r="H275" s="161"/>
      <c r="I275" s="549"/>
      <c r="J275" s="161"/>
      <c r="K275" s="159"/>
      <c r="L275" s="510"/>
    </row>
    <row r="276" spans="1:12" ht="24">
      <c r="A276" s="623"/>
      <c r="B276" s="697"/>
      <c r="C276" s="566"/>
      <c r="D276" s="566"/>
      <c r="E276" s="1298"/>
      <c r="F276" s="568"/>
      <c r="G276" s="549"/>
      <c r="H276" s="161"/>
      <c r="I276" s="549"/>
      <c r="J276" s="161"/>
      <c r="K276" s="159"/>
      <c r="L276" s="510"/>
    </row>
    <row r="277" spans="1:12" ht="24">
      <c r="A277" s="623"/>
      <c r="B277" s="697"/>
      <c r="C277" s="566"/>
      <c r="D277" s="566"/>
      <c r="E277" s="1298"/>
      <c r="F277" s="568"/>
      <c r="G277" s="549"/>
      <c r="H277" s="161"/>
      <c r="I277" s="549"/>
      <c r="J277" s="161"/>
      <c r="K277" s="159"/>
      <c r="L277" s="510"/>
    </row>
    <row r="278" spans="1:12" ht="24">
      <c r="A278" s="623"/>
      <c r="B278" s="697"/>
      <c r="C278" s="566"/>
      <c r="D278" s="566"/>
      <c r="E278" s="1298"/>
      <c r="F278" s="568"/>
      <c r="G278" s="549"/>
      <c r="H278" s="161"/>
      <c r="I278" s="549"/>
      <c r="J278" s="161"/>
      <c r="K278" s="159"/>
      <c r="L278" s="510"/>
    </row>
    <row r="279" spans="1:12" ht="24">
      <c r="A279" s="623"/>
      <c r="B279" s="697"/>
      <c r="C279" s="566"/>
      <c r="D279" s="566"/>
      <c r="E279" s="1298"/>
      <c r="F279" s="568"/>
      <c r="G279" s="549"/>
      <c r="H279" s="161"/>
      <c r="I279" s="549"/>
      <c r="J279" s="161"/>
      <c r="K279" s="159"/>
      <c r="L279" s="510"/>
    </row>
    <row r="280" spans="1:12" ht="24">
      <c r="A280" s="623"/>
      <c r="B280" s="697"/>
      <c r="C280" s="566"/>
      <c r="D280" s="566"/>
      <c r="E280" s="1298"/>
      <c r="F280" s="568"/>
      <c r="G280" s="549"/>
      <c r="H280" s="161"/>
      <c r="I280" s="549"/>
      <c r="J280" s="161"/>
      <c r="K280" s="159"/>
      <c r="L280" s="510"/>
    </row>
    <row r="281" spans="1:12" ht="24.75" thickBot="1">
      <c r="A281" s="719"/>
      <c r="B281" s="720"/>
      <c r="C281" s="721"/>
      <c r="D281" s="722"/>
      <c r="E281" s="1367"/>
      <c r="F281" s="649"/>
      <c r="G281" s="650"/>
      <c r="H281" s="651"/>
      <c r="I281" s="650"/>
      <c r="J281" s="651"/>
      <c r="K281" s="653"/>
      <c r="L281" s="724"/>
    </row>
    <row r="282" spans="1:12" ht="24.75" thickTop="1">
      <c r="A282" s="686"/>
      <c r="B282" s="2121" t="s">
        <v>1088</v>
      </c>
      <c r="C282" s="2122"/>
      <c r="D282" s="2123"/>
      <c r="E282" s="1347"/>
      <c r="F282" s="609"/>
      <c r="G282" s="610"/>
      <c r="H282" s="688"/>
      <c r="I282" s="726"/>
      <c r="J282" s="688"/>
      <c r="K282" s="690"/>
      <c r="L282" s="1368"/>
    </row>
  </sheetData>
  <mergeCells count="25">
    <mergeCell ref="B75:D75"/>
    <mergeCell ref="K4:L4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1:D31"/>
    <mergeCell ref="B51:D51"/>
    <mergeCell ref="B52:D52"/>
    <mergeCell ref="B179:D179"/>
    <mergeCell ref="B219:D219"/>
    <mergeCell ref="B248:D248"/>
    <mergeCell ref="B282:D282"/>
    <mergeCell ref="B76:D76"/>
    <mergeCell ref="B93:D93"/>
    <mergeCell ref="B94:D94"/>
    <mergeCell ref="B114:D114"/>
    <mergeCell ref="B115:D115"/>
    <mergeCell ref="B135:D135"/>
  </mergeCells>
  <pageMargins left="0.31496062992125984" right="0.15748031496062992" top="0.31496062992125984" bottom="0.35433070866141736" header="0.27559055118110237" footer="0.15748031496062992"/>
  <pageSetup paperSize="9" scale="80" orientation="landscape" r:id="rId1"/>
  <headerFooter>
    <oddHeader xml:space="preserve">&amp;Rแผ่นที่ &amp;P ใน &amp;N แผ่น          </oddHeader>
    <oddFooter xml:space="preserve">&amp;Rงานสถาปัตยกรรม - อาคารส่วนกีฬาและสระว่ายน้ำ       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0"/>
  <sheetViews>
    <sheetView showGridLines="0" view="pageBreakPreview" topLeftCell="C136" zoomScaleNormal="90" zoomScaleSheetLayoutView="100" workbookViewId="0">
      <selection activeCell="F20" sqref="F20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49.42578125" style="361" customWidth="1"/>
    <col min="5" max="5" width="9.85546875" style="361" customWidth="1"/>
    <col min="6" max="6" width="8.14062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7.5703125" style="361" customWidth="1"/>
    <col min="13" max="13" width="9.140625" style="361"/>
    <col min="14" max="14" width="13.5703125" style="361" customWidth="1"/>
    <col min="15" max="16384" width="9.140625" style="36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1089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43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1.2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16.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732">
        <v>3</v>
      </c>
      <c r="B10" s="2118" t="s">
        <v>1091</v>
      </c>
      <c r="C10" s="2119"/>
      <c r="D10" s="2120"/>
      <c r="E10" s="733"/>
      <c r="F10" s="734"/>
      <c r="G10" s="735"/>
      <c r="H10" s="736"/>
      <c r="I10" s="735"/>
      <c r="J10" s="736"/>
      <c r="K10" s="737"/>
      <c r="L10" s="738"/>
    </row>
    <row r="11" spans="1:12" ht="24">
      <c r="A11" s="442">
        <f>A31</f>
        <v>3.1</v>
      </c>
      <c r="B11" s="483" t="str">
        <f>B31</f>
        <v>ระบบน้ำประปา (Cold Water Supply System)</v>
      </c>
      <c r="C11" s="1020"/>
      <c r="D11" s="409"/>
      <c r="E11" s="742"/>
      <c r="F11" s="742" t="s">
        <v>182</v>
      </c>
      <c r="G11" s="1001"/>
      <c r="H11" s="753"/>
      <c r="I11" s="754"/>
      <c r="J11" s="753"/>
      <c r="K11" s="758"/>
      <c r="L11" s="757"/>
    </row>
    <row r="12" spans="1:12" ht="24">
      <c r="A12" s="416">
        <f>A63</f>
        <v>3.2</v>
      </c>
      <c r="B12" s="471" t="str">
        <f>B63</f>
        <v>ระบบระบายน้ำโสโครก น้ำทิ้ง ระบายอากาศและท่อน้ำทิ้งจากห้องครัว</v>
      </c>
      <c r="C12" s="408"/>
      <c r="D12" s="409"/>
      <c r="E12" s="742"/>
      <c r="F12" s="742" t="s">
        <v>182</v>
      </c>
      <c r="G12" s="1001"/>
      <c r="H12" s="753"/>
      <c r="I12" s="754"/>
      <c r="J12" s="753"/>
      <c r="K12" s="758"/>
      <c r="L12" s="1369"/>
    </row>
    <row r="13" spans="1:12" ht="24">
      <c r="A13" s="416" t="str">
        <f>A82</f>
        <v>3.3</v>
      </c>
      <c r="B13" s="935" t="s">
        <v>1092</v>
      </c>
      <c r="C13" s="23"/>
      <c r="D13" s="280"/>
      <c r="E13" s="742"/>
      <c r="F13" s="742" t="s">
        <v>182</v>
      </c>
      <c r="G13" s="1001"/>
      <c r="H13" s="753"/>
      <c r="I13" s="754"/>
      <c r="J13" s="753"/>
      <c r="K13" s="758"/>
      <c r="L13" s="1369"/>
    </row>
    <row r="14" spans="1:12" ht="24">
      <c r="A14" s="416"/>
      <c r="B14" s="1370" t="s">
        <v>1093</v>
      </c>
      <c r="C14" s="128"/>
      <c r="D14" s="365"/>
      <c r="E14" s="742"/>
      <c r="F14" s="742"/>
      <c r="G14" s="1001"/>
      <c r="H14" s="753"/>
      <c r="I14" s="754"/>
      <c r="J14" s="753"/>
      <c r="K14" s="758"/>
      <c r="L14" s="1369"/>
    </row>
    <row r="15" spans="1:12" ht="24">
      <c r="A15" s="416">
        <f>A108</f>
        <v>3.4</v>
      </c>
      <c r="B15" s="471" t="str">
        <f>B108</f>
        <v>ระบบบำบัดน้ำเสีย (Waste Water Treatment)</v>
      </c>
      <c r="C15" s="408"/>
      <c r="D15" s="418"/>
      <c r="E15" s="742"/>
      <c r="F15" s="742" t="s">
        <v>182</v>
      </c>
      <c r="G15" s="1001"/>
      <c r="H15" s="753"/>
      <c r="I15" s="754"/>
      <c r="J15" s="753"/>
      <c r="K15" s="758"/>
      <c r="L15" s="1369"/>
    </row>
    <row r="16" spans="1:12" ht="24">
      <c r="A16" s="416">
        <f>A115</f>
        <v>3.5</v>
      </c>
      <c r="B16" s="471" t="str">
        <f>B115</f>
        <v>ระบบสระว่ายน้ำและสระน้ำ (Swimming Pool &amp; Spa System)</v>
      </c>
      <c r="C16" s="408"/>
      <c r="D16" s="418"/>
      <c r="E16" s="742"/>
      <c r="F16" s="742" t="s">
        <v>182</v>
      </c>
      <c r="G16" s="1001"/>
      <c r="H16" s="753"/>
      <c r="I16" s="754"/>
      <c r="J16" s="753"/>
      <c r="K16" s="758"/>
      <c r="L16" s="1369"/>
    </row>
    <row r="17" spans="1:14" ht="24">
      <c r="A17" s="416">
        <f>A177</f>
        <v>3.6</v>
      </c>
      <c r="B17" s="471" t="str">
        <f>B177</f>
        <v>ระบบดับเพลิง และป้องกันอัคคีภัย</v>
      </c>
      <c r="C17" s="408"/>
      <c r="D17" s="418"/>
      <c r="E17" s="742"/>
      <c r="F17" s="742" t="s">
        <v>182</v>
      </c>
      <c r="G17" s="1001"/>
      <c r="H17" s="753"/>
      <c r="I17" s="754"/>
      <c r="J17" s="753"/>
      <c r="K17" s="758"/>
      <c r="L17" s="1369"/>
    </row>
    <row r="18" spans="1:14" ht="24">
      <c r="A18" s="416" t="str">
        <f>A198</f>
        <v>3.7</v>
      </c>
      <c r="B18" s="471" t="str">
        <f>B198</f>
        <v>ระบบไฟฟ้าและควบคุม (Electrical &amp; Control System)</v>
      </c>
      <c r="C18" s="408"/>
      <c r="D18" s="418"/>
      <c r="E18" s="742"/>
      <c r="F18" s="742" t="s">
        <v>182</v>
      </c>
      <c r="G18" s="1001"/>
      <c r="H18" s="753"/>
      <c r="I18" s="745"/>
      <c r="J18" s="753"/>
      <c r="K18" s="758"/>
      <c r="L18" s="1369"/>
    </row>
    <row r="19" spans="1:14" ht="24">
      <c r="A19" s="416" t="str">
        <f>A254</f>
        <v>3.8</v>
      </c>
      <c r="B19" s="425" t="str">
        <f>B254</f>
        <v>ระบบป้องกันไฟและควันลาม (Fire Barrier System)</v>
      </c>
      <c r="C19" s="408"/>
      <c r="D19" s="418"/>
      <c r="E19" s="742"/>
      <c r="F19" s="742" t="s">
        <v>182</v>
      </c>
      <c r="G19" s="1001"/>
      <c r="H19" s="753"/>
      <c r="I19" s="745"/>
      <c r="J19" s="753"/>
      <c r="K19" s="758"/>
      <c r="L19" s="1369"/>
    </row>
    <row r="20" spans="1:14" ht="24">
      <c r="A20" s="755"/>
      <c r="B20" s="425"/>
      <c r="C20" s="408"/>
      <c r="D20" s="418"/>
      <c r="E20" s="757"/>
      <c r="F20" s="742"/>
      <c r="G20" s="1001"/>
      <c r="H20" s="753"/>
      <c r="I20" s="745"/>
      <c r="J20" s="753"/>
      <c r="K20" s="758"/>
      <c r="L20" s="1369"/>
    </row>
    <row r="21" spans="1:14" ht="24">
      <c r="A21" s="755"/>
      <c r="B21" s="425"/>
      <c r="C21" s="408"/>
      <c r="D21" s="418"/>
      <c r="E21" s="757"/>
      <c r="F21" s="742"/>
      <c r="G21" s="1001"/>
      <c r="H21" s="753"/>
      <c r="I21" s="745"/>
      <c r="J21" s="753"/>
      <c r="K21" s="758"/>
      <c r="L21" s="1369"/>
    </row>
    <row r="22" spans="1:14" ht="24">
      <c r="A22" s="416"/>
      <c r="B22" s="425"/>
      <c r="C22" s="408"/>
      <c r="D22" s="418"/>
      <c r="E22" s="757"/>
      <c r="F22" s="742"/>
      <c r="G22" s="1001"/>
      <c r="H22" s="753"/>
      <c r="I22" s="745"/>
      <c r="J22" s="753"/>
      <c r="K22" s="758"/>
      <c r="L22" s="1369"/>
    </row>
    <row r="23" spans="1:14" ht="24">
      <c r="A23" s="416"/>
      <c r="B23" s="425"/>
      <c r="C23" s="408"/>
      <c r="D23" s="418"/>
      <c r="E23" s="757"/>
      <c r="F23" s="742"/>
      <c r="G23" s="1001"/>
      <c r="H23" s="753"/>
      <c r="I23" s="745"/>
      <c r="J23" s="753"/>
      <c r="K23" s="758"/>
      <c r="L23" s="1369"/>
    </row>
    <row r="24" spans="1:14" ht="24">
      <c r="A24" s="416"/>
      <c r="B24" s="425"/>
      <c r="C24" s="408"/>
      <c r="D24" s="418"/>
      <c r="E24" s="757"/>
      <c r="F24" s="742"/>
      <c r="G24" s="1001"/>
      <c r="H24" s="753"/>
      <c r="I24" s="745"/>
      <c r="J24" s="753"/>
      <c r="K24" s="758"/>
      <c r="L24" s="1369"/>
    </row>
    <row r="25" spans="1:14" ht="24">
      <c r="A25" s="416"/>
      <c r="B25" s="425"/>
      <c r="C25" s="408"/>
      <c r="D25" s="418"/>
      <c r="E25" s="757"/>
      <c r="F25" s="742"/>
      <c r="G25" s="1001"/>
      <c r="H25" s="753"/>
      <c r="I25" s="745"/>
      <c r="J25" s="753"/>
      <c r="K25" s="758"/>
      <c r="L25" s="1369"/>
    </row>
    <row r="26" spans="1:14" ht="24">
      <c r="A26" s="416"/>
      <c r="B26" s="425"/>
      <c r="C26" s="408"/>
      <c r="D26" s="418"/>
      <c r="E26" s="757"/>
      <c r="F26" s="742"/>
      <c r="G26" s="1001"/>
      <c r="H26" s="753"/>
      <c r="I26" s="745"/>
      <c r="J26" s="753"/>
      <c r="K26" s="758"/>
      <c r="L26" s="1369"/>
    </row>
    <row r="27" spans="1:14" ht="24">
      <c r="A27" s="416"/>
      <c r="B27" s="425"/>
      <c r="C27" s="408"/>
      <c r="D27" s="418"/>
      <c r="E27" s="757"/>
      <c r="F27" s="742"/>
      <c r="G27" s="1001"/>
      <c r="H27" s="753"/>
      <c r="I27" s="745"/>
      <c r="J27" s="753"/>
      <c r="K27" s="758"/>
      <c r="L27" s="1369"/>
    </row>
    <row r="28" spans="1:14" ht="24">
      <c r="A28" s="426"/>
      <c r="B28" s="425"/>
      <c r="C28" s="408"/>
      <c r="D28" s="418"/>
      <c r="E28" s="757"/>
      <c r="F28" s="742"/>
      <c r="G28" s="1001"/>
      <c r="H28" s="753"/>
      <c r="I28" s="745"/>
      <c r="J28" s="753"/>
      <c r="K28" s="758"/>
      <c r="L28" s="1369"/>
      <c r="N28" s="1094">
        <v>4266.91</v>
      </c>
    </row>
    <row r="29" spans="1:14" ht="24.75" thickBot="1">
      <c r="A29" s="426"/>
      <c r="B29" s="425"/>
      <c r="C29" s="408"/>
      <c r="D29" s="418"/>
      <c r="E29" s="757"/>
      <c r="F29" s="742"/>
      <c r="G29" s="1001"/>
      <c r="H29" s="753"/>
      <c r="I29" s="745"/>
      <c r="J29" s="753"/>
      <c r="K29" s="758"/>
      <c r="L29" s="1369"/>
    </row>
    <row r="30" spans="1:14" ht="24.75" thickTop="1">
      <c r="A30" s="427"/>
      <c r="B30" s="2084" t="s">
        <v>69</v>
      </c>
      <c r="C30" s="2085"/>
      <c r="D30" s="2086"/>
      <c r="E30" s="759"/>
      <c r="F30" s="760"/>
      <c r="G30" s="1371"/>
      <c r="H30" s="762"/>
      <c r="I30" s="763"/>
      <c r="J30" s="762"/>
      <c r="K30" s="764"/>
      <c r="L30" s="1022"/>
      <c r="N30" s="1194">
        <f>K30/N28</f>
        <v>0</v>
      </c>
    </row>
    <row r="31" spans="1:14" ht="24">
      <c r="A31" s="766">
        <v>3.1</v>
      </c>
      <c r="B31" s="1372" t="s">
        <v>1096</v>
      </c>
      <c r="C31" s="1373"/>
      <c r="D31" s="1374"/>
      <c r="E31" s="1135"/>
      <c r="F31" s="770"/>
      <c r="G31" s="1001"/>
      <c r="H31" s="1056"/>
      <c r="I31" s="1375"/>
      <c r="J31" s="1056"/>
      <c r="K31" s="757"/>
      <c r="L31" s="1376"/>
    </row>
    <row r="32" spans="1:14" ht="24">
      <c r="A32" s="785" t="s">
        <v>1097</v>
      </c>
      <c r="B32" s="484" t="s">
        <v>1106</v>
      </c>
      <c r="C32" s="408"/>
      <c r="D32" s="409"/>
      <c r="E32" s="742"/>
      <c r="F32" s="742"/>
      <c r="G32" s="1375"/>
      <c r="H32" s="1056"/>
      <c r="I32" s="1375"/>
      <c r="J32" s="1056"/>
      <c r="K32" s="757"/>
      <c r="L32" s="1369"/>
    </row>
    <row r="33" spans="1:12" ht="24">
      <c r="A33" s="788"/>
      <c r="B33" s="484" t="s">
        <v>1107</v>
      </c>
      <c r="C33" s="408"/>
      <c r="D33" s="409"/>
      <c r="E33" s="742"/>
      <c r="F33" s="789"/>
      <c r="G33" s="1377"/>
      <c r="H33" s="1378"/>
      <c r="I33" s="1377"/>
      <c r="J33" s="1378"/>
      <c r="K33" s="1379"/>
      <c r="L33" s="1369"/>
    </row>
    <row r="34" spans="1:12" ht="24">
      <c r="A34" s="788"/>
      <c r="B34" s="484" t="s">
        <v>1110</v>
      </c>
      <c r="C34" s="408"/>
      <c r="D34" s="409"/>
      <c r="E34" s="742"/>
      <c r="F34" s="789" t="s">
        <v>1109</v>
      </c>
      <c r="G34" s="754"/>
      <c r="H34" s="744"/>
      <c r="I34" s="754"/>
      <c r="J34" s="744"/>
      <c r="K34" s="746"/>
      <c r="L34" s="1369"/>
    </row>
    <row r="35" spans="1:12" ht="24">
      <c r="A35" s="788"/>
      <c r="B35" s="484" t="s">
        <v>1111</v>
      </c>
      <c r="C35" s="408"/>
      <c r="D35" s="409"/>
      <c r="E35" s="742"/>
      <c r="F35" s="789" t="s">
        <v>1109</v>
      </c>
      <c r="G35" s="754"/>
      <c r="H35" s="744"/>
      <c r="I35" s="754"/>
      <c r="J35" s="744"/>
      <c r="K35" s="746"/>
      <c r="L35" s="1369"/>
    </row>
    <row r="36" spans="1:12" ht="24">
      <c r="A36" s="788"/>
      <c r="B36" s="484" t="s">
        <v>1113</v>
      </c>
      <c r="C36" s="408"/>
      <c r="D36" s="409"/>
      <c r="E36" s="742"/>
      <c r="F36" s="789" t="s">
        <v>1112</v>
      </c>
      <c r="G36" s="754"/>
      <c r="H36" s="744"/>
      <c r="I36" s="791"/>
      <c r="J36" s="744"/>
      <c r="K36" s="746"/>
      <c r="L36" s="1369"/>
    </row>
    <row r="37" spans="1:12" ht="24">
      <c r="A37" s="785" t="s">
        <v>1100</v>
      </c>
      <c r="B37" s="484" t="s">
        <v>1115</v>
      </c>
      <c r="C37" s="408"/>
      <c r="D37" s="409"/>
      <c r="E37" s="742"/>
      <c r="F37" s="789"/>
      <c r="G37" s="791"/>
      <c r="H37" s="744"/>
      <c r="I37" s="791"/>
      <c r="J37" s="744"/>
      <c r="K37" s="746"/>
      <c r="L37" s="1369"/>
    </row>
    <row r="38" spans="1:12" ht="24">
      <c r="A38" s="785"/>
      <c r="B38" s="484" t="s">
        <v>1116</v>
      </c>
      <c r="C38" s="408"/>
      <c r="D38" s="409"/>
      <c r="E38" s="742"/>
      <c r="F38" s="789" t="s">
        <v>1109</v>
      </c>
      <c r="G38" s="754"/>
      <c r="H38" s="744"/>
      <c r="I38" s="754"/>
      <c r="J38" s="744"/>
      <c r="K38" s="746"/>
      <c r="L38" s="1369"/>
    </row>
    <row r="39" spans="1:12" ht="24">
      <c r="A39" s="788"/>
      <c r="B39" s="484" t="s">
        <v>1117</v>
      </c>
      <c r="C39" s="408"/>
      <c r="D39" s="409"/>
      <c r="E39" s="742"/>
      <c r="F39" s="789" t="s">
        <v>1109</v>
      </c>
      <c r="G39" s="754"/>
      <c r="H39" s="744"/>
      <c r="I39" s="754"/>
      <c r="J39" s="744"/>
      <c r="K39" s="746"/>
      <c r="L39" s="1369"/>
    </row>
    <row r="40" spans="1:12" ht="24">
      <c r="A40" s="788"/>
      <c r="B40" s="484" t="s">
        <v>1118</v>
      </c>
      <c r="C40" s="408"/>
      <c r="D40" s="409"/>
      <c r="E40" s="742"/>
      <c r="F40" s="789" t="s">
        <v>1109</v>
      </c>
      <c r="G40" s="754"/>
      <c r="H40" s="744"/>
      <c r="I40" s="754"/>
      <c r="J40" s="744"/>
      <c r="K40" s="746"/>
      <c r="L40" s="1369"/>
    </row>
    <row r="41" spans="1:12" ht="24">
      <c r="A41" s="788"/>
      <c r="B41" s="484" t="s">
        <v>1119</v>
      </c>
      <c r="C41" s="408"/>
      <c r="D41" s="409"/>
      <c r="E41" s="742"/>
      <c r="F41" s="789" t="s">
        <v>1109</v>
      </c>
      <c r="G41" s="754"/>
      <c r="H41" s="744"/>
      <c r="I41" s="754"/>
      <c r="J41" s="744"/>
      <c r="K41" s="746"/>
      <c r="L41" s="1369"/>
    </row>
    <row r="42" spans="1:12" ht="24">
      <c r="A42" s="788"/>
      <c r="B42" s="484" t="s">
        <v>1120</v>
      </c>
      <c r="C42" s="408"/>
      <c r="D42" s="409"/>
      <c r="E42" s="742"/>
      <c r="F42" s="789" t="s">
        <v>1109</v>
      </c>
      <c r="G42" s="754"/>
      <c r="H42" s="744"/>
      <c r="I42" s="754"/>
      <c r="J42" s="744"/>
      <c r="K42" s="746"/>
      <c r="L42" s="1369"/>
    </row>
    <row r="43" spans="1:12" ht="24">
      <c r="A43" s="788"/>
      <c r="B43" s="484" t="s">
        <v>1121</v>
      </c>
      <c r="C43" s="408"/>
      <c r="D43" s="409"/>
      <c r="E43" s="742"/>
      <c r="F43" s="789" t="s">
        <v>1109</v>
      </c>
      <c r="G43" s="754"/>
      <c r="H43" s="744"/>
      <c r="I43" s="754"/>
      <c r="J43" s="744"/>
      <c r="K43" s="746"/>
      <c r="L43" s="1369"/>
    </row>
    <row r="44" spans="1:12" ht="24">
      <c r="A44" s="785"/>
      <c r="B44" s="484" t="s">
        <v>1125</v>
      </c>
      <c r="C44" s="89"/>
      <c r="D44" s="899"/>
      <c r="E44" s="794"/>
      <c r="F44" s="789" t="s">
        <v>1109</v>
      </c>
      <c r="G44" s="754"/>
      <c r="H44" s="744"/>
      <c r="I44" s="791"/>
      <c r="J44" s="744"/>
      <c r="K44" s="746"/>
      <c r="L44" s="1380"/>
    </row>
    <row r="45" spans="1:12" ht="24">
      <c r="A45" s="788"/>
      <c r="B45" s="484" t="s">
        <v>1113</v>
      </c>
      <c r="C45" s="89"/>
      <c r="D45" s="899"/>
      <c r="E45" s="794"/>
      <c r="F45" s="789" t="s">
        <v>1112</v>
      </c>
      <c r="G45" s="754"/>
      <c r="H45" s="744"/>
      <c r="I45" s="791"/>
      <c r="J45" s="744"/>
      <c r="K45" s="746"/>
      <c r="L45" s="1380"/>
    </row>
    <row r="46" spans="1:12" ht="24">
      <c r="A46" s="785" t="s">
        <v>1103</v>
      </c>
      <c r="B46" s="484" t="s">
        <v>1124</v>
      </c>
      <c r="C46" s="89"/>
      <c r="D46" s="899"/>
      <c r="E46" s="794"/>
      <c r="F46" s="789"/>
      <c r="G46" s="754"/>
      <c r="H46" s="744"/>
      <c r="I46" s="754"/>
      <c r="J46" s="744"/>
      <c r="K46" s="746"/>
      <c r="L46" s="1380"/>
    </row>
    <row r="47" spans="1:12" ht="24">
      <c r="A47" s="788"/>
      <c r="B47" s="484" t="s">
        <v>1120</v>
      </c>
      <c r="C47" s="89"/>
      <c r="D47" s="899"/>
      <c r="E47" s="794"/>
      <c r="F47" s="742" t="s">
        <v>185</v>
      </c>
      <c r="G47" s="754"/>
      <c r="H47" s="744"/>
      <c r="I47" s="754"/>
      <c r="J47" s="744"/>
      <c r="K47" s="746"/>
      <c r="L47" s="1380"/>
    </row>
    <row r="48" spans="1:12" ht="24">
      <c r="A48" s="788"/>
      <c r="B48" s="484" t="s">
        <v>1121</v>
      </c>
      <c r="C48" s="89"/>
      <c r="D48" s="899"/>
      <c r="E48" s="794"/>
      <c r="F48" s="742" t="s">
        <v>185</v>
      </c>
      <c r="G48" s="754"/>
      <c r="H48" s="744"/>
      <c r="I48" s="754"/>
      <c r="J48" s="744"/>
      <c r="K48" s="746"/>
      <c r="L48" s="1380"/>
    </row>
    <row r="49" spans="1:12" ht="24">
      <c r="A49" s="788"/>
      <c r="B49" s="484" t="s">
        <v>1122</v>
      </c>
      <c r="C49" s="89"/>
      <c r="D49" s="899"/>
      <c r="E49" s="794"/>
      <c r="F49" s="742" t="s">
        <v>185</v>
      </c>
      <c r="G49" s="754"/>
      <c r="H49" s="744"/>
      <c r="I49" s="754"/>
      <c r="J49" s="744"/>
      <c r="K49" s="746"/>
      <c r="L49" s="1380"/>
    </row>
    <row r="50" spans="1:12" ht="24">
      <c r="A50" s="788"/>
      <c r="B50" s="484" t="s">
        <v>1125</v>
      </c>
      <c r="C50" s="89"/>
      <c r="D50" s="899"/>
      <c r="E50" s="794"/>
      <c r="F50" s="742" t="s">
        <v>185</v>
      </c>
      <c r="G50" s="754"/>
      <c r="H50" s="744"/>
      <c r="I50" s="754"/>
      <c r="J50" s="744"/>
      <c r="K50" s="746"/>
      <c r="L50" s="1380"/>
    </row>
    <row r="51" spans="1:12" ht="24">
      <c r="A51" s="796"/>
      <c r="B51" s="1381"/>
      <c r="C51" s="1382"/>
      <c r="D51" s="946"/>
      <c r="E51" s="821"/>
      <c r="F51" s="800"/>
      <c r="G51" s="802"/>
      <c r="H51" s="803"/>
      <c r="I51" s="802"/>
      <c r="J51" s="803"/>
      <c r="K51" s="805"/>
      <c r="L51" s="1383"/>
    </row>
    <row r="52" spans="1:12" ht="24">
      <c r="A52" s="807" t="s">
        <v>1105</v>
      </c>
      <c r="B52" s="1384" t="s">
        <v>1127</v>
      </c>
      <c r="C52" s="1385"/>
      <c r="D52" s="940"/>
      <c r="E52" s="810"/>
      <c r="F52" s="811"/>
      <c r="G52" s="812"/>
      <c r="H52" s="813"/>
      <c r="I52" s="812"/>
      <c r="J52" s="813"/>
      <c r="K52" s="814"/>
      <c r="L52" s="1386"/>
    </row>
    <row r="53" spans="1:12" ht="24">
      <c r="A53" s="788"/>
      <c r="B53" s="484" t="s">
        <v>1122</v>
      </c>
      <c r="C53" s="89"/>
      <c r="D53" s="899"/>
      <c r="E53" s="794"/>
      <c r="F53" s="742" t="s">
        <v>185</v>
      </c>
      <c r="G53" s="754"/>
      <c r="H53" s="744"/>
      <c r="I53" s="754"/>
      <c r="J53" s="744"/>
      <c r="K53" s="746"/>
      <c r="L53" s="1380"/>
    </row>
    <row r="54" spans="1:12" ht="24">
      <c r="A54" s="785" t="s">
        <v>1114</v>
      </c>
      <c r="B54" s="484" t="s">
        <v>1129</v>
      </c>
      <c r="C54" s="89"/>
      <c r="D54" s="899"/>
      <c r="E54" s="794"/>
      <c r="F54" s="789"/>
      <c r="G54" s="754"/>
      <c r="H54" s="744"/>
      <c r="I54" s="754"/>
      <c r="J54" s="744"/>
      <c r="K54" s="746"/>
      <c r="L54" s="1380"/>
    </row>
    <row r="55" spans="1:12" ht="24">
      <c r="A55" s="788"/>
      <c r="B55" s="484" t="s">
        <v>1122</v>
      </c>
      <c r="C55" s="89"/>
      <c r="D55" s="899"/>
      <c r="E55" s="794"/>
      <c r="F55" s="742" t="s">
        <v>185</v>
      </c>
      <c r="G55" s="754"/>
      <c r="H55" s="744"/>
      <c r="I55" s="754"/>
      <c r="J55" s="744"/>
      <c r="K55" s="746"/>
      <c r="L55" s="1380"/>
    </row>
    <row r="56" spans="1:12" ht="24">
      <c r="A56" s="785" t="s">
        <v>1123</v>
      </c>
      <c r="B56" s="484" t="s">
        <v>1131</v>
      </c>
      <c r="C56" s="89"/>
      <c r="D56" s="899"/>
      <c r="E56" s="794"/>
      <c r="F56" s="789"/>
      <c r="G56" s="754"/>
      <c r="H56" s="744"/>
      <c r="I56" s="754"/>
      <c r="J56" s="744"/>
      <c r="K56" s="746"/>
      <c r="L56" s="1380"/>
    </row>
    <row r="57" spans="1:12" ht="24">
      <c r="A57" s="788"/>
      <c r="B57" s="484" t="s">
        <v>1118</v>
      </c>
      <c r="C57" s="89"/>
      <c r="D57" s="899"/>
      <c r="E57" s="794"/>
      <c r="F57" s="742" t="s">
        <v>185</v>
      </c>
      <c r="G57" s="754"/>
      <c r="H57" s="744"/>
      <c r="I57" s="754"/>
      <c r="J57" s="744"/>
      <c r="K57" s="746"/>
      <c r="L57" s="1380"/>
    </row>
    <row r="58" spans="1:12" ht="24">
      <c r="A58" s="788" t="s">
        <v>1126</v>
      </c>
      <c r="B58" s="485" t="s">
        <v>1133</v>
      </c>
      <c r="C58" s="1387"/>
      <c r="D58" s="904"/>
      <c r="E58" s="818"/>
      <c r="F58" s="781" t="s">
        <v>185</v>
      </c>
      <c r="G58" s="819"/>
      <c r="H58" s="744"/>
      <c r="I58" s="819"/>
      <c r="J58" s="744"/>
      <c r="K58" s="746"/>
      <c r="L58" s="1388"/>
    </row>
    <row r="59" spans="1:12" ht="24">
      <c r="A59" s="788" t="s">
        <v>1128</v>
      </c>
      <c r="B59" s="485" t="s">
        <v>1135</v>
      </c>
      <c r="C59" s="1387"/>
      <c r="D59" s="904"/>
      <c r="E59" s="818"/>
      <c r="F59" s="781" t="s">
        <v>185</v>
      </c>
      <c r="G59" s="819"/>
      <c r="H59" s="744"/>
      <c r="I59" s="819"/>
      <c r="J59" s="744"/>
      <c r="K59" s="746"/>
      <c r="L59" s="1388"/>
    </row>
    <row r="60" spans="1:12" ht="24">
      <c r="A60" s="788" t="s">
        <v>1130</v>
      </c>
      <c r="B60" s="485" t="s">
        <v>1137</v>
      </c>
      <c r="C60" s="1387"/>
      <c r="D60" s="904"/>
      <c r="E60" s="818"/>
      <c r="F60" s="781" t="s">
        <v>185</v>
      </c>
      <c r="G60" s="819"/>
      <c r="H60" s="744"/>
      <c r="I60" s="819"/>
      <c r="J60" s="744"/>
      <c r="K60" s="746"/>
      <c r="L60" s="1388"/>
    </row>
    <row r="61" spans="1:12" ht="24.75" thickBot="1">
      <c r="A61" s="788"/>
      <c r="B61" s="1389"/>
      <c r="C61" s="89"/>
      <c r="D61" s="899"/>
      <c r="E61" s="357"/>
      <c r="F61" s="789"/>
      <c r="G61" s="791"/>
      <c r="H61" s="744"/>
      <c r="I61" s="791"/>
      <c r="J61" s="744"/>
      <c r="K61" s="746"/>
      <c r="L61" s="1380"/>
    </row>
    <row r="62" spans="1:12" ht="24.75" thickTop="1">
      <c r="A62" s="427"/>
      <c r="B62" s="2159" t="s">
        <v>1145</v>
      </c>
      <c r="C62" s="2195"/>
      <c r="D62" s="2160"/>
      <c r="E62" s="822"/>
      <c r="F62" s="760"/>
      <c r="G62" s="763"/>
      <c r="H62" s="762"/>
      <c r="I62" s="763"/>
      <c r="J62" s="762"/>
      <c r="K62" s="762"/>
      <c r="L62" s="1390"/>
    </row>
    <row r="63" spans="1:12" ht="24">
      <c r="A63" s="766">
        <v>3.2</v>
      </c>
      <c r="B63" s="484" t="s">
        <v>1146</v>
      </c>
      <c r="C63" s="89"/>
      <c r="D63" s="899"/>
      <c r="E63" s="794"/>
      <c r="F63" s="789"/>
      <c r="G63" s="791"/>
      <c r="H63" s="744"/>
      <c r="I63" s="791"/>
      <c r="J63" s="744"/>
      <c r="K63" s="746"/>
      <c r="L63" s="1380"/>
    </row>
    <row r="64" spans="1:12" ht="24">
      <c r="A64" s="785" t="s">
        <v>1147</v>
      </c>
      <c r="B64" s="484" t="s">
        <v>1115</v>
      </c>
      <c r="C64" s="89"/>
      <c r="D64" s="899"/>
      <c r="E64" s="794"/>
      <c r="F64" s="789"/>
      <c r="G64" s="791"/>
      <c r="H64" s="744"/>
      <c r="I64" s="791"/>
      <c r="J64" s="744"/>
      <c r="K64" s="746"/>
      <c r="L64" s="1380"/>
    </row>
    <row r="65" spans="1:12" ht="24">
      <c r="A65" s="788"/>
      <c r="B65" s="484" t="s">
        <v>1120</v>
      </c>
      <c r="C65" s="89"/>
      <c r="D65" s="899"/>
      <c r="E65" s="794"/>
      <c r="F65" s="789" t="s">
        <v>1109</v>
      </c>
      <c r="G65" s="754"/>
      <c r="H65" s="744"/>
      <c r="I65" s="754"/>
      <c r="J65" s="744"/>
      <c r="K65" s="746"/>
      <c r="L65" s="1380"/>
    </row>
    <row r="66" spans="1:12" ht="24">
      <c r="A66" s="788"/>
      <c r="B66" s="484" t="s">
        <v>1122</v>
      </c>
      <c r="C66" s="89"/>
      <c r="D66" s="899"/>
      <c r="E66" s="794"/>
      <c r="F66" s="789" t="s">
        <v>1109</v>
      </c>
      <c r="G66" s="754"/>
      <c r="H66" s="744"/>
      <c r="I66" s="754"/>
      <c r="J66" s="744"/>
      <c r="K66" s="746"/>
      <c r="L66" s="1380"/>
    </row>
    <row r="67" spans="1:12" ht="24">
      <c r="A67" s="788"/>
      <c r="B67" s="484" t="s">
        <v>1125</v>
      </c>
      <c r="C67" s="89"/>
      <c r="D67" s="899"/>
      <c r="E67" s="794"/>
      <c r="F67" s="789" t="s">
        <v>1109</v>
      </c>
      <c r="G67" s="754"/>
      <c r="H67" s="744"/>
      <c r="I67" s="754"/>
      <c r="J67" s="744"/>
      <c r="K67" s="746"/>
      <c r="L67" s="1380"/>
    </row>
    <row r="68" spans="1:12" ht="24">
      <c r="A68" s="788"/>
      <c r="B68" s="484" t="s">
        <v>1148</v>
      </c>
      <c r="C68" s="89"/>
      <c r="D68" s="899"/>
      <c r="E68" s="794"/>
      <c r="F68" s="789" t="s">
        <v>1109</v>
      </c>
      <c r="G68" s="754"/>
      <c r="H68" s="744"/>
      <c r="I68" s="754"/>
      <c r="J68" s="744"/>
      <c r="K68" s="746"/>
      <c r="L68" s="1380"/>
    </row>
    <row r="69" spans="1:12" ht="24">
      <c r="A69" s="785" t="s">
        <v>1149</v>
      </c>
      <c r="B69" s="484" t="s">
        <v>1150</v>
      </c>
      <c r="C69" s="89"/>
      <c r="D69" s="899"/>
      <c r="E69" s="794"/>
      <c r="F69" s="789"/>
      <c r="G69" s="754"/>
      <c r="H69" s="744"/>
      <c r="I69" s="754"/>
      <c r="J69" s="744"/>
      <c r="K69" s="746"/>
      <c r="L69" s="1380"/>
    </row>
    <row r="70" spans="1:12" ht="24">
      <c r="A70" s="788"/>
      <c r="B70" s="484" t="s">
        <v>1120</v>
      </c>
      <c r="C70" s="89"/>
      <c r="D70" s="899"/>
      <c r="E70" s="794"/>
      <c r="F70" s="789" t="s">
        <v>1109</v>
      </c>
      <c r="G70" s="754"/>
      <c r="H70" s="744"/>
      <c r="I70" s="754"/>
      <c r="J70" s="744"/>
      <c r="K70" s="746"/>
      <c r="L70" s="1380"/>
    </row>
    <row r="71" spans="1:12" ht="24">
      <c r="A71" s="788"/>
      <c r="B71" s="484" t="s">
        <v>1125</v>
      </c>
      <c r="C71" s="89"/>
      <c r="D71" s="899"/>
      <c r="E71" s="794"/>
      <c r="F71" s="789" t="s">
        <v>1109</v>
      </c>
      <c r="G71" s="754"/>
      <c r="H71" s="744"/>
      <c r="I71" s="754"/>
      <c r="J71" s="744"/>
      <c r="K71" s="746"/>
      <c r="L71" s="1380"/>
    </row>
    <row r="72" spans="1:12" ht="24">
      <c r="A72" s="796"/>
      <c r="B72" s="1381" t="s">
        <v>1148</v>
      </c>
      <c r="C72" s="1382"/>
      <c r="D72" s="946"/>
      <c r="E72" s="821"/>
      <c r="F72" s="801" t="s">
        <v>1109</v>
      </c>
      <c r="G72" s="802"/>
      <c r="H72" s="803"/>
      <c r="I72" s="802"/>
      <c r="J72" s="803"/>
      <c r="K72" s="805"/>
      <c r="L72" s="1383"/>
    </row>
    <row r="73" spans="1:12" ht="24">
      <c r="A73" s="825"/>
      <c r="B73" s="1384" t="s">
        <v>1113</v>
      </c>
      <c r="C73" s="1385"/>
      <c r="D73" s="940"/>
      <c r="E73" s="810"/>
      <c r="F73" s="811" t="s">
        <v>1112</v>
      </c>
      <c r="G73" s="812"/>
      <c r="H73" s="813"/>
      <c r="I73" s="812"/>
      <c r="J73" s="813"/>
      <c r="K73" s="814"/>
      <c r="L73" s="1386"/>
    </row>
    <row r="74" spans="1:12" ht="24">
      <c r="A74" s="785" t="s">
        <v>1152</v>
      </c>
      <c r="B74" s="484" t="s">
        <v>1172</v>
      </c>
      <c r="C74" s="89"/>
      <c r="D74" s="899"/>
      <c r="E74" s="794"/>
      <c r="F74" s="789"/>
      <c r="G74" s="754"/>
      <c r="H74" s="744"/>
      <c r="I74" s="754"/>
      <c r="J74" s="744"/>
      <c r="K74" s="746"/>
      <c r="L74" s="1380"/>
    </row>
    <row r="75" spans="1:12" ht="24">
      <c r="A75" s="788"/>
      <c r="B75" s="484" t="s">
        <v>1120</v>
      </c>
      <c r="C75" s="89"/>
      <c r="D75" s="899"/>
      <c r="E75" s="794"/>
      <c r="F75" s="742" t="s">
        <v>185</v>
      </c>
      <c r="G75" s="754"/>
      <c r="H75" s="744"/>
      <c r="I75" s="754"/>
      <c r="J75" s="744"/>
      <c r="K75" s="746"/>
      <c r="L75" s="1380"/>
    </row>
    <row r="76" spans="1:12" ht="24">
      <c r="A76" s="785" t="s">
        <v>1154</v>
      </c>
      <c r="B76" s="484" t="s">
        <v>1155</v>
      </c>
      <c r="C76" s="89"/>
      <c r="D76" s="899"/>
      <c r="E76" s="794"/>
      <c r="F76" s="789"/>
      <c r="G76" s="754"/>
      <c r="H76" s="744"/>
      <c r="I76" s="754"/>
      <c r="J76" s="744"/>
      <c r="K76" s="746"/>
      <c r="L76" s="1380"/>
    </row>
    <row r="77" spans="1:12" ht="24">
      <c r="A77" s="788"/>
      <c r="B77" s="484" t="s">
        <v>1120</v>
      </c>
      <c r="C77" s="89"/>
      <c r="D77" s="899"/>
      <c r="E77" s="794"/>
      <c r="F77" s="742" t="s">
        <v>185</v>
      </c>
      <c r="G77" s="754"/>
      <c r="H77" s="744"/>
      <c r="I77" s="754"/>
      <c r="J77" s="744"/>
      <c r="K77" s="746"/>
      <c r="L77" s="1380"/>
    </row>
    <row r="78" spans="1:12" ht="24">
      <c r="A78" s="788"/>
      <c r="B78" s="484" t="s">
        <v>1125</v>
      </c>
      <c r="C78" s="89"/>
      <c r="D78" s="899"/>
      <c r="E78" s="794"/>
      <c r="F78" s="742" t="s">
        <v>185</v>
      </c>
      <c r="G78" s="754"/>
      <c r="H78" s="744"/>
      <c r="I78" s="754"/>
      <c r="J78" s="744"/>
      <c r="K78" s="746"/>
      <c r="L78" s="1380"/>
    </row>
    <row r="79" spans="1:12" ht="24">
      <c r="A79" s="788"/>
      <c r="B79" s="89" t="s">
        <v>1144</v>
      </c>
      <c r="C79" s="89"/>
      <c r="D79" s="899"/>
      <c r="E79" s="794"/>
      <c r="F79" s="789"/>
      <c r="G79" s="791"/>
      <c r="H79" s="744"/>
      <c r="I79" s="791"/>
      <c r="J79" s="744"/>
      <c r="K79" s="746"/>
      <c r="L79" s="1380"/>
    </row>
    <row r="80" spans="1:12" ht="24.75" thickBot="1">
      <c r="A80" s="788"/>
      <c r="B80" s="1389"/>
      <c r="C80" s="89"/>
      <c r="D80" s="899"/>
      <c r="E80" s="794"/>
      <c r="F80" s="789"/>
      <c r="G80" s="791"/>
      <c r="H80" s="744"/>
      <c r="I80" s="791"/>
      <c r="J80" s="744"/>
      <c r="K80" s="746"/>
      <c r="L80" s="1380"/>
    </row>
    <row r="81" spans="1:12" ht="24.75" thickTop="1">
      <c r="A81" s="427"/>
      <c r="B81" s="2159" t="s">
        <v>1156</v>
      </c>
      <c r="C81" s="2195"/>
      <c r="D81" s="2160"/>
      <c r="E81" s="822"/>
      <c r="F81" s="760"/>
      <c r="G81" s="763"/>
      <c r="H81" s="762"/>
      <c r="I81" s="763"/>
      <c r="J81" s="762"/>
      <c r="K81" s="762"/>
      <c r="L81" s="1390"/>
    </row>
    <row r="82" spans="1:12" ht="24" customHeight="1">
      <c r="A82" s="829" t="s">
        <v>1157</v>
      </c>
      <c r="B82" s="2199" t="s">
        <v>1092</v>
      </c>
      <c r="C82" s="2200"/>
      <c r="D82" s="2201"/>
      <c r="E82" s="794"/>
      <c r="F82" s="789"/>
      <c r="G82" s="791"/>
      <c r="H82" s="744"/>
      <c r="I82" s="791"/>
      <c r="J82" s="744"/>
      <c r="K82" s="746"/>
      <c r="L82" s="1380"/>
    </row>
    <row r="83" spans="1:12" ht="24" customHeight="1">
      <c r="A83" s="1391"/>
      <c r="B83" s="2196" t="s">
        <v>1093</v>
      </c>
      <c r="C83" s="2197"/>
      <c r="D83" s="2198"/>
      <c r="E83" s="794"/>
      <c r="F83" s="789"/>
      <c r="G83" s="791"/>
      <c r="H83" s="744"/>
      <c r="I83" s="791"/>
      <c r="J83" s="744"/>
      <c r="K83" s="746"/>
      <c r="L83" s="1380"/>
    </row>
    <row r="84" spans="1:12" ht="24">
      <c r="A84" s="830" t="s">
        <v>1158</v>
      </c>
      <c r="B84" s="485" t="s">
        <v>1159</v>
      </c>
      <c r="C84" s="1387"/>
      <c r="D84" s="904"/>
      <c r="E84" s="831"/>
      <c r="F84" s="789"/>
      <c r="G84" s="791"/>
      <c r="H84" s="744"/>
      <c r="I84" s="791"/>
      <c r="J84" s="744"/>
      <c r="K84" s="746"/>
      <c r="L84" s="1136"/>
    </row>
    <row r="85" spans="1:12" ht="24">
      <c r="A85" s="833"/>
      <c r="B85" s="485" t="s">
        <v>2160</v>
      </c>
      <c r="C85" s="1387"/>
      <c r="D85" s="904"/>
      <c r="E85" s="818"/>
      <c r="F85" s="781" t="s">
        <v>185</v>
      </c>
      <c r="G85" s="2161"/>
      <c r="H85" s="2162"/>
      <c r="I85" s="819"/>
      <c r="J85" s="744"/>
      <c r="K85" s="746"/>
      <c r="L85" s="831"/>
    </row>
    <row r="86" spans="1:12" ht="24">
      <c r="A86" s="449" t="s">
        <v>1161</v>
      </c>
      <c r="B86" s="484" t="s">
        <v>1115</v>
      </c>
      <c r="C86" s="89"/>
      <c r="D86" s="899"/>
      <c r="E86" s="794"/>
      <c r="F86" s="789"/>
      <c r="G86" s="754"/>
      <c r="H86" s="744"/>
      <c r="I86" s="819"/>
      <c r="J86" s="744"/>
      <c r="K86" s="746"/>
      <c r="L86" s="1380"/>
    </row>
    <row r="87" spans="1:12" ht="24">
      <c r="A87" s="449"/>
      <c r="B87" s="484" t="s">
        <v>1162</v>
      </c>
      <c r="C87" s="89"/>
      <c r="D87" s="899"/>
      <c r="E87" s="794"/>
      <c r="F87" s="789" t="s">
        <v>1109</v>
      </c>
      <c r="G87" s="819"/>
      <c r="H87" s="744"/>
      <c r="I87" s="819"/>
      <c r="J87" s="744"/>
      <c r="K87" s="746"/>
      <c r="L87" s="1380"/>
    </row>
    <row r="88" spans="1:12" ht="24">
      <c r="A88" s="449"/>
      <c r="B88" s="484" t="s">
        <v>1113</v>
      </c>
      <c r="C88" s="89"/>
      <c r="D88" s="899"/>
      <c r="E88" s="794"/>
      <c r="F88" s="789" t="s">
        <v>1112</v>
      </c>
      <c r="G88" s="819"/>
      <c r="H88" s="744"/>
      <c r="I88" s="819"/>
      <c r="J88" s="744"/>
      <c r="K88" s="746"/>
      <c r="L88" s="1380"/>
    </row>
    <row r="89" spans="1:12" ht="24">
      <c r="A89" s="449" t="s">
        <v>1163</v>
      </c>
      <c r="B89" s="484" t="s">
        <v>1164</v>
      </c>
      <c r="C89" s="89"/>
      <c r="D89" s="899"/>
      <c r="E89" s="794"/>
      <c r="F89" s="789"/>
      <c r="G89" s="819"/>
      <c r="H89" s="744"/>
      <c r="I89" s="819"/>
      <c r="J89" s="744"/>
      <c r="K89" s="746"/>
      <c r="L89" s="1380"/>
    </row>
    <row r="90" spans="1:12" ht="24">
      <c r="A90" s="449"/>
      <c r="B90" s="484" t="s">
        <v>2161</v>
      </c>
      <c r="C90" s="89"/>
      <c r="D90" s="899"/>
      <c r="E90" s="357"/>
      <c r="F90" s="789" t="s">
        <v>1109</v>
      </c>
      <c r="G90" s="819"/>
      <c r="H90" s="744"/>
      <c r="I90" s="819"/>
      <c r="J90" s="744"/>
      <c r="K90" s="746"/>
      <c r="L90" s="1380"/>
    </row>
    <row r="91" spans="1:12" ht="24">
      <c r="A91" s="449"/>
      <c r="B91" s="484" t="s">
        <v>1165</v>
      </c>
      <c r="C91" s="89"/>
      <c r="D91" s="899"/>
      <c r="E91" s="794"/>
      <c r="F91" s="789" t="s">
        <v>1109</v>
      </c>
      <c r="G91" s="819"/>
      <c r="H91" s="744"/>
      <c r="I91" s="819"/>
      <c r="J91" s="744"/>
      <c r="K91" s="746"/>
      <c r="L91" s="1380"/>
    </row>
    <row r="92" spans="1:12" ht="24">
      <c r="A92" s="449"/>
      <c r="B92" s="484" t="s">
        <v>1167</v>
      </c>
      <c r="C92" s="89"/>
      <c r="D92" s="899"/>
      <c r="E92" s="794"/>
      <c r="F92" s="789" t="s">
        <v>1109</v>
      </c>
      <c r="G92" s="819"/>
      <c r="H92" s="744"/>
      <c r="I92" s="819"/>
      <c r="J92" s="744"/>
      <c r="K92" s="746"/>
      <c r="L92" s="1380"/>
    </row>
    <row r="93" spans="1:12" ht="24">
      <c r="A93" s="834"/>
      <c r="B93" s="1381" t="s">
        <v>1168</v>
      </c>
      <c r="C93" s="1382"/>
      <c r="D93" s="946"/>
      <c r="E93" s="821"/>
      <c r="F93" s="801" t="s">
        <v>1112</v>
      </c>
      <c r="G93" s="957"/>
      <c r="H93" s="803"/>
      <c r="I93" s="957"/>
      <c r="J93" s="803"/>
      <c r="K93" s="805"/>
      <c r="L93" s="1383"/>
    </row>
    <row r="94" spans="1:12" ht="24">
      <c r="A94" s="835" t="s">
        <v>1169</v>
      </c>
      <c r="B94" s="1384" t="s">
        <v>1170</v>
      </c>
      <c r="C94" s="1385"/>
      <c r="D94" s="940"/>
      <c r="E94" s="810"/>
      <c r="F94" s="811"/>
      <c r="G94" s="919"/>
      <c r="H94" s="813"/>
      <c r="I94" s="919"/>
      <c r="J94" s="813"/>
      <c r="K94" s="814"/>
      <c r="L94" s="1386"/>
    </row>
    <row r="95" spans="1:12" ht="24">
      <c r="A95" s="449"/>
      <c r="B95" s="484" t="s">
        <v>1162</v>
      </c>
      <c r="C95" s="89"/>
      <c r="D95" s="899"/>
      <c r="E95" s="794"/>
      <c r="F95" s="742" t="s">
        <v>185</v>
      </c>
      <c r="G95" s="819"/>
      <c r="H95" s="744"/>
      <c r="I95" s="819"/>
      <c r="J95" s="744"/>
      <c r="K95" s="746"/>
      <c r="L95" s="1380"/>
    </row>
    <row r="96" spans="1:12" ht="24">
      <c r="A96" s="449" t="s">
        <v>1171</v>
      </c>
      <c r="B96" s="484" t="s">
        <v>1172</v>
      </c>
      <c r="C96" s="89"/>
      <c r="D96" s="899"/>
      <c r="E96" s="794"/>
      <c r="F96" s="789"/>
      <c r="G96" s="819"/>
      <c r="H96" s="744"/>
      <c r="I96" s="819"/>
      <c r="J96" s="744"/>
      <c r="K96" s="746"/>
      <c r="L96" s="1380"/>
    </row>
    <row r="97" spans="1:12" ht="24">
      <c r="A97" s="449"/>
      <c r="B97" s="484" t="s">
        <v>1125</v>
      </c>
      <c r="C97" s="89"/>
      <c r="D97" s="899"/>
      <c r="E97" s="794"/>
      <c r="F97" s="742" t="s">
        <v>185</v>
      </c>
      <c r="G97" s="819"/>
      <c r="H97" s="744"/>
      <c r="I97" s="819"/>
      <c r="J97" s="744"/>
      <c r="K97" s="746"/>
      <c r="L97" s="1380"/>
    </row>
    <row r="98" spans="1:12" ht="24">
      <c r="A98" s="449"/>
      <c r="B98" s="484" t="s">
        <v>1148</v>
      </c>
      <c r="C98" s="89"/>
      <c r="D98" s="899"/>
      <c r="E98" s="794"/>
      <c r="F98" s="742" t="s">
        <v>185</v>
      </c>
      <c r="G98" s="819"/>
      <c r="H98" s="744"/>
      <c r="I98" s="819"/>
      <c r="J98" s="744"/>
      <c r="K98" s="746"/>
      <c r="L98" s="1380"/>
    </row>
    <row r="99" spans="1:12" ht="24">
      <c r="A99" s="449" t="s">
        <v>1173</v>
      </c>
      <c r="B99" s="484" t="s">
        <v>1178</v>
      </c>
      <c r="C99" s="89"/>
      <c r="D99" s="899"/>
      <c r="E99" s="794"/>
      <c r="F99" s="789"/>
      <c r="G99" s="819"/>
      <c r="H99" s="744"/>
      <c r="I99" s="819"/>
      <c r="J99" s="744"/>
      <c r="K99" s="746"/>
      <c r="L99" s="1380"/>
    </row>
    <row r="100" spans="1:12" ht="24">
      <c r="A100" s="449"/>
      <c r="B100" s="484" t="s">
        <v>1125</v>
      </c>
      <c r="C100" s="89"/>
      <c r="D100" s="899"/>
      <c r="E100" s="794"/>
      <c r="F100" s="742" t="s">
        <v>185</v>
      </c>
      <c r="G100" s="819"/>
      <c r="H100" s="744"/>
      <c r="I100" s="819"/>
      <c r="J100" s="744"/>
      <c r="K100" s="746"/>
      <c r="L100" s="1380"/>
    </row>
    <row r="101" spans="1:12" ht="24">
      <c r="A101" s="449"/>
      <c r="B101" s="484" t="s">
        <v>1162</v>
      </c>
      <c r="C101" s="89"/>
      <c r="D101" s="899"/>
      <c r="E101" s="794"/>
      <c r="F101" s="742" t="s">
        <v>185</v>
      </c>
      <c r="G101" s="819"/>
      <c r="H101" s="744"/>
      <c r="I101" s="819"/>
      <c r="J101" s="744"/>
      <c r="K101" s="746"/>
      <c r="L101" s="1380"/>
    </row>
    <row r="102" spans="1:12" ht="24">
      <c r="A102" s="449" t="s">
        <v>1175</v>
      </c>
      <c r="B102" s="484" t="s">
        <v>1180</v>
      </c>
      <c r="C102" s="89"/>
      <c r="D102" s="899"/>
      <c r="E102" s="794"/>
      <c r="F102" s="742" t="s">
        <v>185</v>
      </c>
      <c r="G102" s="819"/>
      <c r="H102" s="744"/>
      <c r="I102" s="819"/>
      <c r="J102" s="744"/>
      <c r="K102" s="746"/>
      <c r="L102" s="1380"/>
    </row>
    <row r="103" spans="1:12" ht="24">
      <c r="A103" s="449" t="s">
        <v>1177</v>
      </c>
      <c r="B103" s="484" t="s">
        <v>1182</v>
      </c>
      <c r="C103" s="89"/>
      <c r="D103" s="899"/>
      <c r="E103" s="794"/>
      <c r="F103" s="742" t="s">
        <v>185</v>
      </c>
      <c r="G103" s="819"/>
      <c r="H103" s="744"/>
      <c r="I103" s="819"/>
      <c r="J103" s="744"/>
      <c r="K103" s="746"/>
      <c r="L103" s="1380"/>
    </row>
    <row r="104" spans="1:12" ht="24">
      <c r="A104" s="449"/>
      <c r="B104" s="89" t="s">
        <v>1144</v>
      </c>
      <c r="C104" s="89"/>
      <c r="D104" s="899"/>
      <c r="E104" s="794"/>
      <c r="F104" s="742"/>
      <c r="G104" s="754"/>
      <c r="H104" s="744"/>
      <c r="I104" s="754"/>
      <c r="J104" s="744"/>
      <c r="K104" s="746"/>
      <c r="L104" s="1380"/>
    </row>
    <row r="105" spans="1:12" ht="24">
      <c r="A105" s="449"/>
      <c r="B105" s="89"/>
      <c r="C105" s="89"/>
      <c r="D105" s="899"/>
      <c r="E105" s="794"/>
      <c r="F105" s="742"/>
      <c r="G105" s="754"/>
      <c r="H105" s="744"/>
      <c r="I105" s="754"/>
      <c r="J105" s="744"/>
      <c r="K105" s="746"/>
      <c r="L105" s="1380"/>
    </row>
    <row r="106" spans="1:12" ht="24.75" thickBot="1">
      <c r="A106" s="788"/>
      <c r="B106" s="1389"/>
      <c r="C106" s="89"/>
      <c r="D106" s="899"/>
      <c r="E106" s="794"/>
      <c r="F106" s="789"/>
      <c r="G106" s="791"/>
      <c r="H106" s="744"/>
      <c r="I106" s="791"/>
      <c r="J106" s="744"/>
      <c r="K106" s="746"/>
      <c r="L106" s="1380"/>
    </row>
    <row r="107" spans="1:12" ht="24.75" thickTop="1">
      <c r="A107" s="427"/>
      <c r="B107" s="2159" t="s">
        <v>1183</v>
      </c>
      <c r="C107" s="2195"/>
      <c r="D107" s="2160"/>
      <c r="E107" s="822"/>
      <c r="F107" s="760"/>
      <c r="G107" s="763"/>
      <c r="H107" s="762"/>
      <c r="I107" s="763"/>
      <c r="J107" s="762"/>
      <c r="K107" s="762"/>
      <c r="L107" s="1390"/>
    </row>
    <row r="108" spans="1:12" ht="24">
      <c r="A108" s="871">
        <v>3.4</v>
      </c>
      <c r="B108" s="1392" t="s">
        <v>2162</v>
      </c>
      <c r="C108" s="89"/>
      <c r="D108" s="899"/>
      <c r="E108" s="794"/>
      <c r="F108" s="789"/>
      <c r="G108" s="791"/>
      <c r="H108" s="744"/>
      <c r="I108" s="791"/>
      <c r="J108" s="744"/>
      <c r="K108" s="746"/>
      <c r="L108" s="1380"/>
    </row>
    <row r="109" spans="1:12" ht="24">
      <c r="A109" s="416" t="s">
        <v>1186</v>
      </c>
      <c r="B109" s="484" t="s">
        <v>1214</v>
      </c>
      <c r="C109" s="89"/>
      <c r="D109" s="899"/>
      <c r="E109" s="1393"/>
      <c r="F109" s="1394"/>
      <c r="G109" s="1395"/>
      <c r="H109" s="744"/>
      <c r="I109" s="791"/>
      <c r="J109" s="744"/>
      <c r="K109" s="746"/>
      <c r="L109" s="1380"/>
    </row>
    <row r="110" spans="1:12" ht="24">
      <c r="A110" s="755"/>
      <c r="B110" s="484" t="s">
        <v>2163</v>
      </c>
      <c r="C110" s="89"/>
      <c r="D110" s="899"/>
      <c r="E110" s="1393"/>
      <c r="F110" s="742" t="s">
        <v>185</v>
      </c>
      <c r="G110" s="2161"/>
      <c r="H110" s="2162"/>
      <c r="I110" s="791"/>
      <c r="J110" s="744"/>
      <c r="K110" s="746"/>
      <c r="L110" s="1380"/>
    </row>
    <row r="111" spans="1:12" ht="24">
      <c r="A111" s="755"/>
      <c r="B111" s="89" t="s">
        <v>1144</v>
      </c>
      <c r="C111" s="89"/>
      <c r="D111" s="899"/>
      <c r="E111" s="1393"/>
      <c r="F111" s="1394"/>
      <c r="G111" s="1395"/>
      <c r="H111" s="744"/>
      <c r="I111" s="791"/>
      <c r="J111" s="744"/>
      <c r="K111" s="746"/>
      <c r="L111" s="1380"/>
    </row>
    <row r="112" spans="1:12" ht="24">
      <c r="A112" s="755"/>
      <c r="B112" s="89"/>
      <c r="C112" s="89"/>
      <c r="D112" s="899"/>
      <c r="E112" s="1393"/>
      <c r="F112" s="1394"/>
      <c r="G112" s="1395"/>
      <c r="H112" s="744"/>
      <c r="I112" s="791"/>
      <c r="J112" s="744"/>
      <c r="K112" s="746"/>
      <c r="L112" s="1380"/>
    </row>
    <row r="113" spans="1:12" ht="24.75" thickBot="1">
      <c r="A113" s="755"/>
      <c r="B113" s="471"/>
      <c r="C113" s="89"/>
      <c r="D113" s="899"/>
      <c r="E113" s="1393"/>
      <c r="F113" s="1394"/>
      <c r="G113" s="1395"/>
      <c r="H113" s="744"/>
      <c r="I113" s="791"/>
      <c r="J113" s="744"/>
      <c r="K113" s="746"/>
      <c r="L113" s="1380"/>
    </row>
    <row r="114" spans="1:12" ht="24.75" thickTop="1">
      <c r="A114" s="427"/>
      <c r="B114" s="2159" t="s">
        <v>1204</v>
      </c>
      <c r="C114" s="2195"/>
      <c r="D114" s="2160"/>
      <c r="E114" s="822"/>
      <c r="F114" s="760"/>
      <c r="G114" s="763"/>
      <c r="H114" s="762"/>
      <c r="I114" s="763"/>
      <c r="J114" s="762"/>
      <c r="K114" s="762"/>
      <c r="L114" s="1390"/>
    </row>
    <row r="115" spans="1:12" ht="24">
      <c r="A115" s="871">
        <v>3.5</v>
      </c>
      <c r="B115" s="1392" t="s">
        <v>2164</v>
      </c>
      <c r="C115" s="89"/>
      <c r="D115" s="899"/>
      <c r="E115" s="1393"/>
      <c r="F115" s="1394"/>
      <c r="G115" s="1395"/>
      <c r="H115" s="744"/>
      <c r="I115" s="791"/>
      <c r="J115" s="744"/>
      <c r="K115" s="746"/>
      <c r="L115" s="1380"/>
    </row>
    <row r="116" spans="1:12" ht="24">
      <c r="A116" s="416" t="s">
        <v>1207</v>
      </c>
      <c r="B116" s="471" t="s">
        <v>2165</v>
      </c>
      <c r="C116" s="89"/>
      <c r="D116" s="899"/>
      <c r="E116" s="1393"/>
      <c r="F116" s="1394"/>
      <c r="G116" s="1395"/>
      <c r="H116" s="744"/>
      <c r="I116" s="791"/>
      <c r="J116" s="744"/>
      <c r="K116" s="746"/>
      <c r="L116" s="1380"/>
    </row>
    <row r="117" spans="1:12" ht="24">
      <c r="A117" s="416"/>
      <c r="B117" s="484" t="s">
        <v>2166</v>
      </c>
      <c r="C117" s="89"/>
      <c r="D117" s="899"/>
      <c r="E117" s="1393"/>
      <c r="F117" s="742" t="s">
        <v>185</v>
      </c>
      <c r="G117" s="1395"/>
      <c r="H117" s="744"/>
      <c r="I117" s="791"/>
      <c r="J117" s="744"/>
      <c r="K117" s="746"/>
      <c r="L117" s="1380"/>
    </row>
    <row r="118" spans="1:12" ht="24">
      <c r="A118" s="416"/>
      <c r="B118" s="484" t="s">
        <v>2167</v>
      </c>
      <c r="C118" s="89"/>
      <c r="D118" s="899"/>
      <c r="E118" s="1393"/>
      <c r="F118" s="742" t="s">
        <v>185</v>
      </c>
      <c r="G118" s="1395"/>
      <c r="H118" s="744"/>
      <c r="I118" s="791"/>
      <c r="J118" s="744"/>
      <c r="K118" s="746"/>
      <c r="L118" s="1380"/>
    </row>
    <row r="119" spans="1:12" ht="24">
      <c r="A119" s="416" t="s">
        <v>1210</v>
      </c>
      <c r="B119" s="471" t="s">
        <v>2168</v>
      </c>
      <c r="C119" s="89"/>
      <c r="D119" s="899"/>
      <c r="E119" s="1393"/>
      <c r="F119" s="1394"/>
      <c r="G119" s="1395"/>
      <c r="H119" s="744"/>
      <c r="I119" s="791"/>
      <c r="J119" s="744"/>
      <c r="K119" s="746"/>
      <c r="L119" s="1380"/>
    </row>
    <row r="120" spans="1:12" ht="24">
      <c r="A120" s="416"/>
      <c r="B120" s="484" t="s">
        <v>2169</v>
      </c>
      <c r="C120" s="89"/>
      <c r="D120" s="899"/>
      <c r="E120" s="1393"/>
      <c r="F120" s="742" t="s">
        <v>185</v>
      </c>
      <c r="G120" s="1395"/>
      <c r="H120" s="744"/>
      <c r="I120" s="791"/>
      <c r="J120" s="744"/>
      <c r="K120" s="746"/>
      <c r="L120" s="1380"/>
    </row>
    <row r="121" spans="1:12" ht="24">
      <c r="A121" s="416"/>
      <c r="B121" s="484" t="s">
        <v>2170</v>
      </c>
      <c r="C121" s="89"/>
      <c r="D121" s="899"/>
      <c r="E121" s="1393"/>
      <c r="F121" s="742" t="s">
        <v>185</v>
      </c>
      <c r="G121" s="1395"/>
      <c r="H121" s="744"/>
      <c r="I121" s="791"/>
      <c r="J121" s="744"/>
      <c r="K121" s="746"/>
      <c r="L121" s="1380"/>
    </row>
    <row r="122" spans="1:12" ht="24">
      <c r="A122" s="416" t="s">
        <v>1213</v>
      </c>
      <c r="B122" s="471" t="s">
        <v>2171</v>
      </c>
      <c r="C122" s="89"/>
      <c r="D122" s="899"/>
      <c r="E122" s="1393"/>
      <c r="F122" s="1394"/>
      <c r="G122" s="1395"/>
      <c r="H122" s="744"/>
      <c r="I122" s="791"/>
      <c r="J122" s="744"/>
      <c r="K122" s="746"/>
      <c r="L122" s="1380"/>
    </row>
    <row r="123" spans="1:12" ht="24">
      <c r="A123" s="416"/>
      <c r="B123" s="484" t="s">
        <v>2172</v>
      </c>
      <c r="C123" s="89"/>
      <c r="D123" s="899"/>
      <c r="E123" s="1393"/>
      <c r="F123" s="742" t="s">
        <v>185</v>
      </c>
      <c r="G123" s="1395"/>
      <c r="H123" s="744"/>
      <c r="I123" s="791"/>
      <c r="J123" s="744"/>
      <c r="K123" s="746"/>
      <c r="L123" s="1380"/>
    </row>
    <row r="124" spans="1:12" ht="24">
      <c r="A124" s="416" t="s">
        <v>2173</v>
      </c>
      <c r="B124" s="471" t="s">
        <v>2174</v>
      </c>
      <c r="C124" s="89"/>
      <c r="D124" s="899"/>
      <c r="E124" s="1393"/>
      <c r="F124" s="1394"/>
      <c r="G124" s="1395"/>
      <c r="H124" s="744"/>
      <c r="I124" s="791"/>
      <c r="J124" s="744"/>
      <c r="K124" s="746"/>
      <c r="L124" s="1380"/>
    </row>
    <row r="125" spans="1:12" ht="24">
      <c r="A125" s="416"/>
      <c r="B125" s="484" t="s">
        <v>2175</v>
      </c>
      <c r="C125" s="89"/>
      <c r="D125" s="899"/>
      <c r="E125" s="1393"/>
      <c r="F125" s="742" t="s">
        <v>185</v>
      </c>
      <c r="G125" s="1395"/>
      <c r="H125" s="744"/>
      <c r="I125" s="791"/>
      <c r="J125" s="744"/>
      <c r="K125" s="746"/>
      <c r="L125" s="1380"/>
    </row>
    <row r="126" spans="1:12" ht="24">
      <c r="A126" s="416" t="s">
        <v>2176</v>
      </c>
      <c r="B126" s="471" t="s">
        <v>2177</v>
      </c>
      <c r="C126" s="89"/>
      <c r="D126" s="899"/>
      <c r="E126" s="1393"/>
      <c r="F126" s="1394"/>
      <c r="G126" s="1395"/>
      <c r="H126" s="744"/>
      <c r="I126" s="791"/>
      <c r="J126" s="744"/>
      <c r="K126" s="746"/>
      <c r="L126" s="1380"/>
    </row>
    <row r="127" spans="1:12" ht="24">
      <c r="A127" s="416"/>
      <c r="B127" s="484" t="s">
        <v>2178</v>
      </c>
      <c r="C127" s="89"/>
      <c r="D127" s="899"/>
      <c r="E127" s="1393"/>
      <c r="F127" s="742" t="s">
        <v>185</v>
      </c>
      <c r="G127" s="1395"/>
      <c r="H127" s="744"/>
      <c r="I127" s="791"/>
      <c r="J127" s="744"/>
      <c r="K127" s="746"/>
      <c r="L127" s="1380"/>
    </row>
    <row r="128" spans="1:12" ht="24">
      <c r="A128" s="416" t="s">
        <v>2179</v>
      </c>
      <c r="B128" s="471" t="s">
        <v>2180</v>
      </c>
      <c r="C128" s="89"/>
      <c r="D128" s="899"/>
      <c r="E128" s="1393"/>
      <c r="F128" s="1394"/>
      <c r="G128" s="1395"/>
      <c r="H128" s="744"/>
      <c r="I128" s="791"/>
      <c r="J128" s="744"/>
      <c r="K128" s="746"/>
      <c r="L128" s="1380"/>
    </row>
    <row r="129" spans="1:12" ht="24">
      <c r="A129" s="416"/>
      <c r="B129" s="484" t="s">
        <v>2181</v>
      </c>
      <c r="C129" s="89"/>
      <c r="D129" s="899"/>
      <c r="E129" s="1393"/>
      <c r="F129" s="742" t="s">
        <v>185</v>
      </c>
      <c r="G129" s="1395"/>
      <c r="H129" s="744"/>
      <c r="I129" s="791"/>
      <c r="J129" s="744"/>
      <c r="K129" s="746"/>
      <c r="L129" s="1380"/>
    </row>
    <row r="130" spans="1:12" ht="24">
      <c r="A130" s="416" t="s">
        <v>2182</v>
      </c>
      <c r="B130" s="471" t="s">
        <v>2183</v>
      </c>
      <c r="C130" s="89"/>
      <c r="D130" s="899"/>
      <c r="E130" s="1393"/>
      <c r="F130" s="1394"/>
      <c r="G130" s="1395"/>
      <c r="H130" s="744"/>
      <c r="I130" s="791"/>
      <c r="J130" s="744"/>
      <c r="K130" s="746"/>
      <c r="L130" s="1380"/>
    </row>
    <row r="131" spans="1:12" ht="24">
      <c r="A131" s="416"/>
      <c r="B131" s="484" t="s">
        <v>2184</v>
      </c>
      <c r="C131" s="89"/>
      <c r="D131" s="899"/>
      <c r="E131" s="1393"/>
      <c r="F131" s="742" t="s">
        <v>185</v>
      </c>
      <c r="G131" s="1395"/>
      <c r="H131" s="744"/>
      <c r="I131" s="791"/>
      <c r="J131" s="744"/>
      <c r="K131" s="746"/>
      <c r="L131" s="1380"/>
    </row>
    <row r="132" spans="1:12" ht="24">
      <c r="A132" s="416" t="s">
        <v>2185</v>
      </c>
      <c r="B132" s="471" t="s">
        <v>2186</v>
      </c>
      <c r="C132" s="89"/>
      <c r="D132" s="899"/>
      <c r="E132" s="1393"/>
      <c r="F132" s="742" t="s">
        <v>185</v>
      </c>
      <c r="G132" s="1395"/>
      <c r="H132" s="744"/>
      <c r="I132" s="791"/>
      <c r="J132" s="744"/>
      <c r="K132" s="746"/>
      <c r="L132" s="1380"/>
    </row>
    <row r="133" spans="1:12" ht="24">
      <c r="A133" s="416" t="s">
        <v>2187</v>
      </c>
      <c r="B133" s="471" t="s">
        <v>1115</v>
      </c>
      <c r="C133" s="89"/>
      <c r="D133" s="899"/>
      <c r="E133" s="1393"/>
      <c r="F133" s="1394"/>
      <c r="G133" s="1395"/>
      <c r="H133" s="744"/>
      <c r="I133" s="791"/>
      <c r="J133" s="744"/>
      <c r="K133" s="746"/>
      <c r="L133" s="1380"/>
    </row>
    <row r="134" spans="1:12" ht="24">
      <c r="A134" s="416"/>
      <c r="B134" s="471" t="s">
        <v>2188</v>
      </c>
      <c r="C134" s="89"/>
      <c r="D134" s="899"/>
      <c r="E134" s="1393"/>
      <c r="F134" s="789" t="s">
        <v>1109</v>
      </c>
      <c r="G134" s="754"/>
      <c r="H134" s="744"/>
      <c r="I134" s="754"/>
      <c r="J134" s="744"/>
      <c r="K134" s="746"/>
      <c r="L134" s="1369"/>
    </row>
    <row r="135" spans="1:12" ht="24">
      <c r="A135" s="1396"/>
      <c r="B135" s="1397" t="s">
        <v>2189</v>
      </c>
      <c r="C135" s="1382"/>
      <c r="D135" s="946"/>
      <c r="E135" s="1398"/>
      <c r="F135" s="801" t="s">
        <v>1109</v>
      </c>
      <c r="G135" s="802"/>
      <c r="H135" s="803"/>
      <c r="I135" s="802"/>
      <c r="J135" s="803"/>
      <c r="K135" s="805"/>
      <c r="L135" s="1399"/>
    </row>
    <row r="136" spans="1:12" ht="24">
      <c r="A136" s="422"/>
      <c r="B136" s="1400" t="s">
        <v>2190</v>
      </c>
      <c r="C136" s="1385"/>
      <c r="D136" s="940"/>
      <c r="E136" s="1401"/>
      <c r="F136" s="811" t="s">
        <v>1109</v>
      </c>
      <c r="G136" s="754"/>
      <c r="H136" s="813"/>
      <c r="I136" s="754"/>
      <c r="J136" s="813"/>
      <c r="K136" s="814"/>
      <c r="L136" s="1386"/>
    </row>
    <row r="137" spans="1:12" ht="24">
      <c r="A137" s="416"/>
      <c r="B137" s="471" t="s">
        <v>2191</v>
      </c>
      <c r="C137" s="89"/>
      <c r="D137" s="899"/>
      <c r="E137" s="1393"/>
      <c r="F137" s="789" t="s">
        <v>1109</v>
      </c>
      <c r="G137" s="754"/>
      <c r="H137" s="744"/>
      <c r="I137" s="754"/>
      <c r="J137" s="744"/>
      <c r="K137" s="746"/>
      <c r="L137" s="1380"/>
    </row>
    <row r="138" spans="1:12" ht="24">
      <c r="A138" s="416"/>
      <c r="B138" s="471" t="s">
        <v>2192</v>
      </c>
      <c r="C138" s="89"/>
      <c r="D138" s="899"/>
      <c r="E138" s="1393"/>
      <c r="F138" s="789" t="s">
        <v>1109</v>
      </c>
      <c r="G138" s="754"/>
      <c r="H138" s="744"/>
      <c r="I138" s="754"/>
      <c r="J138" s="744"/>
      <c r="K138" s="746"/>
      <c r="L138" s="1380"/>
    </row>
    <row r="139" spans="1:12" ht="24">
      <c r="A139" s="416"/>
      <c r="B139" s="471" t="s">
        <v>2193</v>
      </c>
      <c r="C139" s="89"/>
      <c r="D139" s="899"/>
      <c r="E139" s="1393"/>
      <c r="F139" s="789" t="s">
        <v>1112</v>
      </c>
      <c r="G139" s="1395"/>
      <c r="H139" s="744"/>
      <c r="I139" s="791"/>
      <c r="J139" s="744"/>
      <c r="K139" s="746"/>
      <c r="L139" s="1380"/>
    </row>
    <row r="140" spans="1:12" ht="24">
      <c r="A140" s="1402" t="s">
        <v>2194</v>
      </c>
      <c r="B140" s="471" t="s">
        <v>1174</v>
      </c>
      <c r="C140" s="89"/>
      <c r="D140" s="899"/>
      <c r="E140" s="1393"/>
      <c r="F140" s="1394"/>
      <c r="G140" s="1395"/>
      <c r="H140" s="744"/>
      <c r="I140" s="791"/>
      <c r="J140" s="744"/>
      <c r="K140" s="746"/>
      <c r="L140" s="1380"/>
    </row>
    <row r="141" spans="1:12" ht="24">
      <c r="A141" s="416"/>
      <c r="B141" s="471" t="s">
        <v>2188</v>
      </c>
      <c r="C141" s="89"/>
      <c r="D141" s="899"/>
      <c r="E141" s="1393"/>
      <c r="F141" s="742" t="s">
        <v>185</v>
      </c>
      <c r="G141" s="754"/>
      <c r="H141" s="744"/>
      <c r="I141" s="754"/>
      <c r="J141" s="744"/>
      <c r="K141" s="746"/>
      <c r="L141" s="1380"/>
    </row>
    <row r="142" spans="1:12" ht="24">
      <c r="A142" s="416" t="s">
        <v>2195</v>
      </c>
      <c r="B142" s="471" t="s">
        <v>2196</v>
      </c>
      <c r="C142" s="89"/>
      <c r="D142" s="899"/>
      <c r="E142" s="1393"/>
      <c r="F142" s="742"/>
      <c r="G142" s="1395"/>
      <c r="H142" s="744"/>
      <c r="I142" s="791"/>
      <c r="J142" s="744"/>
      <c r="K142" s="746"/>
      <c r="L142" s="1380"/>
    </row>
    <row r="143" spans="1:12" ht="24">
      <c r="A143" s="416"/>
      <c r="B143" s="471" t="s">
        <v>2190</v>
      </c>
      <c r="C143" s="89"/>
      <c r="D143" s="899"/>
      <c r="E143" s="1393"/>
      <c r="F143" s="742" t="s">
        <v>185</v>
      </c>
      <c r="G143" s="754"/>
      <c r="H143" s="744"/>
      <c r="I143" s="754"/>
      <c r="J143" s="744"/>
      <c r="K143" s="746"/>
      <c r="L143" s="1380"/>
    </row>
    <row r="144" spans="1:12" ht="24">
      <c r="A144" s="416"/>
      <c r="B144" s="471" t="s">
        <v>2191</v>
      </c>
      <c r="C144" s="89"/>
      <c r="D144" s="899"/>
      <c r="E144" s="1393"/>
      <c r="F144" s="742" t="s">
        <v>185</v>
      </c>
      <c r="G144" s="754"/>
      <c r="H144" s="744"/>
      <c r="I144" s="754"/>
      <c r="J144" s="744"/>
      <c r="K144" s="746"/>
      <c r="L144" s="1380"/>
    </row>
    <row r="145" spans="1:12" ht="24">
      <c r="A145" s="416"/>
      <c r="B145" s="471" t="s">
        <v>2192</v>
      </c>
      <c r="C145" s="89"/>
      <c r="D145" s="899"/>
      <c r="E145" s="1393"/>
      <c r="F145" s="742" t="s">
        <v>185</v>
      </c>
      <c r="G145" s="754"/>
      <c r="H145" s="744"/>
      <c r="I145" s="754"/>
      <c r="J145" s="744"/>
      <c r="K145" s="746"/>
      <c r="L145" s="1380"/>
    </row>
    <row r="146" spans="1:12" ht="24">
      <c r="A146" s="416"/>
      <c r="B146" s="471" t="s">
        <v>2197</v>
      </c>
      <c r="C146" s="89"/>
      <c r="D146" s="899"/>
      <c r="E146" s="1393"/>
      <c r="F146" s="742" t="s">
        <v>185</v>
      </c>
      <c r="G146" s="754"/>
      <c r="H146" s="744"/>
      <c r="I146" s="754"/>
      <c r="J146" s="744"/>
      <c r="K146" s="746"/>
      <c r="L146" s="1380"/>
    </row>
    <row r="147" spans="1:12" ht="24">
      <c r="A147" s="416" t="s">
        <v>2198</v>
      </c>
      <c r="B147" s="471" t="s">
        <v>2199</v>
      </c>
      <c r="C147" s="89"/>
      <c r="D147" s="899"/>
      <c r="E147" s="1393"/>
      <c r="F147" s="742"/>
      <c r="G147" s="754"/>
      <c r="H147" s="744"/>
      <c r="I147" s="791"/>
      <c r="J147" s="744"/>
      <c r="K147" s="746"/>
      <c r="L147" s="1380"/>
    </row>
    <row r="148" spans="1:12" ht="24">
      <c r="A148" s="416"/>
      <c r="B148" s="471" t="s">
        <v>2188</v>
      </c>
      <c r="C148" s="89"/>
      <c r="D148" s="899"/>
      <c r="E148" s="1393"/>
      <c r="F148" s="742" t="s">
        <v>185</v>
      </c>
      <c r="G148" s="754"/>
      <c r="H148" s="744"/>
      <c r="I148" s="754"/>
      <c r="J148" s="744"/>
      <c r="K148" s="746"/>
      <c r="L148" s="1380"/>
    </row>
    <row r="149" spans="1:12" ht="24">
      <c r="A149" s="416" t="s">
        <v>2200</v>
      </c>
      <c r="B149" s="1403" t="s">
        <v>2201</v>
      </c>
      <c r="C149" s="89"/>
      <c r="D149" s="899"/>
      <c r="E149" s="1393"/>
      <c r="F149" s="742"/>
      <c r="G149" s="754"/>
      <c r="H149" s="744"/>
      <c r="I149" s="754"/>
      <c r="J149" s="744"/>
      <c r="K149" s="746"/>
      <c r="L149" s="1380"/>
    </row>
    <row r="150" spans="1:12" ht="24">
      <c r="A150" s="416"/>
      <c r="B150" s="471" t="s">
        <v>2189</v>
      </c>
      <c r="C150" s="89"/>
      <c r="D150" s="899"/>
      <c r="E150" s="1393"/>
      <c r="F150" s="742" t="s">
        <v>185</v>
      </c>
      <c r="G150" s="754"/>
      <c r="H150" s="744"/>
      <c r="I150" s="754"/>
      <c r="J150" s="744"/>
      <c r="K150" s="746"/>
      <c r="L150" s="1380"/>
    </row>
    <row r="151" spans="1:12" ht="24">
      <c r="A151" s="416" t="s">
        <v>2202</v>
      </c>
      <c r="B151" s="471" t="s">
        <v>1178</v>
      </c>
      <c r="C151" s="89"/>
      <c r="D151" s="899"/>
      <c r="E151" s="1393"/>
      <c r="F151" s="742"/>
      <c r="G151" s="754"/>
      <c r="H151" s="744"/>
      <c r="I151" s="791"/>
      <c r="J151" s="744"/>
      <c r="K151" s="746"/>
      <c r="L151" s="1380"/>
    </row>
    <row r="152" spans="1:12" ht="24">
      <c r="A152" s="416"/>
      <c r="B152" s="471" t="s">
        <v>2189</v>
      </c>
      <c r="C152" s="89"/>
      <c r="D152" s="899"/>
      <c r="E152" s="1393"/>
      <c r="F152" s="742" t="s">
        <v>185</v>
      </c>
      <c r="G152" s="754"/>
      <c r="H152" s="744"/>
      <c r="I152" s="791"/>
      <c r="J152" s="744"/>
      <c r="K152" s="746"/>
      <c r="L152" s="1380"/>
    </row>
    <row r="153" spans="1:12" ht="24">
      <c r="A153" s="416"/>
      <c r="B153" s="471" t="s">
        <v>2190</v>
      </c>
      <c r="C153" s="89"/>
      <c r="D153" s="899"/>
      <c r="E153" s="1393"/>
      <c r="F153" s="742" t="s">
        <v>185</v>
      </c>
      <c r="G153" s="754"/>
      <c r="H153" s="744"/>
      <c r="I153" s="754"/>
      <c r="J153" s="744"/>
      <c r="K153" s="746"/>
      <c r="L153" s="1404"/>
    </row>
    <row r="154" spans="1:12" ht="24">
      <c r="A154" s="416"/>
      <c r="B154" s="471" t="s">
        <v>2191</v>
      </c>
      <c r="C154" s="89"/>
      <c r="D154" s="899"/>
      <c r="E154" s="1393"/>
      <c r="F154" s="742" t="s">
        <v>185</v>
      </c>
      <c r="G154" s="754"/>
      <c r="H154" s="744"/>
      <c r="I154" s="754"/>
      <c r="J154" s="744"/>
      <c r="K154" s="746"/>
      <c r="L154" s="1404"/>
    </row>
    <row r="155" spans="1:12" ht="24">
      <c r="A155" s="1396"/>
      <c r="B155" s="1397" t="s">
        <v>2192</v>
      </c>
      <c r="C155" s="1382"/>
      <c r="D155" s="946"/>
      <c r="E155" s="1398"/>
      <c r="F155" s="800" t="s">
        <v>185</v>
      </c>
      <c r="G155" s="754"/>
      <c r="H155" s="803"/>
      <c r="I155" s="802"/>
      <c r="J155" s="803"/>
      <c r="K155" s="805"/>
      <c r="L155" s="1405"/>
    </row>
    <row r="156" spans="1:12" ht="24">
      <c r="A156" s="422" t="s">
        <v>2203</v>
      </c>
      <c r="B156" s="1400" t="s">
        <v>2204</v>
      </c>
      <c r="C156" s="1385"/>
      <c r="D156" s="940"/>
      <c r="E156" s="1401"/>
      <c r="F156" s="851"/>
      <c r="G156" s="1406"/>
      <c r="H156" s="813"/>
      <c r="I156" s="827"/>
      <c r="J156" s="813"/>
      <c r="K156" s="814"/>
      <c r="L156" s="1386"/>
    </row>
    <row r="157" spans="1:12" ht="24">
      <c r="A157" s="416"/>
      <c r="B157" s="471" t="s">
        <v>2205</v>
      </c>
      <c r="C157" s="89"/>
      <c r="D157" s="899"/>
      <c r="E157" s="1393"/>
      <c r="F157" s="742" t="s">
        <v>185</v>
      </c>
      <c r="G157" s="1395"/>
      <c r="H157" s="744"/>
      <c r="I157" s="791"/>
      <c r="J157" s="744"/>
      <c r="K157" s="746"/>
      <c r="L157" s="1380"/>
    </row>
    <row r="158" spans="1:12" ht="24">
      <c r="A158" s="416" t="s">
        <v>2206</v>
      </c>
      <c r="B158" s="471" t="s">
        <v>2207</v>
      </c>
      <c r="C158" s="89"/>
      <c r="D158" s="899"/>
      <c r="E158" s="1393"/>
      <c r="F158" s="742"/>
      <c r="G158" s="1395"/>
      <c r="H158" s="744"/>
      <c r="I158" s="791"/>
      <c r="J158" s="744"/>
      <c r="K158" s="746"/>
      <c r="L158" s="1380"/>
    </row>
    <row r="159" spans="1:12" ht="24">
      <c r="A159" s="416"/>
      <c r="B159" s="471" t="s">
        <v>2208</v>
      </c>
      <c r="C159" s="89"/>
      <c r="D159" s="899"/>
      <c r="E159" s="1393"/>
      <c r="F159" s="742" t="s">
        <v>185</v>
      </c>
      <c r="G159" s="1395"/>
      <c r="H159" s="744"/>
      <c r="I159" s="791"/>
      <c r="J159" s="744"/>
      <c r="K159" s="746"/>
      <c r="L159" s="1380"/>
    </row>
    <row r="160" spans="1:12" ht="24">
      <c r="A160" s="416" t="s">
        <v>2209</v>
      </c>
      <c r="B160" s="471" t="s">
        <v>2210</v>
      </c>
      <c r="C160" s="89"/>
      <c r="D160" s="899"/>
      <c r="E160" s="1393"/>
      <c r="F160" s="742"/>
      <c r="G160" s="1395"/>
      <c r="H160" s="744"/>
      <c r="I160" s="791"/>
      <c r="J160" s="744"/>
      <c r="K160" s="746"/>
      <c r="L160" s="1380"/>
    </row>
    <row r="161" spans="1:12" ht="24">
      <c r="A161" s="416"/>
      <c r="B161" s="471" t="s">
        <v>2211</v>
      </c>
      <c r="C161" s="89"/>
      <c r="D161" s="899"/>
      <c r="E161" s="1393"/>
      <c r="F161" s="742" t="s">
        <v>185</v>
      </c>
      <c r="G161" s="1395"/>
      <c r="H161" s="744"/>
      <c r="I161" s="791"/>
      <c r="J161" s="744"/>
      <c r="K161" s="746"/>
      <c r="L161" s="1380"/>
    </row>
    <row r="162" spans="1:12" ht="24">
      <c r="A162" s="1402" t="s">
        <v>2212</v>
      </c>
      <c r="B162" s="471" t="s">
        <v>2213</v>
      </c>
      <c r="C162" s="89"/>
      <c r="D162" s="899"/>
      <c r="E162" s="1393"/>
      <c r="F162" s="742" t="s">
        <v>185</v>
      </c>
      <c r="G162" s="1395"/>
      <c r="H162" s="744"/>
      <c r="I162" s="791"/>
      <c r="J162" s="744"/>
      <c r="K162" s="746"/>
      <c r="L162" s="1380"/>
    </row>
    <row r="163" spans="1:12" ht="24">
      <c r="A163" s="1402" t="s">
        <v>2214</v>
      </c>
      <c r="B163" s="471" t="s">
        <v>2215</v>
      </c>
      <c r="C163" s="89"/>
      <c r="D163" s="899"/>
      <c r="E163" s="1393"/>
      <c r="F163" s="789" t="s">
        <v>1112</v>
      </c>
      <c r="G163" s="1395"/>
      <c r="H163" s="744"/>
      <c r="I163" s="791"/>
      <c r="J163" s="744"/>
      <c r="K163" s="746"/>
      <c r="L163" s="1380"/>
    </row>
    <row r="164" spans="1:12" ht="24">
      <c r="A164" s="1402" t="s">
        <v>2216</v>
      </c>
      <c r="B164" s="471" t="s">
        <v>1141</v>
      </c>
      <c r="C164" s="89"/>
      <c r="D164" s="899"/>
      <c r="E164" s="1393"/>
      <c r="F164" s="789" t="s">
        <v>1112</v>
      </c>
      <c r="G164" s="1395"/>
      <c r="H164" s="744"/>
      <c r="I164" s="791"/>
      <c r="J164" s="744"/>
      <c r="K164" s="746"/>
      <c r="L164" s="1380"/>
    </row>
    <row r="165" spans="1:12" ht="24">
      <c r="A165" s="1402" t="s">
        <v>2217</v>
      </c>
      <c r="B165" s="471" t="s">
        <v>1143</v>
      </c>
      <c r="C165" s="89"/>
      <c r="D165" s="899"/>
      <c r="E165" s="1393"/>
      <c r="F165" s="789" t="s">
        <v>1112</v>
      </c>
      <c r="G165" s="1395"/>
      <c r="H165" s="744"/>
      <c r="I165" s="791"/>
      <c r="J165" s="744"/>
      <c r="K165" s="746"/>
      <c r="L165" s="1380"/>
    </row>
    <row r="166" spans="1:12" ht="24">
      <c r="A166" s="1402" t="s">
        <v>2218</v>
      </c>
      <c r="B166" s="484" t="s">
        <v>1159</v>
      </c>
      <c r="C166" s="89"/>
      <c r="D166" s="899"/>
      <c r="E166" s="1393"/>
      <c r="F166" s="1394"/>
      <c r="G166" s="1395"/>
      <c r="H166" s="744"/>
      <c r="I166" s="791"/>
      <c r="J166" s="744"/>
      <c r="K166" s="746"/>
      <c r="L166" s="1380"/>
    </row>
    <row r="167" spans="1:12" ht="24">
      <c r="A167" s="1402"/>
      <c r="B167" s="484" t="s">
        <v>2219</v>
      </c>
      <c r="C167" s="89"/>
      <c r="D167" s="899"/>
      <c r="E167" s="1393"/>
      <c r="F167" s="789" t="s">
        <v>1112</v>
      </c>
      <c r="G167" s="2161"/>
      <c r="H167" s="2162"/>
      <c r="I167" s="791"/>
      <c r="J167" s="744"/>
      <c r="K167" s="746"/>
      <c r="L167" s="1380"/>
    </row>
    <row r="168" spans="1:12" ht="24">
      <c r="A168" s="416"/>
      <c r="B168" s="471" t="s">
        <v>1458</v>
      </c>
      <c r="C168" s="89"/>
      <c r="D168" s="899"/>
      <c r="E168" s="1393"/>
      <c r="F168" s="742"/>
      <c r="G168" s="1395"/>
      <c r="H168" s="744"/>
      <c r="I168" s="791"/>
      <c r="J168" s="744"/>
      <c r="K168" s="746"/>
      <c r="L168" s="1380"/>
    </row>
    <row r="169" spans="1:12" ht="24">
      <c r="A169" s="416"/>
      <c r="B169" s="471"/>
      <c r="C169" s="89"/>
      <c r="D169" s="899"/>
      <c r="E169" s="1393"/>
      <c r="F169" s="742"/>
      <c r="G169" s="1395"/>
      <c r="H169" s="744"/>
      <c r="I169" s="791"/>
      <c r="J169" s="744"/>
      <c r="K169" s="746"/>
      <c r="L169" s="1380"/>
    </row>
    <row r="170" spans="1:12" ht="24">
      <c r="A170" s="416"/>
      <c r="B170" s="471"/>
      <c r="C170" s="89"/>
      <c r="D170" s="899"/>
      <c r="E170" s="1393"/>
      <c r="F170" s="742"/>
      <c r="G170" s="1395"/>
      <c r="H170" s="744"/>
      <c r="I170" s="791"/>
      <c r="J170" s="744"/>
      <c r="K170" s="746"/>
      <c r="L170" s="1380"/>
    </row>
    <row r="171" spans="1:12" ht="24">
      <c r="A171" s="416"/>
      <c r="B171" s="471"/>
      <c r="C171" s="89"/>
      <c r="D171" s="899"/>
      <c r="E171" s="1393"/>
      <c r="F171" s="742"/>
      <c r="G171" s="1395"/>
      <c r="H171" s="744"/>
      <c r="I171" s="791"/>
      <c r="J171" s="744"/>
      <c r="K171" s="746"/>
      <c r="L171" s="1380"/>
    </row>
    <row r="172" spans="1:12" ht="24">
      <c r="A172" s="416"/>
      <c r="B172" s="471"/>
      <c r="C172" s="89"/>
      <c r="D172" s="899"/>
      <c r="E172" s="1393"/>
      <c r="F172" s="742"/>
      <c r="G172" s="1395"/>
      <c r="H172" s="744"/>
      <c r="I172" s="791"/>
      <c r="J172" s="744"/>
      <c r="K172" s="746"/>
      <c r="L172" s="1380"/>
    </row>
    <row r="173" spans="1:12" ht="24">
      <c r="A173" s="416"/>
      <c r="B173" s="471"/>
      <c r="C173" s="89"/>
      <c r="D173" s="899"/>
      <c r="E173" s="1393"/>
      <c r="F173" s="742"/>
      <c r="G173" s="1395"/>
      <c r="H173" s="744"/>
      <c r="I173" s="791"/>
      <c r="J173" s="744"/>
      <c r="K173" s="746"/>
      <c r="L173" s="1380"/>
    </row>
    <row r="174" spans="1:12" ht="24">
      <c r="A174" s="416"/>
      <c r="B174" s="471"/>
      <c r="C174" s="89"/>
      <c r="D174" s="899"/>
      <c r="E174" s="1393"/>
      <c r="F174" s="742"/>
      <c r="G174" s="1395"/>
      <c r="H174" s="744"/>
      <c r="I174" s="791"/>
      <c r="J174" s="744"/>
      <c r="K174" s="746"/>
      <c r="L174" s="1380"/>
    </row>
    <row r="175" spans="1:12" ht="24.75" thickBot="1">
      <c r="A175" s="871"/>
      <c r="B175" s="1392"/>
      <c r="C175" s="89"/>
      <c r="D175" s="899"/>
      <c r="E175" s="1393"/>
      <c r="F175" s="742"/>
      <c r="G175" s="1395"/>
      <c r="H175" s="744"/>
      <c r="I175" s="791"/>
      <c r="J175" s="744"/>
      <c r="K175" s="746"/>
      <c r="L175" s="1380"/>
    </row>
    <row r="176" spans="1:12" ht="24.75" thickTop="1">
      <c r="A176" s="427"/>
      <c r="B176" s="2159" t="s">
        <v>1217</v>
      </c>
      <c r="C176" s="2195"/>
      <c r="D176" s="2160"/>
      <c r="E176" s="822"/>
      <c r="F176" s="760"/>
      <c r="G176" s="763"/>
      <c r="H176" s="762"/>
      <c r="I176" s="763"/>
      <c r="J176" s="762"/>
      <c r="K176" s="762"/>
      <c r="L176" s="1390"/>
    </row>
    <row r="177" spans="1:12" ht="24">
      <c r="A177" s="871">
        <v>3.6</v>
      </c>
      <c r="B177" s="1392" t="s">
        <v>1265</v>
      </c>
      <c r="C177" s="89"/>
      <c r="D177" s="899"/>
      <c r="E177" s="1393"/>
      <c r="F177" s="1394"/>
      <c r="G177" s="1395"/>
      <c r="H177" s="744"/>
      <c r="I177" s="791"/>
      <c r="J177" s="744"/>
      <c r="K177" s="746"/>
      <c r="L177" s="1380"/>
    </row>
    <row r="178" spans="1:12" ht="24">
      <c r="A178" s="449" t="s">
        <v>1220</v>
      </c>
      <c r="B178" s="484" t="s">
        <v>1267</v>
      </c>
      <c r="C178" s="408"/>
      <c r="D178" s="418"/>
      <c r="E178" s="742"/>
      <c r="F178" s="742"/>
      <c r="G178" s="754"/>
      <c r="H178" s="744"/>
      <c r="I178" s="791"/>
      <c r="J178" s="744"/>
      <c r="K178" s="746"/>
      <c r="L178" s="1380"/>
    </row>
    <row r="179" spans="1:12" ht="24">
      <c r="A179" s="449"/>
      <c r="B179" s="484" t="s">
        <v>1121</v>
      </c>
      <c r="C179" s="408"/>
      <c r="D179" s="418"/>
      <c r="E179" s="742"/>
      <c r="F179" s="789" t="s">
        <v>1109</v>
      </c>
      <c r="G179" s="754"/>
      <c r="H179" s="744"/>
      <c r="I179" s="754"/>
      <c r="J179" s="744"/>
      <c r="K179" s="746"/>
      <c r="L179" s="1380"/>
    </row>
    <row r="180" spans="1:12" ht="24">
      <c r="A180" s="449"/>
      <c r="B180" s="484" t="s">
        <v>1148</v>
      </c>
      <c r="C180" s="408"/>
      <c r="D180" s="418"/>
      <c r="E180" s="742"/>
      <c r="F180" s="789" t="s">
        <v>1109</v>
      </c>
      <c r="G180" s="754"/>
      <c r="H180" s="744"/>
      <c r="I180" s="754"/>
      <c r="J180" s="744"/>
      <c r="K180" s="746"/>
      <c r="L180" s="1380"/>
    </row>
    <row r="181" spans="1:12" ht="24">
      <c r="A181" s="788"/>
      <c r="B181" s="484" t="s">
        <v>1113</v>
      </c>
      <c r="C181" s="408"/>
      <c r="D181" s="418"/>
      <c r="E181" s="794"/>
      <c r="F181" s="789" t="s">
        <v>1112</v>
      </c>
      <c r="G181" s="754"/>
      <c r="H181" s="744"/>
      <c r="I181" s="754"/>
      <c r="J181" s="744"/>
      <c r="K181" s="746"/>
      <c r="L181" s="1380"/>
    </row>
    <row r="182" spans="1:12" ht="24">
      <c r="A182" s="449" t="s">
        <v>1255</v>
      </c>
      <c r="B182" s="484" t="s">
        <v>1280</v>
      </c>
      <c r="C182" s="408"/>
      <c r="D182" s="418"/>
      <c r="E182" s="742"/>
      <c r="F182" s="742"/>
      <c r="G182" s="754"/>
      <c r="H182" s="744"/>
      <c r="I182" s="754"/>
      <c r="J182" s="744"/>
      <c r="K182" s="746"/>
      <c r="L182" s="757"/>
    </row>
    <row r="183" spans="1:12" ht="24">
      <c r="A183" s="449" t="s">
        <v>1262</v>
      </c>
      <c r="B183" s="484" t="s">
        <v>1282</v>
      </c>
      <c r="C183" s="408"/>
      <c r="D183" s="418"/>
      <c r="E183" s="742"/>
      <c r="F183" s="742"/>
      <c r="G183" s="754"/>
      <c r="H183" s="744"/>
      <c r="I183" s="754"/>
      <c r="J183" s="744"/>
      <c r="K183" s="746"/>
      <c r="L183" s="757"/>
    </row>
    <row r="184" spans="1:12" ht="24">
      <c r="A184" s="846"/>
      <c r="B184" s="484" t="s">
        <v>1283</v>
      </c>
      <c r="C184" s="408"/>
      <c r="D184" s="418"/>
      <c r="E184" s="742"/>
      <c r="F184" s="742" t="s">
        <v>185</v>
      </c>
      <c r="G184" s="754"/>
      <c r="H184" s="744"/>
      <c r="I184" s="754"/>
      <c r="J184" s="744"/>
      <c r="K184" s="746"/>
      <c r="L184" s="757"/>
    </row>
    <row r="185" spans="1:12" ht="24">
      <c r="A185" s="449"/>
      <c r="B185" s="484" t="s">
        <v>1284</v>
      </c>
      <c r="C185" s="408"/>
      <c r="D185" s="418"/>
      <c r="E185" s="742"/>
      <c r="F185" s="742" t="s">
        <v>185</v>
      </c>
      <c r="G185" s="754"/>
      <c r="H185" s="744"/>
      <c r="I185" s="754"/>
      <c r="J185" s="744"/>
      <c r="K185" s="746"/>
      <c r="L185" s="757"/>
    </row>
    <row r="186" spans="1:12" ht="24">
      <c r="A186" s="449"/>
      <c r="B186" s="484" t="s">
        <v>1285</v>
      </c>
      <c r="C186" s="408"/>
      <c r="D186" s="418"/>
      <c r="E186" s="742"/>
      <c r="F186" s="742" t="s">
        <v>185</v>
      </c>
      <c r="G186" s="754"/>
      <c r="H186" s="744"/>
      <c r="I186" s="754"/>
      <c r="J186" s="744"/>
      <c r="K186" s="746"/>
      <c r="L186" s="757"/>
    </row>
    <row r="187" spans="1:12" ht="24">
      <c r="A187" s="449"/>
      <c r="B187" s="484" t="s">
        <v>1286</v>
      </c>
      <c r="C187" s="408"/>
      <c r="D187" s="418"/>
      <c r="E187" s="742"/>
      <c r="F187" s="742" t="s">
        <v>185</v>
      </c>
      <c r="G187" s="754"/>
      <c r="H187" s="744"/>
      <c r="I187" s="754"/>
      <c r="J187" s="744"/>
      <c r="K187" s="746"/>
      <c r="L187" s="757"/>
    </row>
    <row r="188" spans="1:12" ht="24">
      <c r="A188" s="449"/>
      <c r="B188" s="484" t="s">
        <v>1287</v>
      </c>
      <c r="C188" s="408"/>
      <c r="D188" s="418"/>
      <c r="E188" s="742"/>
      <c r="F188" s="742" t="s">
        <v>185</v>
      </c>
      <c r="G188" s="754"/>
      <c r="H188" s="744"/>
      <c r="I188" s="754"/>
      <c r="J188" s="744"/>
      <c r="K188" s="746"/>
      <c r="L188" s="757"/>
    </row>
    <row r="189" spans="1:12" ht="24">
      <c r="A189" s="449"/>
      <c r="B189" s="484" t="s">
        <v>1288</v>
      </c>
      <c r="C189" s="408"/>
      <c r="D189" s="418"/>
      <c r="E189" s="742"/>
      <c r="F189" s="742" t="s">
        <v>185</v>
      </c>
      <c r="G189" s="754"/>
      <c r="H189" s="744"/>
      <c r="I189" s="754"/>
      <c r="J189" s="744"/>
      <c r="K189" s="746"/>
      <c r="L189" s="757"/>
    </row>
    <row r="190" spans="1:12" ht="24">
      <c r="A190" s="846"/>
      <c r="B190" s="484" t="s">
        <v>1289</v>
      </c>
      <c r="C190" s="408"/>
      <c r="D190" s="418"/>
      <c r="E190" s="742"/>
      <c r="F190" s="742" t="s">
        <v>185</v>
      </c>
      <c r="G190" s="754"/>
      <c r="H190" s="744"/>
      <c r="I190" s="754"/>
      <c r="J190" s="744"/>
      <c r="K190" s="746"/>
      <c r="L190" s="757"/>
    </row>
    <row r="191" spans="1:12" ht="24">
      <c r="A191" s="846"/>
      <c r="B191" s="484" t="s">
        <v>1290</v>
      </c>
      <c r="C191" s="408"/>
      <c r="D191" s="418"/>
      <c r="E191" s="742"/>
      <c r="F191" s="742" t="s">
        <v>185</v>
      </c>
      <c r="G191" s="754"/>
      <c r="H191" s="744"/>
      <c r="I191" s="754"/>
      <c r="J191" s="744"/>
      <c r="K191" s="746"/>
      <c r="L191" s="757"/>
    </row>
    <row r="192" spans="1:12" ht="24">
      <c r="A192" s="449"/>
      <c r="B192" s="484" t="s">
        <v>1291</v>
      </c>
      <c r="C192" s="408"/>
      <c r="D192" s="418"/>
      <c r="E192" s="742"/>
      <c r="F192" s="742" t="s">
        <v>185</v>
      </c>
      <c r="G192" s="754"/>
      <c r="H192" s="744"/>
      <c r="I192" s="754"/>
      <c r="J192" s="744"/>
      <c r="K192" s="746"/>
      <c r="L192" s="757"/>
    </row>
    <row r="193" spans="1:12" ht="24">
      <c r="A193" s="449" t="s">
        <v>2220</v>
      </c>
      <c r="B193" s="484" t="s">
        <v>1293</v>
      </c>
      <c r="C193" s="408"/>
      <c r="D193" s="418"/>
      <c r="E193" s="742"/>
      <c r="F193" s="742"/>
      <c r="G193" s="754"/>
      <c r="H193" s="744"/>
      <c r="I193" s="754"/>
      <c r="J193" s="744"/>
      <c r="K193" s="746"/>
      <c r="L193" s="757"/>
    </row>
    <row r="194" spans="1:12" ht="24">
      <c r="A194" s="449"/>
      <c r="B194" s="484" t="s">
        <v>1284</v>
      </c>
      <c r="C194" s="408"/>
      <c r="D194" s="418"/>
      <c r="E194" s="742"/>
      <c r="F194" s="742" t="s">
        <v>185</v>
      </c>
      <c r="G194" s="754"/>
      <c r="H194" s="744"/>
      <c r="I194" s="754"/>
      <c r="J194" s="744"/>
      <c r="K194" s="746"/>
      <c r="L194" s="757"/>
    </row>
    <row r="195" spans="1:12" ht="24">
      <c r="A195" s="785"/>
      <c r="B195" s="89" t="s">
        <v>1144</v>
      </c>
      <c r="C195" s="89"/>
      <c r="D195" s="899"/>
      <c r="E195" s="794"/>
      <c r="F195" s="789"/>
      <c r="G195" s="791"/>
      <c r="H195" s="744"/>
      <c r="I195" s="791"/>
      <c r="J195" s="744"/>
      <c r="K195" s="746"/>
      <c r="L195" s="1380"/>
    </row>
    <row r="196" spans="1:12" ht="24.75" thickBot="1">
      <c r="A196" s="785"/>
      <c r="B196" s="1407"/>
      <c r="C196" s="89"/>
      <c r="D196" s="899"/>
      <c r="E196" s="794"/>
      <c r="F196" s="789"/>
      <c r="G196" s="791"/>
      <c r="H196" s="744"/>
      <c r="I196" s="791"/>
      <c r="J196" s="744"/>
      <c r="K196" s="746"/>
      <c r="L196" s="1380"/>
    </row>
    <row r="197" spans="1:12" ht="24.75" thickTop="1">
      <c r="A197" s="427"/>
      <c r="B197" s="2159" t="s">
        <v>1264</v>
      </c>
      <c r="C197" s="2195"/>
      <c r="D197" s="2160"/>
      <c r="E197" s="822"/>
      <c r="F197" s="760"/>
      <c r="G197" s="763"/>
      <c r="H197" s="762"/>
      <c r="I197" s="763"/>
      <c r="J197" s="762"/>
      <c r="K197" s="762"/>
      <c r="L197" s="1390"/>
    </row>
    <row r="198" spans="1:12" ht="24">
      <c r="A198" s="836" t="s">
        <v>2221</v>
      </c>
      <c r="B198" s="837" t="s">
        <v>1219</v>
      </c>
      <c r="C198" s="749"/>
      <c r="D198" s="752"/>
      <c r="E198" s="742"/>
      <c r="F198" s="742"/>
      <c r="G198" s="754"/>
      <c r="H198" s="753"/>
      <c r="I198" s="754"/>
      <c r="J198" s="744"/>
      <c r="K198" s="746"/>
      <c r="L198" s="1380"/>
    </row>
    <row r="199" spans="1:12" ht="24">
      <c r="A199" s="449" t="s">
        <v>1266</v>
      </c>
      <c r="B199" s="749" t="s">
        <v>1221</v>
      </c>
      <c r="C199" s="749"/>
      <c r="D199" s="752"/>
      <c r="E199" s="742"/>
      <c r="F199" s="742"/>
      <c r="G199" s="754"/>
      <c r="H199" s="753"/>
      <c r="I199" s="754"/>
      <c r="J199" s="744"/>
      <c r="K199" s="746"/>
      <c r="L199" s="1380"/>
    </row>
    <row r="200" spans="1:12" ht="24">
      <c r="A200" s="449" t="s">
        <v>2222</v>
      </c>
      <c r="B200" s="854" t="s">
        <v>2223</v>
      </c>
      <c r="C200" s="783"/>
      <c r="D200" s="784"/>
      <c r="E200" s="851"/>
      <c r="F200" s="851"/>
      <c r="G200" s="812"/>
      <c r="H200" s="852"/>
      <c r="I200" s="812"/>
      <c r="J200" s="900"/>
      <c r="K200" s="900"/>
      <c r="L200" s="853"/>
    </row>
    <row r="201" spans="1:12" ht="24">
      <c r="A201" s="835"/>
      <c r="B201" s="854" t="s">
        <v>1224</v>
      </c>
      <c r="C201" s="783"/>
      <c r="D201" s="784"/>
      <c r="E201" s="851"/>
      <c r="F201" s="742"/>
      <c r="G201" s="812"/>
      <c r="H201" s="852"/>
      <c r="I201" s="812"/>
      <c r="J201" s="900"/>
      <c r="K201" s="900"/>
      <c r="L201" s="853"/>
    </row>
    <row r="202" spans="1:12" ht="24">
      <c r="A202" s="835"/>
      <c r="B202" s="854" t="s">
        <v>1248</v>
      </c>
      <c r="C202" s="783"/>
      <c r="D202" s="784"/>
      <c r="E202" s="851"/>
      <c r="F202" s="742" t="s">
        <v>185</v>
      </c>
      <c r="G202" s="812"/>
      <c r="H202" s="852"/>
      <c r="I202" s="812"/>
      <c r="J202" s="900"/>
      <c r="K202" s="900"/>
      <c r="L202" s="853"/>
    </row>
    <row r="203" spans="1:12" ht="24">
      <c r="A203" s="835"/>
      <c r="B203" s="854" t="s">
        <v>1226</v>
      </c>
      <c r="C203" s="783"/>
      <c r="D203" s="784"/>
      <c r="E203" s="851"/>
      <c r="F203" s="851"/>
      <c r="G203" s="812"/>
      <c r="H203" s="852"/>
      <c r="I203" s="812"/>
      <c r="J203" s="900"/>
      <c r="K203" s="900"/>
      <c r="L203" s="853"/>
    </row>
    <row r="204" spans="1:12" ht="24">
      <c r="A204" s="835"/>
      <c r="B204" s="854" t="s">
        <v>1227</v>
      </c>
      <c r="C204" s="783"/>
      <c r="D204" s="784"/>
      <c r="E204" s="851"/>
      <c r="F204" s="742" t="s">
        <v>185</v>
      </c>
      <c r="G204" s="812"/>
      <c r="H204" s="852"/>
      <c r="I204" s="812"/>
      <c r="J204" s="900"/>
      <c r="K204" s="900"/>
      <c r="L204" s="1408"/>
    </row>
    <row r="205" spans="1:12" ht="24">
      <c r="A205" s="835"/>
      <c r="B205" s="854" t="s">
        <v>1228</v>
      </c>
      <c r="C205" s="783"/>
      <c r="D205" s="784"/>
      <c r="E205" s="851"/>
      <c r="F205" s="742" t="s">
        <v>185</v>
      </c>
      <c r="G205" s="812"/>
      <c r="H205" s="852"/>
      <c r="I205" s="812"/>
      <c r="J205" s="900"/>
      <c r="K205" s="900"/>
      <c r="L205" s="1408"/>
    </row>
    <row r="206" spans="1:12" ht="24">
      <c r="A206" s="835"/>
      <c r="B206" s="854" t="s">
        <v>1229</v>
      </c>
      <c r="C206" s="783"/>
      <c r="D206" s="784"/>
      <c r="E206" s="851"/>
      <c r="F206" s="742" t="s">
        <v>185</v>
      </c>
      <c r="G206" s="812"/>
      <c r="H206" s="852"/>
      <c r="I206" s="812"/>
      <c r="J206" s="900"/>
      <c r="K206" s="900"/>
      <c r="L206" s="1408"/>
    </row>
    <row r="207" spans="1:12" ht="24">
      <c r="A207" s="835"/>
      <c r="B207" s="854" t="s">
        <v>1230</v>
      </c>
      <c r="C207" s="783"/>
      <c r="D207" s="784"/>
      <c r="E207" s="851"/>
      <c r="F207" s="742" t="s">
        <v>185</v>
      </c>
      <c r="G207" s="812"/>
      <c r="H207" s="852"/>
      <c r="I207" s="812"/>
      <c r="J207" s="900"/>
      <c r="K207" s="900"/>
      <c r="L207" s="1408"/>
    </row>
    <row r="208" spans="1:12" ht="24">
      <c r="A208" s="835"/>
      <c r="B208" s="854" t="s">
        <v>1231</v>
      </c>
      <c r="C208" s="783"/>
      <c r="D208" s="784"/>
      <c r="E208" s="851"/>
      <c r="F208" s="742" t="s">
        <v>185</v>
      </c>
      <c r="G208" s="812"/>
      <c r="H208" s="852"/>
      <c r="I208" s="812"/>
      <c r="J208" s="900"/>
      <c r="K208" s="900"/>
      <c r="L208" s="1408"/>
    </row>
    <row r="209" spans="1:12" ht="24">
      <c r="A209" s="835"/>
      <c r="B209" s="848" t="s">
        <v>1239</v>
      </c>
      <c r="C209" s="849"/>
      <c r="D209" s="784"/>
      <c r="E209" s="851"/>
      <c r="F209" s="851"/>
      <c r="G209" s="812"/>
      <c r="H209" s="852"/>
      <c r="I209" s="812"/>
      <c r="J209" s="900"/>
      <c r="K209" s="900"/>
      <c r="L209" s="1409"/>
    </row>
    <row r="210" spans="1:12" ht="24">
      <c r="A210" s="835"/>
      <c r="B210" s="854" t="s">
        <v>1249</v>
      </c>
      <c r="C210" s="783"/>
      <c r="D210" s="784"/>
      <c r="E210" s="851"/>
      <c r="F210" s="742" t="s">
        <v>185</v>
      </c>
      <c r="G210" s="812"/>
      <c r="H210" s="852"/>
      <c r="I210" s="812"/>
      <c r="J210" s="900"/>
      <c r="K210" s="900"/>
      <c r="L210" s="1409"/>
    </row>
    <row r="211" spans="1:12" ht="24">
      <c r="A211" s="835"/>
      <c r="B211" s="854" t="s">
        <v>1234</v>
      </c>
      <c r="C211" s="783"/>
      <c r="D211" s="784"/>
      <c r="E211" s="851"/>
      <c r="F211" s="742" t="s">
        <v>185</v>
      </c>
      <c r="G211" s="812"/>
      <c r="H211" s="900"/>
      <c r="I211" s="812"/>
      <c r="J211" s="900"/>
      <c r="K211" s="901"/>
      <c r="L211" s="1409"/>
    </row>
    <row r="212" spans="1:12" ht="24">
      <c r="A212" s="449" t="s">
        <v>2224</v>
      </c>
      <c r="B212" s="854" t="s">
        <v>2225</v>
      </c>
      <c r="C212" s="783"/>
      <c r="D212" s="784"/>
      <c r="E212" s="851"/>
      <c r="F212" s="851"/>
      <c r="G212" s="812"/>
      <c r="H212" s="852"/>
      <c r="I212" s="812"/>
      <c r="J212" s="900"/>
      <c r="K212" s="900"/>
      <c r="L212" s="1409"/>
    </row>
    <row r="213" spans="1:12" ht="24">
      <c r="A213" s="835"/>
      <c r="B213" s="854" t="s">
        <v>1224</v>
      </c>
      <c r="C213" s="783"/>
      <c r="D213" s="784"/>
      <c r="E213" s="851"/>
      <c r="F213" s="742"/>
      <c r="G213" s="812"/>
      <c r="H213" s="852"/>
      <c r="I213" s="812"/>
      <c r="J213" s="900"/>
      <c r="K213" s="900"/>
      <c r="L213" s="1409"/>
    </row>
    <row r="214" spans="1:12" ht="24">
      <c r="A214" s="835"/>
      <c r="B214" s="854" t="s">
        <v>1225</v>
      </c>
      <c r="C214" s="783"/>
      <c r="D214" s="784"/>
      <c r="E214" s="851"/>
      <c r="F214" s="742" t="s">
        <v>185</v>
      </c>
      <c r="G214" s="812"/>
      <c r="H214" s="852"/>
      <c r="I214" s="812"/>
      <c r="J214" s="900"/>
      <c r="K214" s="900"/>
      <c r="L214" s="1409"/>
    </row>
    <row r="215" spans="1:12" ht="24">
      <c r="A215" s="835"/>
      <c r="B215" s="854" t="s">
        <v>1226</v>
      </c>
      <c r="C215" s="783"/>
      <c r="D215" s="784"/>
      <c r="E215" s="851"/>
      <c r="F215" s="851"/>
      <c r="G215" s="812"/>
      <c r="H215" s="852"/>
      <c r="I215" s="812"/>
      <c r="J215" s="900"/>
      <c r="K215" s="900"/>
      <c r="L215" s="1409"/>
    </row>
    <row r="216" spans="1:12" ht="24">
      <c r="A216" s="835"/>
      <c r="B216" s="854" t="s">
        <v>1227</v>
      </c>
      <c r="C216" s="783"/>
      <c r="D216" s="784"/>
      <c r="E216" s="851"/>
      <c r="F216" s="742" t="s">
        <v>185</v>
      </c>
      <c r="G216" s="812"/>
      <c r="H216" s="852"/>
      <c r="I216" s="812"/>
      <c r="J216" s="900"/>
      <c r="K216" s="900"/>
      <c r="L216" s="1408"/>
    </row>
    <row r="217" spans="1:12" ht="24">
      <c r="A217" s="835"/>
      <c r="B217" s="854" t="s">
        <v>1228</v>
      </c>
      <c r="C217" s="783"/>
      <c r="D217" s="784"/>
      <c r="E217" s="851"/>
      <c r="F217" s="742" t="s">
        <v>185</v>
      </c>
      <c r="G217" s="812"/>
      <c r="H217" s="852"/>
      <c r="I217" s="812"/>
      <c r="J217" s="900"/>
      <c r="K217" s="900"/>
      <c r="L217" s="1408"/>
    </row>
    <row r="218" spans="1:12" ht="24">
      <c r="A218" s="834"/>
      <c r="B218" s="860" t="s">
        <v>1229</v>
      </c>
      <c r="C218" s="797"/>
      <c r="D218" s="861"/>
      <c r="E218" s="800"/>
      <c r="F218" s="800" t="s">
        <v>185</v>
      </c>
      <c r="G218" s="802"/>
      <c r="H218" s="1046"/>
      <c r="I218" s="802"/>
      <c r="J218" s="948"/>
      <c r="K218" s="948"/>
      <c r="L218" s="1410"/>
    </row>
    <row r="219" spans="1:12" ht="24">
      <c r="A219" s="835"/>
      <c r="B219" s="856" t="s">
        <v>1230</v>
      </c>
      <c r="C219" s="783"/>
      <c r="D219" s="784"/>
      <c r="E219" s="851"/>
      <c r="F219" s="851" t="s">
        <v>185</v>
      </c>
      <c r="G219" s="812"/>
      <c r="H219" s="852"/>
      <c r="I219" s="812"/>
      <c r="J219" s="920"/>
      <c r="K219" s="920"/>
      <c r="L219" s="1411"/>
    </row>
    <row r="220" spans="1:12" ht="24">
      <c r="A220" s="835"/>
      <c r="B220" s="854" t="s">
        <v>1231</v>
      </c>
      <c r="C220" s="783"/>
      <c r="D220" s="784"/>
      <c r="E220" s="851"/>
      <c r="F220" s="742" t="s">
        <v>185</v>
      </c>
      <c r="G220" s="812"/>
      <c r="H220" s="852"/>
      <c r="I220" s="812"/>
      <c r="J220" s="900"/>
      <c r="K220" s="900"/>
      <c r="L220" s="1408"/>
    </row>
    <row r="221" spans="1:12" ht="24">
      <c r="A221" s="835"/>
      <c r="B221" s="848" t="s">
        <v>1232</v>
      </c>
      <c r="C221" s="849"/>
      <c r="D221" s="784"/>
      <c r="E221" s="851"/>
      <c r="F221" s="851"/>
      <c r="G221" s="812"/>
      <c r="H221" s="852"/>
      <c r="I221" s="812"/>
      <c r="J221" s="900"/>
      <c r="K221" s="900"/>
      <c r="L221" s="1409"/>
    </row>
    <row r="222" spans="1:12" ht="24">
      <c r="A222" s="835"/>
      <c r="B222" s="854" t="s">
        <v>1233</v>
      </c>
      <c r="C222" s="783"/>
      <c r="D222" s="784"/>
      <c r="E222" s="851"/>
      <c r="F222" s="742" t="s">
        <v>185</v>
      </c>
      <c r="G222" s="812"/>
      <c r="H222" s="852"/>
      <c r="I222" s="812"/>
      <c r="J222" s="900"/>
      <c r="K222" s="900"/>
      <c r="L222" s="1409"/>
    </row>
    <row r="223" spans="1:12" ht="24">
      <c r="A223" s="835"/>
      <c r="B223" s="854" t="s">
        <v>1234</v>
      </c>
      <c r="C223" s="783"/>
      <c r="D223" s="784"/>
      <c r="E223" s="851"/>
      <c r="F223" s="742" t="s">
        <v>185</v>
      </c>
      <c r="G223" s="812"/>
      <c r="H223" s="900"/>
      <c r="I223" s="812"/>
      <c r="J223" s="900"/>
      <c r="K223" s="901"/>
      <c r="L223" s="1409"/>
    </row>
    <row r="224" spans="1:12" ht="24">
      <c r="A224" s="835" t="s">
        <v>2226</v>
      </c>
      <c r="B224" s="848" t="s">
        <v>2227</v>
      </c>
      <c r="C224" s="849"/>
      <c r="D224" s="784"/>
      <c r="E224" s="851"/>
      <c r="F224" s="851"/>
      <c r="G224" s="812"/>
      <c r="H224" s="852"/>
      <c r="I224" s="812"/>
      <c r="J224" s="744"/>
      <c r="K224" s="744"/>
      <c r="L224" s="1412"/>
    </row>
    <row r="225" spans="1:12" ht="24">
      <c r="A225" s="835"/>
      <c r="B225" s="854" t="s">
        <v>1224</v>
      </c>
      <c r="C225" s="783"/>
      <c r="D225" s="784"/>
      <c r="E225" s="851"/>
      <c r="F225" s="742"/>
      <c r="G225" s="812"/>
      <c r="H225" s="852"/>
      <c r="I225" s="812"/>
      <c r="J225" s="744"/>
      <c r="K225" s="744"/>
      <c r="L225" s="1412"/>
    </row>
    <row r="226" spans="1:12" ht="24">
      <c r="A226" s="835"/>
      <c r="B226" s="854" t="s">
        <v>1237</v>
      </c>
      <c r="C226" s="783"/>
      <c r="D226" s="784"/>
      <c r="E226" s="851"/>
      <c r="F226" s="742" t="s">
        <v>185</v>
      </c>
      <c r="G226" s="812"/>
      <c r="H226" s="852"/>
      <c r="I226" s="812"/>
      <c r="J226" s="744"/>
      <c r="K226" s="744"/>
      <c r="L226" s="1412"/>
    </row>
    <row r="227" spans="1:12" ht="24">
      <c r="A227" s="835"/>
      <c r="B227" s="854" t="s">
        <v>1226</v>
      </c>
      <c r="C227" s="783"/>
      <c r="D227" s="784"/>
      <c r="E227" s="851"/>
      <c r="F227" s="851"/>
      <c r="G227" s="812"/>
      <c r="H227" s="852"/>
      <c r="I227" s="812"/>
      <c r="J227" s="744"/>
      <c r="K227" s="744"/>
      <c r="L227" s="1412"/>
    </row>
    <row r="228" spans="1:12" ht="24">
      <c r="A228" s="835"/>
      <c r="B228" s="854" t="s">
        <v>2228</v>
      </c>
      <c r="C228" s="783"/>
      <c r="D228" s="784"/>
      <c r="E228" s="851"/>
      <c r="F228" s="742" t="s">
        <v>185</v>
      </c>
      <c r="G228" s="812"/>
      <c r="H228" s="852"/>
      <c r="I228" s="812"/>
      <c r="J228" s="900"/>
      <c r="K228" s="900"/>
      <c r="L228" s="1408"/>
    </row>
    <row r="229" spans="1:12" ht="24">
      <c r="A229" s="835"/>
      <c r="B229" s="854" t="s">
        <v>1228</v>
      </c>
      <c r="C229" s="783"/>
      <c r="D229" s="784"/>
      <c r="E229" s="851"/>
      <c r="F229" s="742" t="s">
        <v>185</v>
      </c>
      <c r="G229" s="812"/>
      <c r="H229" s="852"/>
      <c r="I229" s="812"/>
      <c r="J229" s="900"/>
      <c r="K229" s="900"/>
      <c r="L229" s="1408"/>
    </row>
    <row r="230" spans="1:12" ht="24">
      <c r="A230" s="835"/>
      <c r="B230" s="854" t="s">
        <v>1229</v>
      </c>
      <c r="C230" s="783"/>
      <c r="D230" s="784"/>
      <c r="E230" s="851"/>
      <c r="F230" s="742" t="s">
        <v>185</v>
      </c>
      <c r="G230" s="812"/>
      <c r="H230" s="852"/>
      <c r="I230" s="812"/>
      <c r="J230" s="900"/>
      <c r="K230" s="900"/>
      <c r="L230" s="1408"/>
    </row>
    <row r="231" spans="1:12" ht="24">
      <c r="A231" s="835"/>
      <c r="B231" s="854" t="s">
        <v>1230</v>
      </c>
      <c r="C231" s="783"/>
      <c r="D231" s="784"/>
      <c r="E231" s="851"/>
      <c r="F231" s="742" t="s">
        <v>185</v>
      </c>
      <c r="G231" s="812"/>
      <c r="H231" s="852"/>
      <c r="I231" s="812"/>
      <c r="J231" s="900"/>
      <c r="K231" s="900"/>
      <c r="L231" s="1408"/>
    </row>
    <row r="232" spans="1:12" ht="24">
      <c r="A232" s="835"/>
      <c r="B232" s="854" t="s">
        <v>1231</v>
      </c>
      <c r="C232" s="783"/>
      <c r="D232" s="784"/>
      <c r="E232" s="851"/>
      <c r="F232" s="742" t="s">
        <v>185</v>
      </c>
      <c r="G232" s="812"/>
      <c r="H232" s="852"/>
      <c r="I232" s="812"/>
      <c r="J232" s="900"/>
      <c r="K232" s="900"/>
      <c r="L232" s="1408"/>
    </row>
    <row r="233" spans="1:12" ht="24">
      <c r="A233" s="835"/>
      <c r="B233" s="848" t="s">
        <v>1239</v>
      </c>
      <c r="C233" s="849"/>
      <c r="D233" s="784"/>
      <c r="E233" s="851"/>
      <c r="F233" s="851"/>
      <c r="G233" s="812"/>
      <c r="H233" s="852"/>
      <c r="I233" s="812"/>
      <c r="J233" s="744"/>
      <c r="K233" s="744"/>
      <c r="L233" s="1408"/>
    </row>
    <row r="234" spans="1:12" ht="24">
      <c r="A234" s="835"/>
      <c r="B234" s="854" t="s">
        <v>1240</v>
      </c>
      <c r="C234" s="783"/>
      <c r="D234" s="784"/>
      <c r="E234" s="851"/>
      <c r="F234" s="742" t="s">
        <v>185</v>
      </c>
      <c r="G234" s="812"/>
      <c r="H234" s="852"/>
      <c r="I234" s="812"/>
      <c r="J234" s="900"/>
      <c r="K234" s="744"/>
      <c r="L234" s="1378"/>
    </row>
    <row r="235" spans="1:12" ht="24">
      <c r="A235" s="835"/>
      <c r="B235" s="854" t="s">
        <v>1234</v>
      </c>
      <c r="C235" s="783"/>
      <c r="D235" s="784"/>
      <c r="E235" s="851"/>
      <c r="F235" s="742" t="s">
        <v>185</v>
      </c>
      <c r="G235" s="812"/>
      <c r="H235" s="744"/>
      <c r="I235" s="812"/>
      <c r="J235" s="744"/>
      <c r="K235" s="746"/>
      <c r="L235" s="1378"/>
    </row>
    <row r="236" spans="1:12" ht="24">
      <c r="A236" s="449" t="s">
        <v>1268</v>
      </c>
      <c r="B236" s="749" t="s">
        <v>1256</v>
      </c>
      <c r="C236" s="749"/>
      <c r="D236" s="752"/>
      <c r="E236" s="742"/>
      <c r="F236" s="742"/>
      <c r="G236" s="754"/>
      <c r="H236" s="753"/>
      <c r="I236" s="754"/>
      <c r="J236" s="744"/>
      <c r="K236" s="746"/>
      <c r="L236" s="1380"/>
    </row>
    <row r="237" spans="1:12" ht="24">
      <c r="A237" s="449"/>
      <c r="B237" s="749" t="s">
        <v>1257</v>
      </c>
      <c r="C237" s="749"/>
      <c r="D237" s="752"/>
      <c r="E237" s="742"/>
      <c r="F237" s="789" t="s">
        <v>1109</v>
      </c>
      <c r="G237" s="754"/>
      <c r="H237" s="753"/>
      <c r="I237" s="754"/>
      <c r="J237" s="744"/>
      <c r="K237" s="746"/>
      <c r="L237" s="1380"/>
    </row>
    <row r="238" spans="1:12" ht="24">
      <c r="A238" s="449"/>
      <c r="B238" s="749" t="s">
        <v>1258</v>
      </c>
      <c r="C238" s="749"/>
      <c r="D238" s="752"/>
      <c r="E238" s="742"/>
      <c r="F238" s="789" t="s">
        <v>1109</v>
      </c>
      <c r="G238" s="754"/>
      <c r="H238" s="753"/>
      <c r="I238" s="754"/>
      <c r="J238" s="744"/>
      <c r="K238" s="746"/>
      <c r="L238" s="1380"/>
    </row>
    <row r="239" spans="1:12" ht="24">
      <c r="A239" s="834"/>
      <c r="B239" s="797" t="s">
        <v>1259</v>
      </c>
      <c r="C239" s="797"/>
      <c r="D239" s="861"/>
      <c r="E239" s="800"/>
      <c r="F239" s="801" t="s">
        <v>1109</v>
      </c>
      <c r="G239" s="802"/>
      <c r="H239" s="1046"/>
      <c r="I239" s="802"/>
      <c r="J239" s="803"/>
      <c r="K239" s="805"/>
      <c r="L239" s="1383"/>
    </row>
    <row r="240" spans="1:12" ht="24">
      <c r="A240" s="835"/>
      <c r="B240" s="783" t="s">
        <v>1260</v>
      </c>
      <c r="C240" s="783"/>
      <c r="D240" s="784"/>
      <c r="E240" s="851"/>
      <c r="F240" s="811" t="s">
        <v>1109</v>
      </c>
      <c r="G240" s="812"/>
      <c r="H240" s="852"/>
      <c r="I240" s="812"/>
      <c r="J240" s="813"/>
      <c r="K240" s="814"/>
      <c r="L240" s="1386"/>
    </row>
    <row r="241" spans="1:12" ht="24">
      <c r="A241" s="449"/>
      <c r="B241" s="749" t="s">
        <v>1261</v>
      </c>
      <c r="C241" s="749"/>
      <c r="D241" s="752"/>
      <c r="E241" s="742"/>
      <c r="F241" s="789" t="s">
        <v>1109</v>
      </c>
      <c r="G241" s="754"/>
      <c r="H241" s="753"/>
      <c r="I241" s="754"/>
      <c r="J241" s="744"/>
      <c r="K241" s="746"/>
      <c r="L241" s="1380"/>
    </row>
    <row r="242" spans="1:12" ht="24">
      <c r="A242" s="449" t="s">
        <v>1279</v>
      </c>
      <c r="B242" s="749" t="s">
        <v>1263</v>
      </c>
      <c r="C242" s="749"/>
      <c r="D242" s="752"/>
      <c r="E242" s="742"/>
      <c r="F242" s="742"/>
      <c r="G242" s="754"/>
      <c r="H242" s="753"/>
      <c r="I242" s="754"/>
      <c r="J242" s="744"/>
      <c r="K242" s="746"/>
      <c r="L242" s="1380"/>
    </row>
    <row r="243" spans="1:12" ht="24">
      <c r="A243" s="449"/>
      <c r="B243" s="749" t="s">
        <v>1116</v>
      </c>
      <c r="C243" s="749"/>
      <c r="D243" s="752"/>
      <c r="E243" s="742"/>
      <c r="F243" s="789" t="s">
        <v>1109</v>
      </c>
      <c r="G243" s="754"/>
      <c r="H243" s="753"/>
      <c r="I243" s="754"/>
      <c r="J243" s="900"/>
      <c r="K243" s="746"/>
      <c r="L243" s="1380"/>
    </row>
    <row r="244" spans="1:12" ht="24">
      <c r="A244" s="449"/>
      <c r="B244" s="749" t="s">
        <v>1117</v>
      </c>
      <c r="C244" s="749"/>
      <c r="D244" s="752"/>
      <c r="E244" s="742"/>
      <c r="F244" s="789" t="s">
        <v>1109</v>
      </c>
      <c r="G244" s="754"/>
      <c r="H244" s="753"/>
      <c r="I244" s="754"/>
      <c r="J244" s="900"/>
      <c r="K244" s="746"/>
      <c r="L244" s="1380"/>
    </row>
    <row r="245" spans="1:12" ht="24">
      <c r="A245" s="449"/>
      <c r="B245" s="749" t="s">
        <v>1151</v>
      </c>
      <c r="C245" s="749"/>
      <c r="D245" s="752"/>
      <c r="E245" s="742"/>
      <c r="F245" s="789" t="s">
        <v>1109</v>
      </c>
      <c r="G245" s="754"/>
      <c r="H245" s="753"/>
      <c r="I245" s="754"/>
      <c r="J245" s="900"/>
      <c r="K245" s="746"/>
      <c r="L245" s="1380"/>
    </row>
    <row r="246" spans="1:12" ht="24">
      <c r="A246" s="449"/>
      <c r="B246" s="749" t="s">
        <v>1119</v>
      </c>
      <c r="C246" s="749"/>
      <c r="D246" s="752"/>
      <c r="E246" s="742"/>
      <c r="F246" s="789" t="s">
        <v>1109</v>
      </c>
      <c r="G246" s="754"/>
      <c r="H246" s="753"/>
      <c r="I246" s="754"/>
      <c r="J246" s="900"/>
      <c r="K246" s="746"/>
      <c r="L246" s="1380"/>
    </row>
    <row r="247" spans="1:12" ht="24">
      <c r="A247" s="449"/>
      <c r="B247" s="749" t="s">
        <v>1168</v>
      </c>
      <c r="C247" s="749"/>
      <c r="D247" s="752"/>
      <c r="E247" s="742"/>
      <c r="F247" s="742" t="s">
        <v>1112</v>
      </c>
      <c r="G247" s="754"/>
      <c r="H247" s="753"/>
      <c r="I247" s="754"/>
      <c r="J247" s="900"/>
      <c r="K247" s="746"/>
      <c r="L247" s="1380"/>
    </row>
    <row r="248" spans="1:12" ht="24">
      <c r="A248" s="825"/>
      <c r="B248" s="792" t="s">
        <v>1144</v>
      </c>
      <c r="C248" s="808"/>
      <c r="D248" s="809"/>
      <c r="E248" s="810"/>
      <c r="F248" s="811"/>
      <c r="G248" s="827"/>
      <c r="H248" s="813"/>
      <c r="I248" s="827"/>
      <c r="J248" s="813"/>
      <c r="K248" s="814"/>
      <c r="L248" s="1386"/>
    </row>
    <row r="249" spans="1:12" ht="24">
      <c r="A249" s="825"/>
      <c r="B249" s="1413"/>
      <c r="C249" s="808"/>
      <c r="D249" s="809"/>
      <c r="E249" s="1401"/>
      <c r="F249" s="1414"/>
      <c r="G249" s="791"/>
      <c r="H249" s="744"/>
      <c r="I249" s="791"/>
      <c r="J249" s="813"/>
      <c r="K249" s="814"/>
      <c r="L249" s="1386"/>
    </row>
    <row r="250" spans="1:12" ht="24">
      <c r="A250" s="825"/>
      <c r="B250" s="1413"/>
      <c r="C250" s="808"/>
      <c r="D250" s="809"/>
      <c r="E250" s="1401"/>
      <c r="F250" s="1414"/>
      <c r="G250" s="791"/>
      <c r="H250" s="744"/>
      <c r="I250" s="791"/>
      <c r="J250" s="813"/>
      <c r="K250" s="814"/>
      <c r="L250" s="1386"/>
    </row>
    <row r="251" spans="1:12" ht="24">
      <c r="A251" s="825"/>
      <c r="B251" s="1413"/>
      <c r="C251" s="808"/>
      <c r="D251" s="809"/>
      <c r="E251" s="1401"/>
      <c r="F251" s="1415"/>
      <c r="G251" s="1416"/>
      <c r="H251" s="1417"/>
      <c r="I251" s="1416"/>
      <c r="J251" s="813"/>
      <c r="K251" s="814"/>
      <c r="L251" s="1386"/>
    </row>
    <row r="252" spans="1:12" ht="24.75" thickBot="1">
      <c r="A252" s="1418"/>
      <c r="B252" s="1419"/>
      <c r="C252" s="408"/>
      <c r="D252" s="418"/>
      <c r="E252" s="742"/>
      <c r="F252" s="742"/>
      <c r="G252" s="881"/>
      <c r="H252" s="880"/>
      <c r="I252" s="881"/>
      <c r="J252" s="744"/>
      <c r="K252" s="746"/>
      <c r="L252" s="1380"/>
    </row>
    <row r="253" spans="1:12" ht="24.75" thickTop="1">
      <c r="A253" s="427"/>
      <c r="B253" s="2159" t="s">
        <v>1294</v>
      </c>
      <c r="C253" s="2195"/>
      <c r="D253" s="2160"/>
      <c r="E253" s="822"/>
      <c r="F253" s="760"/>
      <c r="G253" s="763"/>
      <c r="H253" s="762"/>
      <c r="I253" s="763"/>
      <c r="J253" s="762"/>
      <c r="K253" s="762"/>
      <c r="L253" s="1390"/>
    </row>
    <row r="254" spans="1:12" ht="24">
      <c r="A254" s="836" t="s">
        <v>1295</v>
      </c>
      <c r="B254" s="1420" t="s">
        <v>1296</v>
      </c>
      <c r="C254" s="408"/>
      <c r="D254" s="418"/>
      <c r="E254" s="742"/>
      <c r="F254" s="742" t="s">
        <v>1112</v>
      </c>
      <c r="G254" s="791"/>
      <c r="H254" s="744"/>
      <c r="I254" s="791"/>
      <c r="J254" s="900"/>
      <c r="K254" s="746"/>
      <c r="L254" s="1380"/>
    </row>
    <row r="255" spans="1:12" ht="24">
      <c r="A255" s="836"/>
      <c r="B255" s="1421"/>
      <c r="C255" s="408"/>
      <c r="D255" s="418"/>
      <c r="E255" s="742"/>
      <c r="F255" s="742"/>
      <c r="G255" s="881"/>
      <c r="H255" s="880"/>
      <c r="I255" s="881"/>
      <c r="J255" s="744"/>
      <c r="K255" s="746"/>
      <c r="L255" s="1380"/>
    </row>
    <row r="256" spans="1:12" ht="24">
      <c r="A256" s="836"/>
      <c r="B256" s="1421"/>
      <c r="C256" s="408"/>
      <c r="D256" s="418"/>
      <c r="E256" s="742"/>
      <c r="F256" s="742"/>
      <c r="G256" s="881"/>
      <c r="H256" s="880"/>
      <c r="I256" s="881"/>
      <c r="J256" s="744"/>
      <c r="K256" s="746"/>
      <c r="L256" s="1380"/>
    </row>
    <row r="257" spans="1:12" ht="24">
      <c r="A257" s="836"/>
      <c r="B257" s="1421"/>
      <c r="C257" s="408"/>
      <c r="D257" s="418"/>
      <c r="E257" s="742"/>
      <c r="F257" s="742"/>
      <c r="G257" s="881"/>
      <c r="H257" s="880"/>
      <c r="I257" s="881"/>
      <c r="J257" s="744"/>
      <c r="K257" s="746"/>
      <c r="L257" s="1380"/>
    </row>
    <row r="258" spans="1:12" ht="24">
      <c r="A258" s="836"/>
      <c r="B258" s="1421"/>
      <c r="C258" s="408"/>
      <c r="D258" s="418"/>
      <c r="E258" s="742"/>
      <c r="F258" s="742"/>
      <c r="G258" s="881"/>
      <c r="H258" s="880"/>
      <c r="I258" s="881"/>
      <c r="J258" s="744"/>
      <c r="K258" s="746"/>
      <c r="L258" s="1380"/>
    </row>
    <row r="259" spans="1:12" ht="24.75" thickBot="1">
      <c r="A259" s="883"/>
      <c r="B259" s="1422"/>
      <c r="C259" s="89"/>
      <c r="D259" s="899"/>
      <c r="E259" s="794"/>
      <c r="F259" s="789"/>
      <c r="G259" s="887"/>
      <c r="H259" s="886"/>
      <c r="I259" s="887"/>
      <c r="J259" s="744"/>
      <c r="K259" s="746"/>
      <c r="L259" s="1380"/>
    </row>
    <row r="260" spans="1:12" ht="24.75" thickTop="1">
      <c r="A260" s="427"/>
      <c r="B260" s="2159" t="s">
        <v>1297</v>
      </c>
      <c r="C260" s="2195"/>
      <c r="D260" s="2160"/>
      <c r="E260" s="822"/>
      <c r="F260" s="760"/>
      <c r="G260" s="763"/>
      <c r="H260" s="762"/>
      <c r="I260" s="763"/>
      <c r="J260" s="762"/>
      <c r="K260" s="762"/>
      <c r="L260" s="1390"/>
    </row>
  </sheetData>
  <mergeCells count="25">
    <mergeCell ref="B83:D83"/>
    <mergeCell ref="K4:L4"/>
    <mergeCell ref="D6:E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62:D62"/>
    <mergeCell ref="B81:D81"/>
    <mergeCell ref="B82:D82"/>
    <mergeCell ref="B197:D197"/>
    <mergeCell ref="B253:D253"/>
    <mergeCell ref="B260:D260"/>
    <mergeCell ref="G85:H85"/>
    <mergeCell ref="B107:D107"/>
    <mergeCell ref="G110:H110"/>
    <mergeCell ref="B114:D114"/>
    <mergeCell ref="G167:H167"/>
    <mergeCell ref="B176:D176"/>
  </mergeCells>
  <printOptions horizontalCentered="1"/>
  <pageMargins left="0" right="0" top="0.35433070866141736" bottom="0.43307086614173229" header="0.35433070866141736" footer="0.15748031496062992"/>
  <pageSetup paperSize="9" scale="80" orientation="landscape" r:id="rId1"/>
  <headerFooter>
    <oddHeader xml:space="preserve">&amp;Rแผ่นที่ &amp;P ใน &amp;N แผ่น                    </oddHeader>
    <oddFooter xml:space="preserve">&amp;Rงานระบบสุขาภิบาล-ป้องกันอัคคีภัย - อาคารส่วนกีฬาและสระว่ายน้ำ                    </oddFooter>
  </headerFooter>
  <rowBreaks count="11" manualBreakCount="11">
    <brk id="30" max="11" man="1"/>
    <brk id="51" max="11" man="1"/>
    <brk id="72" max="11" man="1"/>
    <brk id="93" max="11" man="1"/>
    <brk id="114" max="11" man="1"/>
    <brk id="135" max="11" man="1"/>
    <brk id="155" max="11" man="1"/>
    <brk id="176" max="11" man="1"/>
    <brk id="197" max="11" man="1"/>
    <brk id="218" max="11" man="1"/>
    <brk id="2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showGridLines="0" view="pageBreakPreview" topLeftCell="A4" zoomScaleNormal="90" zoomScaleSheetLayoutView="100" workbookViewId="0">
      <selection activeCell="B37" sqref="B37:C37"/>
    </sheetView>
  </sheetViews>
  <sheetFormatPr defaultRowHeight="24"/>
  <cols>
    <col min="1" max="1" width="9.140625" style="1579" customWidth="1"/>
    <col min="2" max="2" width="12.7109375" style="1579" customWidth="1"/>
    <col min="3" max="3" width="50.85546875" style="1579" customWidth="1"/>
    <col min="4" max="4" width="22.7109375" style="1579" customWidth="1"/>
    <col min="5" max="5" width="12.7109375" style="1579" customWidth="1"/>
    <col min="6" max="6" width="22.42578125" style="1579" customWidth="1"/>
    <col min="7" max="250" width="9.140625" style="1579"/>
    <col min="251" max="251" width="7.7109375" style="1579" customWidth="1"/>
    <col min="252" max="252" width="12.7109375" style="1579" customWidth="1"/>
    <col min="253" max="253" width="20.7109375" style="1579" customWidth="1"/>
    <col min="254" max="254" width="14.7109375" style="1579" customWidth="1"/>
    <col min="255" max="255" width="12.7109375" style="1579" customWidth="1"/>
    <col min="256" max="256" width="16.7109375" style="1579" customWidth="1"/>
    <col min="257" max="257" width="14.7109375" style="1579" customWidth="1"/>
    <col min="258" max="259" width="9.140625" style="1579"/>
    <col min="260" max="260" width="14" style="1579" bestFit="1" customWidth="1"/>
    <col min="261" max="506" width="9.140625" style="1579"/>
    <col min="507" max="507" width="7.7109375" style="1579" customWidth="1"/>
    <col min="508" max="508" width="12.7109375" style="1579" customWidth="1"/>
    <col min="509" max="509" width="20.7109375" style="1579" customWidth="1"/>
    <col min="510" max="510" width="14.7109375" style="1579" customWidth="1"/>
    <col min="511" max="511" width="12.7109375" style="1579" customWidth="1"/>
    <col min="512" max="512" width="16.7109375" style="1579" customWidth="1"/>
    <col min="513" max="513" width="14.7109375" style="1579" customWidth="1"/>
    <col min="514" max="515" width="9.140625" style="1579"/>
    <col min="516" max="516" width="14" style="1579" bestFit="1" customWidth="1"/>
    <col min="517" max="762" width="9.140625" style="1579"/>
    <col min="763" max="763" width="7.7109375" style="1579" customWidth="1"/>
    <col min="764" max="764" width="12.7109375" style="1579" customWidth="1"/>
    <col min="765" max="765" width="20.7109375" style="1579" customWidth="1"/>
    <col min="766" max="766" width="14.7109375" style="1579" customWidth="1"/>
    <col min="767" max="767" width="12.7109375" style="1579" customWidth="1"/>
    <col min="768" max="768" width="16.7109375" style="1579" customWidth="1"/>
    <col min="769" max="769" width="14.7109375" style="1579" customWidth="1"/>
    <col min="770" max="771" width="9.140625" style="1579"/>
    <col min="772" max="772" width="14" style="1579" bestFit="1" customWidth="1"/>
    <col min="773" max="1018" width="9.140625" style="1579"/>
    <col min="1019" max="1019" width="7.7109375" style="1579" customWidth="1"/>
    <col min="1020" max="1020" width="12.7109375" style="1579" customWidth="1"/>
    <col min="1021" max="1021" width="20.7109375" style="1579" customWidth="1"/>
    <col min="1022" max="1022" width="14.7109375" style="1579" customWidth="1"/>
    <col min="1023" max="1023" width="12.7109375" style="1579" customWidth="1"/>
    <col min="1024" max="1024" width="16.7109375" style="1579" customWidth="1"/>
    <col min="1025" max="1025" width="14.7109375" style="1579" customWidth="1"/>
    <col min="1026" max="1027" width="9.140625" style="1579"/>
    <col min="1028" max="1028" width="14" style="1579" bestFit="1" customWidth="1"/>
    <col min="1029" max="1274" width="9.140625" style="1579"/>
    <col min="1275" max="1275" width="7.7109375" style="1579" customWidth="1"/>
    <col min="1276" max="1276" width="12.7109375" style="1579" customWidth="1"/>
    <col min="1277" max="1277" width="20.7109375" style="1579" customWidth="1"/>
    <col min="1278" max="1278" width="14.7109375" style="1579" customWidth="1"/>
    <col min="1279" max="1279" width="12.7109375" style="1579" customWidth="1"/>
    <col min="1280" max="1280" width="16.7109375" style="1579" customWidth="1"/>
    <col min="1281" max="1281" width="14.7109375" style="1579" customWidth="1"/>
    <col min="1282" max="1283" width="9.140625" style="1579"/>
    <col min="1284" max="1284" width="14" style="1579" bestFit="1" customWidth="1"/>
    <col min="1285" max="1530" width="9.140625" style="1579"/>
    <col min="1531" max="1531" width="7.7109375" style="1579" customWidth="1"/>
    <col min="1532" max="1532" width="12.7109375" style="1579" customWidth="1"/>
    <col min="1533" max="1533" width="20.7109375" style="1579" customWidth="1"/>
    <col min="1534" max="1534" width="14.7109375" style="1579" customWidth="1"/>
    <col min="1535" max="1535" width="12.7109375" style="1579" customWidth="1"/>
    <col min="1536" max="1536" width="16.7109375" style="1579" customWidth="1"/>
    <col min="1537" max="1537" width="14.7109375" style="1579" customWidth="1"/>
    <col min="1538" max="1539" width="9.140625" style="1579"/>
    <col min="1540" max="1540" width="14" style="1579" bestFit="1" customWidth="1"/>
    <col min="1541" max="1786" width="9.140625" style="1579"/>
    <col min="1787" max="1787" width="7.7109375" style="1579" customWidth="1"/>
    <col min="1788" max="1788" width="12.7109375" style="1579" customWidth="1"/>
    <col min="1789" max="1789" width="20.7109375" style="1579" customWidth="1"/>
    <col min="1790" max="1790" width="14.7109375" style="1579" customWidth="1"/>
    <col min="1791" max="1791" width="12.7109375" style="1579" customWidth="1"/>
    <col min="1792" max="1792" width="16.7109375" style="1579" customWidth="1"/>
    <col min="1793" max="1793" width="14.7109375" style="1579" customWidth="1"/>
    <col min="1794" max="1795" width="9.140625" style="1579"/>
    <col min="1796" max="1796" width="14" style="1579" bestFit="1" customWidth="1"/>
    <col min="1797" max="2042" width="9.140625" style="1579"/>
    <col min="2043" max="2043" width="7.7109375" style="1579" customWidth="1"/>
    <col min="2044" max="2044" width="12.7109375" style="1579" customWidth="1"/>
    <col min="2045" max="2045" width="20.7109375" style="1579" customWidth="1"/>
    <col min="2046" max="2046" width="14.7109375" style="1579" customWidth="1"/>
    <col min="2047" max="2047" width="12.7109375" style="1579" customWidth="1"/>
    <col min="2048" max="2048" width="16.7109375" style="1579" customWidth="1"/>
    <col min="2049" max="2049" width="14.7109375" style="1579" customWidth="1"/>
    <col min="2050" max="2051" width="9.140625" style="1579"/>
    <col min="2052" max="2052" width="14" style="1579" bestFit="1" customWidth="1"/>
    <col min="2053" max="2298" width="9.140625" style="1579"/>
    <col min="2299" max="2299" width="7.7109375" style="1579" customWidth="1"/>
    <col min="2300" max="2300" width="12.7109375" style="1579" customWidth="1"/>
    <col min="2301" max="2301" width="20.7109375" style="1579" customWidth="1"/>
    <col min="2302" max="2302" width="14.7109375" style="1579" customWidth="1"/>
    <col min="2303" max="2303" width="12.7109375" style="1579" customWidth="1"/>
    <col min="2304" max="2304" width="16.7109375" style="1579" customWidth="1"/>
    <col min="2305" max="2305" width="14.7109375" style="1579" customWidth="1"/>
    <col min="2306" max="2307" width="9.140625" style="1579"/>
    <col min="2308" max="2308" width="14" style="1579" bestFit="1" customWidth="1"/>
    <col min="2309" max="2554" width="9.140625" style="1579"/>
    <col min="2555" max="2555" width="7.7109375" style="1579" customWidth="1"/>
    <col min="2556" max="2556" width="12.7109375" style="1579" customWidth="1"/>
    <col min="2557" max="2557" width="20.7109375" style="1579" customWidth="1"/>
    <col min="2558" max="2558" width="14.7109375" style="1579" customWidth="1"/>
    <col min="2559" max="2559" width="12.7109375" style="1579" customWidth="1"/>
    <col min="2560" max="2560" width="16.7109375" style="1579" customWidth="1"/>
    <col min="2561" max="2561" width="14.7109375" style="1579" customWidth="1"/>
    <col min="2562" max="2563" width="9.140625" style="1579"/>
    <col min="2564" max="2564" width="14" style="1579" bestFit="1" customWidth="1"/>
    <col min="2565" max="2810" width="9.140625" style="1579"/>
    <col min="2811" max="2811" width="7.7109375" style="1579" customWidth="1"/>
    <col min="2812" max="2812" width="12.7109375" style="1579" customWidth="1"/>
    <col min="2813" max="2813" width="20.7109375" style="1579" customWidth="1"/>
    <col min="2814" max="2814" width="14.7109375" style="1579" customWidth="1"/>
    <col min="2815" max="2815" width="12.7109375" style="1579" customWidth="1"/>
    <col min="2816" max="2816" width="16.7109375" style="1579" customWidth="1"/>
    <col min="2817" max="2817" width="14.7109375" style="1579" customWidth="1"/>
    <col min="2818" max="2819" width="9.140625" style="1579"/>
    <col min="2820" max="2820" width="14" style="1579" bestFit="1" customWidth="1"/>
    <col min="2821" max="3066" width="9.140625" style="1579"/>
    <col min="3067" max="3067" width="7.7109375" style="1579" customWidth="1"/>
    <col min="3068" max="3068" width="12.7109375" style="1579" customWidth="1"/>
    <col min="3069" max="3069" width="20.7109375" style="1579" customWidth="1"/>
    <col min="3070" max="3070" width="14.7109375" style="1579" customWidth="1"/>
    <col min="3071" max="3071" width="12.7109375" style="1579" customWidth="1"/>
    <col min="3072" max="3072" width="16.7109375" style="1579" customWidth="1"/>
    <col min="3073" max="3073" width="14.7109375" style="1579" customWidth="1"/>
    <col min="3074" max="3075" width="9.140625" style="1579"/>
    <col min="3076" max="3076" width="14" style="1579" bestFit="1" customWidth="1"/>
    <col min="3077" max="3322" width="9.140625" style="1579"/>
    <col min="3323" max="3323" width="7.7109375" style="1579" customWidth="1"/>
    <col min="3324" max="3324" width="12.7109375" style="1579" customWidth="1"/>
    <col min="3325" max="3325" width="20.7109375" style="1579" customWidth="1"/>
    <col min="3326" max="3326" width="14.7109375" style="1579" customWidth="1"/>
    <col min="3327" max="3327" width="12.7109375" style="1579" customWidth="1"/>
    <col min="3328" max="3328" width="16.7109375" style="1579" customWidth="1"/>
    <col min="3329" max="3329" width="14.7109375" style="1579" customWidth="1"/>
    <col min="3330" max="3331" width="9.140625" style="1579"/>
    <col min="3332" max="3332" width="14" style="1579" bestFit="1" customWidth="1"/>
    <col min="3333" max="3578" width="9.140625" style="1579"/>
    <col min="3579" max="3579" width="7.7109375" style="1579" customWidth="1"/>
    <col min="3580" max="3580" width="12.7109375" style="1579" customWidth="1"/>
    <col min="3581" max="3581" width="20.7109375" style="1579" customWidth="1"/>
    <col min="3582" max="3582" width="14.7109375" style="1579" customWidth="1"/>
    <col min="3583" max="3583" width="12.7109375" style="1579" customWidth="1"/>
    <col min="3584" max="3584" width="16.7109375" style="1579" customWidth="1"/>
    <col min="3585" max="3585" width="14.7109375" style="1579" customWidth="1"/>
    <col min="3586" max="3587" width="9.140625" style="1579"/>
    <col min="3588" max="3588" width="14" style="1579" bestFit="1" customWidth="1"/>
    <col min="3589" max="3834" width="9.140625" style="1579"/>
    <col min="3835" max="3835" width="7.7109375" style="1579" customWidth="1"/>
    <col min="3836" max="3836" width="12.7109375" style="1579" customWidth="1"/>
    <col min="3837" max="3837" width="20.7109375" style="1579" customWidth="1"/>
    <col min="3838" max="3838" width="14.7109375" style="1579" customWidth="1"/>
    <col min="3839" max="3839" width="12.7109375" style="1579" customWidth="1"/>
    <col min="3840" max="3840" width="16.7109375" style="1579" customWidth="1"/>
    <col min="3841" max="3841" width="14.7109375" style="1579" customWidth="1"/>
    <col min="3842" max="3843" width="9.140625" style="1579"/>
    <col min="3844" max="3844" width="14" style="1579" bestFit="1" customWidth="1"/>
    <col min="3845" max="4090" width="9.140625" style="1579"/>
    <col min="4091" max="4091" width="7.7109375" style="1579" customWidth="1"/>
    <col min="4092" max="4092" width="12.7109375" style="1579" customWidth="1"/>
    <col min="4093" max="4093" width="20.7109375" style="1579" customWidth="1"/>
    <col min="4094" max="4094" width="14.7109375" style="1579" customWidth="1"/>
    <col min="4095" max="4095" width="12.7109375" style="1579" customWidth="1"/>
    <col min="4096" max="4096" width="16.7109375" style="1579" customWidth="1"/>
    <col min="4097" max="4097" width="14.7109375" style="1579" customWidth="1"/>
    <col min="4098" max="4099" width="9.140625" style="1579"/>
    <col min="4100" max="4100" width="14" style="1579" bestFit="1" customWidth="1"/>
    <col min="4101" max="4346" width="9.140625" style="1579"/>
    <col min="4347" max="4347" width="7.7109375" style="1579" customWidth="1"/>
    <col min="4348" max="4348" width="12.7109375" style="1579" customWidth="1"/>
    <col min="4349" max="4349" width="20.7109375" style="1579" customWidth="1"/>
    <col min="4350" max="4350" width="14.7109375" style="1579" customWidth="1"/>
    <col min="4351" max="4351" width="12.7109375" style="1579" customWidth="1"/>
    <col min="4352" max="4352" width="16.7109375" style="1579" customWidth="1"/>
    <col min="4353" max="4353" width="14.7109375" style="1579" customWidth="1"/>
    <col min="4354" max="4355" width="9.140625" style="1579"/>
    <col min="4356" max="4356" width="14" style="1579" bestFit="1" customWidth="1"/>
    <col min="4357" max="4602" width="9.140625" style="1579"/>
    <col min="4603" max="4603" width="7.7109375" style="1579" customWidth="1"/>
    <col min="4604" max="4604" width="12.7109375" style="1579" customWidth="1"/>
    <col min="4605" max="4605" width="20.7109375" style="1579" customWidth="1"/>
    <col min="4606" max="4606" width="14.7109375" style="1579" customWidth="1"/>
    <col min="4607" max="4607" width="12.7109375" style="1579" customWidth="1"/>
    <col min="4608" max="4608" width="16.7109375" style="1579" customWidth="1"/>
    <col min="4609" max="4609" width="14.7109375" style="1579" customWidth="1"/>
    <col min="4610" max="4611" width="9.140625" style="1579"/>
    <col min="4612" max="4612" width="14" style="1579" bestFit="1" customWidth="1"/>
    <col min="4613" max="4858" width="9.140625" style="1579"/>
    <col min="4859" max="4859" width="7.7109375" style="1579" customWidth="1"/>
    <col min="4860" max="4860" width="12.7109375" style="1579" customWidth="1"/>
    <col min="4861" max="4861" width="20.7109375" style="1579" customWidth="1"/>
    <col min="4862" max="4862" width="14.7109375" style="1579" customWidth="1"/>
    <col min="4863" max="4863" width="12.7109375" style="1579" customWidth="1"/>
    <col min="4864" max="4864" width="16.7109375" style="1579" customWidth="1"/>
    <col min="4865" max="4865" width="14.7109375" style="1579" customWidth="1"/>
    <col min="4866" max="4867" width="9.140625" style="1579"/>
    <col min="4868" max="4868" width="14" style="1579" bestFit="1" customWidth="1"/>
    <col min="4869" max="5114" width="9.140625" style="1579"/>
    <col min="5115" max="5115" width="7.7109375" style="1579" customWidth="1"/>
    <col min="5116" max="5116" width="12.7109375" style="1579" customWidth="1"/>
    <col min="5117" max="5117" width="20.7109375" style="1579" customWidth="1"/>
    <col min="5118" max="5118" width="14.7109375" style="1579" customWidth="1"/>
    <col min="5119" max="5119" width="12.7109375" style="1579" customWidth="1"/>
    <col min="5120" max="5120" width="16.7109375" style="1579" customWidth="1"/>
    <col min="5121" max="5121" width="14.7109375" style="1579" customWidth="1"/>
    <col min="5122" max="5123" width="9.140625" style="1579"/>
    <col min="5124" max="5124" width="14" style="1579" bestFit="1" customWidth="1"/>
    <col min="5125" max="5370" width="9.140625" style="1579"/>
    <col min="5371" max="5371" width="7.7109375" style="1579" customWidth="1"/>
    <col min="5372" max="5372" width="12.7109375" style="1579" customWidth="1"/>
    <col min="5373" max="5373" width="20.7109375" style="1579" customWidth="1"/>
    <col min="5374" max="5374" width="14.7109375" style="1579" customWidth="1"/>
    <col min="5375" max="5375" width="12.7109375" style="1579" customWidth="1"/>
    <col min="5376" max="5376" width="16.7109375" style="1579" customWidth="1"/>
    <col min="5377" max="5377" width="14.7109375" style="1579" customWidth="1"/>
    <col min="5378" max="5379" width="9.140625" style="1579"/>
    <col min="5380" max="5380" width="14" style="1579" bestFit="1" customWidth="1"/>
    <col min="5381" max="5626" width="9.140625" style="1579"/>
    <col min="5627" max="5627" width="7.7109375" style="1579" customWidth="1"/>
    <col min="5628" max="5628" width="12.7109375" style="1579" customWidth="1"/>
    <col min="5629" max="5629" width="20.7109375" style="1579" customWidth="1"/>
    <col min="5630" max="5630" width="14.7109375" style="1579" customWidth="1"/>
    <col min="5631" max="5631" width="12.7109375" style="1579" customWidth="1"/>
    <col min="5632" max="5632" width="16.7109375" style="1579" customWidth="1"/>
    <col min="5633" max="5633" width="14.7109375" style="1579" customWidth="1"/>
    <col min="5634" max="5635" width="9.140625" style="1579"/>
    <col min="5636" max="5636" width="14" style="1579" bestFit="1" customWidth="1"/>
    <col min="5637" max="5882" width="9.140625" style="1579"/>
    <col min="5883" max="5883" width="7.7109375" style="1579" customWidth="1"/>
    <col min="5884" max="5884" width="12.7109375" style="1579" customWidth="1"/>
    <col min="5885" max="5885" width="20.7109375" style="1579" customWidth="1"/>
    <col min="5886" max="5886" width="14.7109375" style="1579" customWidth="1"/>
    <col min="5887" max="5887" width="12.7109375" style="1579" customWidth="1"/>
    <col min="5888" max="5888" width="16.7109375" style="1579" customWidth="1"/>
    <col min="5889" max="5889" width="14.7109375" style="1579" customWidth="1"/>
    <col min="5890" max="5891" width="9.140625" style="1579"/>
    <col min="5892" max="5892" width="14" style="1579" bestFit="1" customWidth="1"/>
    <col min="5893" max="6138" width="9.140625" style="1579"/>
    <col min="6139" max="6139" width="7.7109375" style="1579" customWidth="1"/>
    <col min="6140" max="6140" width="12.7109375" style="1579" customWidth="1"/>
    <col min="6141" max="6141" width="20.7109375" style="1579" customWidth="1"/>
    <col min="6142" max="6142" width="14.7109375" style="1579" customWidth="1"/>
    <col min="6143" max="6143" width="12.7109375" style="1579" customWidth="1"/>
    <col min="6144" max="6144" width="16.7109375" style="1579" customWidth="1"/>
    <col min="6145" max="6145" width="14.7109375" style="1579" customWidth="1"/>
    <col min="6146" max="6147" width="9.140625" style="1579"/>
    <col min="6148" max="6148" width="14" style="1579" bestFit="1" customWidth="1"/>
    <col min="6149" max="6394" width="9.140625" style="1579"/>
    <col min="6395" max="6395" width="7.7109375" style="1579" customWidth="1"/>
    <col min="6396" max="6396" width="12.7109375" style="1579" customWidth="1"/>
    <col min="6397" max="6397" width="20.7109375" style="1579" customWidth="1"/>
    <col min="6398" max="6398" width="14.7109375" style="1579" customWidth="1"/>
    <col min="6399" max="6399" width="12.7109375" style="1579" customWidth="1"/>
    <col min="6400" max="6400" width="16.7109375" style="1579" customWidth="1"/>
    <col min="6401" max="6401" width="14.7109375" style="1579" customWidth="1"/>
    <col min="6402" max="6403" width="9.140625" style="1579"/>
    <col min="6404" max="6404" width="14" style="1579" bestFit="1" customWidth="1"/>
    <col min="6405" max="6650" width="9.140625" style="1579"/>
    <col min="6651" max="6651" width="7.7109375" style="1579" customWidth="1"/>
    <col min="6652" max="6652" width="12.7109375" style="1579" customWidth="1"/>
    <col min="6653" max="6653" width="20.7109375" style="1579" customWidth="1"/>
    <col min="6654" max="6654" width="14.7109375" style="1579" customWidth="1"/>
    <col min="6655" max="6655" width="12.7109375" style="1579" customWidth="1"/>
    <col min="6656" max="6656" width="16.7109375" style="1579" customWidth="1"/>
    <col min="6657" max="6657" width="14.7109375" style="1579" customWidth="1"/>
    <col min="6658" max="6659" width="9.140625" style="1579"/>
    <col min="6660" max="6660" width="14" style="1579" bestFit="1" customWidth="1"/>
    <col min="6661" max="6906" width="9.140625" style="1579"/>
    <col min="6907" max="6907" width="7.7109375" style="1579" customWidth="1"/>
    <col min="6908" max="6908" width="12.7109375" style="1579" customWidth="1"/>
    <col min="6909" max="6909" width="20.7109375" style="1579" customWidth="1"/>
    <col min="6910" max="6910" width="14.7109375" style="1579" customWidth="1"/>
    <col min="6911" max="6911" width="12.7109375" style="1579" customWidth="1"/>
    <col min="6912" max="6912" width="16.7109375" style="1579" customWidth="1"/>
    <col min="6913" max="6913" width="14.7109375" style="1579" customWidth="1"/>
    <col min="6914" max="6915" width="9.140625" style="1579"/>
    <col min="6916" max="6916" width="14" style="1579" bestFit="1" customWidth="1"/>
    <col min="6917" max="7162" width="9.140625" style="1579"/>
    <col min="7163" max="7163" width="7.7109375" style="1579" customWidth="1"/>
    <col min="7164" max="7164" width="12.7109375" style="1579" customWidth="1"/>
    <col min="7165" max="7165" width="20.7109375" style="1579" customWidth="1"/>
    <col min="7166" max="7166" width="14.7109375" style="1579" customWidth="1"/>
    <col min="7167" max="7167" width="12.7109375" style="1579" customWidth="1"/>
    <col min="7168" max="7168" width="16.7109375" style="1579" customWidth="1"/>
    <col min="7169" max="7169" width="14.7109375" style="1579" customWidth="1"/>
    <col min="7170" max="7171" width="9.140625" style="1579"/>
    <col min="7172" max="7172" width="14" style="1579" bestFit="1" customWidth="1"/>
    <col min="7173" max="7418" width="9.140625" style="1579"/>
    <col min="7419" max="7419" width="7.7109375" style="1579" customWidth="1"/>
    <col min="7420" max="7420" width="12.7109375" style="1579" customWidth="1"/>
    <col min="7421" max="7421" width="20.7109375" style="1579" customWidth="1"/>
    <col min="7422" max="7422" width="14.7109375" style="1579" customWidth="1"/>
    <col min="7423" max="7423" width="12.7109375" style="1579" customWidth="1"/>
    <col min="7424" max="7424" width="16.7109375" style="1579" customWidth="1"/>
    <col min="7425" max="7425" width="14.7109375" style="1579" customWidth="1"/>
    <col min="7426" max="7427" width="9.140625" style="1579"/>
    <col min="7428" max="7428" width="14" style="1579" bestFit="1" customWidth="1"/>
    <col min="7429" max="7674" width="9.140625" style="1579"/>
    <col min="7675" max="7675" width="7.7109375" style="1579" customWidth="1"/>
    <col min="7676" max="7676" width="12.7109375" style="1579" customWidth="1"/>
    <col min="7677" max="7677" width="20.7109375" style="1579" customWidth="1"/>
    <col min="7678" max="7678" width="14.7109375" style="1579" customWidth="1"/>
    <col min="7679" max="7679" width="12.7109375" style="1579" customWidth="1"/>
    <col min="7680" max="7680" width="16.7109375" style="1579" customWidth="1"/>
    <col min="7681" max="7681" width="14.7109375" style="1579" customWidth="1"/>
    <col min="7682" max="7683" width="9.140625" style="1579"/>
    <col min="7684" max="7684" width="14" style="1579" bestFit="1" customWidth="1"/>
    <col min="7685" max="7930" width="9.140625" style="1579"/>
    <col min="7931" max="7931" width="7.7109375" style="1579" customWidth="1"/>
    <col min="7932" max="7932" width="12.7109375" style="1579" customWidth="1"/>
    <col min="7933" max="7933" width="20.7109375" style="1579" customWidth="1"/>
    <col min="7934" max="7934" width="14.7109375" style="1579" customWidth="1"/>
    <col min="7935" max="7935" width="12.7109375" style="1579" customWidth="1"/>
    <col min="7936" max="7936" width="16.7109375" style="1579" customWidth="1"/>
    <col min="7937" max="7937" width="14.7109375" style="1579" customWidth="1"/>
    <col min="7938" max="7939" width="9.140625" style="1579"/>
    <col min="7940" max="7940" width="14" style="1579" bestFit="1" customWidth="1"/>
    <col min="7941" max="8186" width="9.140625" style="1579"/>
    <col min="8187" max="8187" width="7.7109375" style="1579" customWidth="1"/>
    <col min="8188" max="8188" width="12.7109375" style="1579" customWidth="1"/>
    <col min="8189" max="8189" width="20.7109375" style="1579" customWidth="1"/>
    <col min="8190" max="8190" width="14.7109375" style="1579" customWidth="1"/>
    <col min="8191" max="8191" width="12.7109375" style="1579" customWidth="1"/>
    <col min="8192" max="8192" width="16.7109375" style="1579" customWidth="1"/>
    <col min="8193" max="8193" width="14.7109375" style="1579" customWidth="1"/>
    <col min="8194" max="8195" width="9.140625" style="1579"/>
    <col min="8196" max="8196" width="14" style="1579" bestFit="1" customWidth="1"/>
    <col min="8197" max="8442" width="9.140625" style="1579"/>
    <col min="8443" max="8443" width="7.7109375" style="1579" customWidth="1"/>
    <col min="8444" max="8444" width="12.7109375" style="1579" customWidth="1"/>
    <col min="8445" max="8445" width="20.7109375" style="1579" customWidth="1"/>
    <col min="8446" max="8446" width="14.7109375" style="1579" customWidth="1"/>
    <col min="8447" max="8447" width="12.7109375" style="1579" customWidth="1"/>
    <col min="8448" max="8448" width="16.7109375" style="1579" customWidth="1"/>
    <col min="8449" max="8449" width="14.7109375" style="1579" customWidth="1"/>
    <col min="8450" max="8451" width="9.140625" style="1579"/>
    <col min="8452" max="8452" width="14" style="1579" bestFit="1" customWidth="1"/>
    <col min="8453" max="8698" width="9.140625" style="1579"/>
    <col min="8699" max="8699" width="7.7109375" style="1579" customWidth="1"/>
    <col min="8700" max="8700" width="12.7109375" style="1579" customWidth="1"/>
    <col min="8701" max="8701" width="20.7109375" style="1579" customWidth="1"/>
    <col min="8702" max="8702" width="14.7109375" style="1579" customWidth="1"/>
    <col min="8703" max="8703" width="12.7109375" style="1579" customWidth="1"/>
    <col min="8704" max="8704" width="16.7109375" style="1579" customWidth="1"/>
    <col min="8705" max="8705" width="14.7109375" style="1579" customWidth="1"/>
    <col min="8706" max="8707" width="9.140625" style="1579"/>
    <col min="8708" max="8708" width="14" style="1579" bestFit="1" customWidth="1"/>
    <col min="8709" max="8954" width="9.140625" style="1579"/>
    <col min="8955" max="8955" width="7.7109375" style="1579" customWidth="1"/>
    <col min="8956" max="8956" width="12.7109375" style="1579" customWidth="1"/>
    <col min="8957" max="8957" width="20.7109375" style="1579" customWidth="1"/>
    <col min="8958" max="8958" width="14.7109375" style="1579" customWidth="1"/>
    <col min="8959" max="8959" width="12.7109375" style="1579" customWidth="1"/>
    <col min="8960" max="8960" width="16.7109375" style="1579" customWidth="1"/>
    <col min="8961" max="8961" width="14.7109375" style="1579" customWidth="1"/>
    <col min="8962" max="8963" width="9.140625" style="1579"/>
    <col min="8964" max="8964" width="14" style="1579" bestFit="1" customWidth="1"/>
    <col min="8965" max="9210" width="9.140625" style="1579"/>
    <col min="9211" max="9211" width="7.7109375" style="1579" customWidth="1"/>
    <col min="9212" max="9212" width="12.7109375" style="1579" customWidth="1"/>
    <col min="9213" max="9213" width="20.7109375" style="1579" customWidth="1"/>
    <col min="9214" max="9214" width="14.7109375" style="1579" customWidth="1"/>
    <col min="9215" max="9215" width="12.7109375" style="1579" customWidth="1"/>
    <col min="9216" max="9216" width="16.7109375" style="1579" customWidth="1"/>
    <col min="9217" max="9217" width="14.7109375" style="1579" customWidth="1"/>
    <col min="9218" max="9219" width="9.140625" style="1579"/>
    <col min="9220" max="9220" width="14" style="1579" bestFit="1" customWidth="1"/>
    <col min="9221" max="9466" width="9.140625" style="1579"/>
    <col min="9467" max="9467" width="7.7109375" style="1579" customWidth="1"/>
    <col min="9468" max="9468" width="12.7109375" style="1579" customWidth="1"/>
    <col min="9469" max="9469" width="20.7109375" style="1579" customWidth="1"/>
    <col min="9470" max="9470" width="14.7109375" style="1579" customWidth="1"/>
    <col min="9471" max="9471" width="12.7109375" style="1579" customWidth="1"/>
    <col min="9472" max="9472" width="16.7109375" style="1579" customWidth="1"/>
    <col min="9473" max="9473" width="14.7109375" style="1579" customWidth="1"/>
    <col min="9474" max="9475" width="9.140625" style="1579"/>
    <col min="9476" max="9476" width="14" style="1579" bestFit="1" customWidth="1"/>
    <col min="9477" max="9722" width="9.140625" style="1579"/>
    <col min="9723" max="9723" width="7.7109375" style="1579" customWidth="1"/>
    <col min="9724" max="9724" width="12.7109375" style="1579" customWidth="1"/>
    <col min="9725" max="9725" width="20.7109375" style="1579" customWidth="1"/>
    <col min="9726" max="9726" width="14.7109375" style="1579" customWidth="1"/>
    <col min="9727" max="9727" width="12.7109375" style="1579" customWidth="1"/>
    <col min="9728" max="9728" width="16.7109375" style="1579" customWidth="1"/>
    <col min="9729" max="9729" width="14.7109375" style="1579" customWidth="1"/>
    <col min="9730" max="9731" width="9.140625" style="1579"/>
    <col min="9732" max="9732" width="14" style="1579" bestFit="1" customWidth="1"/>
    <col min="9733" max="9978" width="9.140625" style="1579"/>
    <col min="9979" max="9979" width="7.7109375" style="1579" customWidth="1"/>
    <col min="9980" max="9980" width="12.7109375" style="1579" customWidth="1"/>
    <col min="9981" max="9981" width="20.7109375" style="1579" customWidth="1"/>
    <col min="9982" max="9982" width="14.7109375" style="1579" customWidth="1"/>
    <col min="9983" max="9983" width="12.7109375" style="1579" customWidth="1"/>
    <col min="9984" max="9984" width="16.7109375" style="1579" customWidth="1"/>
    <col min="9985" max="9985" width="14.7109375" style="1579" customWidth="1"/>
    <col min="9986" max="9987" width="9.140625" style="1579"/>
    <col min="9988" max="9988" width="14" style="1579" bestFit="1" customWidth="1"/>
    <col min="9989" max="10234" width="9.140625" style="1579"/>
    <col min="10235" max="10235" width="7.7109375" style="1579" customWidth="1"/>
    <col min="10236" max="10236" width="12.7109375" style="1579" customWidth="1"/>
    <col min="10237" max="10237" width="20.7109375" style="1579" customWidth="1"/>
    <col min="10238" max="10238" width="14.7109375" style="1579" customWidth="1"/>
    <col min="10239" max="10239" width="12.7109375" style="1579" customWidth="1"/>
    <col min="10240" max="10240" width="16.7109375" style="1579" customWidth="1"/>
    <col min="10241" max="10241" width="14.7109375" style="1579" customWidth="1"/>
    <col min="10242" max="10243" width="9.140625" style="1579"/>
    <col min="10244" max="10244" width="14" style="1579" bestFit="1" customWidth="1"/>
    <col min="10245" max="10490" width="9.140625" style="1579"/>
    <col min="10491" max="10491" width="7.7109375" style="1579" customWidth="1"/>
    <col min="10492" max="10492" width="12.7109375" style="1579" customWidth="1"/>
    <col min="10493" max="10493" width="20.7109375" style="1579" customWidth="1"/>
    <col min="10494" max="10494" width="14.7109375" style="1579" customWidth="1"/>
    <col min="10495" max="10495" width="12.7109375" style="1579" customWidth="1"/>
    <col min="10496" max="10496" width="16.7109375" style="1579" customWidth="1"/>
    <col min="10497" max="10497" width="14.7109375" style="1579" customWidth="1"/>
    <col min="10498" max="10499" width="9.140625" style="1579"/>
    <col min="10500" max="10500" width="14" style="1579" bestFit="1" customWidth="1"/>
    <col min="10501" max="10746" width="9.140625" style="1579"/>
    <col min="10747" max="10747" width="7.7109375" style="1579" customWidth="1"/>
    <col min="10748" max="10748" width="12.7109375" style="1579" customWidth="1"/>
    <col min="10749" max="10749" width="20.7109375" style="1579" customWidth="1"/>
    <col min="10750" max="10750" width="14.7109375" style="1579" customWidth="1"/>
    <col min="10751" max="10751" width="12.7109375" style="1579" customWidth="1"/>
    <col min="10752" max="10752" width="16.7109375" style="1579" customWidth="1"/>
    <col min="10753" max="10753" width="14.7109375" style="1579" customWidth="1"/>
    <col min="10754" max="10755" width="9.140625" style="1579"/>
    <col min="10756" max="10756" width="14" style="1579" bestFit="1" customWidth="1"/>
    <col min="10757" max="11002" width="9.140625" style="1579"/>
    <col min="11003" max="11003" width="7.7109375" style="1579" customWidth="1"/>
    <col min="11004" max="11004" width="12.7109375" style="1579" customWidth="1"/>
    <col min="11005" max="11005" width="20.7109375" style="1579" customWidth="1"/>
    <col min="11006" max="11006" width="14.7109375" style="1579" customWidth="1"/>
    <col min="11007" max="11007" width="12.7109375" style="1579" customWidth="1"/>
    <col min="11008" max="11008" width="16.7109375" style="1579" customWidth="1"/>
    <col min="11009" max="11009" width="14.7109375" style="1579" customWidth="1"/>
    <col min="11010" max="11011" width="9.140625" style="1579"/>
    <col min="11012" max="11012" width="14" style="1579" bestFit="1" customWidth="1"/>
    <col min="11013" max="11258" width="9.140625" style="1579"/>
    <col min="11259" max="11259" width="7.7109375" style="1579" customWidth="1"/>
    <col min="11260" max="11260" width="12.7109375" style="1579" customWidth="1"/>
    <col min="11261" max="11261" width="20.7109375" style="1579" customWidth="1"/>
    <col min="11262" max="11262" width="14.7109375" style="1579" customWidth="1"/>
    <col min="11263" max="11263" width="12.7109375" style="1579" customWidth="1"/>
    <col min="11264" max="11264" width="16.7109375" style="1579" customWidth="1"/>
    <col min="11265" max="11265" width="14.7109375" style="1579" customWidth="1"/>
    <col min="11266" max="11267" width="9.140625" style="1579"/>
    <col min="11268" max="11268" width="14" style="1579" bestFit="1" customWidth="1"/>
    <col min="11269" max="11514" width="9.140625" style="1579"/>
    <col min="11515" max="11515" width="7.7109375" style="1579" customWidth="1"/>
    <col min="11516" max="11516" width="12.7109375" style="1579" customWidth="1"/>
    <col min="11517" max="11517" width="20.7109375" style="1579" customWidth="1"/>
    <col min="11518" max="11518" width="14.7109375" style="1579" customWidth="1"/>
    <col min="11519" max="11519" width="12.7109375" style="1579" customWidth="1"/>
    <col min="11520" max="11520" width="16.7109375" style="1579" customWidth="1"/>
    <col min="11521" max="11521" width="14.7109375" style="1579" customWidth="1"/>
    <col min="11522" max="11523" width="9.140625" style="1579"/>
    <col min="11524" max="11524" width="14" style="1579" bestFit="1" customWidth="1"/>
    <col min="11525" max="11770" width="9.140625" style="1579"/>
    <col min="11771" max="11771" width="7.7109375" style="1579" customWidth="1"/>
    <col min="11772" max="11772" width="12.7109375" style="1579" customWidth="1"/>
    <col min="11773" max="11773" width="20.7109375" style="1579" customWidth="1"/>
    <col min="11774" max="11774" width="14.7109375" style="1579" customWidth="1"/>
    <col min="11775" max="11775" width="12.7109375" style="1579" customWidth="1"/>
    <col min="11776" max="11776" width="16.7109375" style="1579" customWidth="1"/>
    <col min="11777" max="11777" width="14.7109375" style="1579" customWidth="1"/>
    <col min="11778" max="11779" width="9.140625" style="1579"/>
    <col min="11780" max="11780" width="14" style="1579" bestFit="1" customWidth="1"/>
    <col min="11781" max="12026" width="9.140625" style="1579"/>
    <col min="12027" max="12027" width="7.7109375" style="1579" customWidth="1"/>
    <col min="12028" max="12028" width="12.7109375" style="1579" customWidth="1"/>
    <col min="12029" max="12029" width="20.7109375" style="1579" customWidth="1"/>
    <col min="12030" max="12030" width="14.7109375" style="1579" customWidth="1"/>
    <col min="12031" max="12031" width="12.7109375" style="1579" customWidth="1"/>
    <col min="12032" max="12032" width="16.7109375" style="1579" customWidth="1"/>
    <col min="12033" max="12033" width="14.7109375" style="1579" customWidth="1"/>
    <col min="12034" max="12035" width="9.140625" style="1579"/>
    <col min="12036" max="12036" width="14" style="1579" bestFit="1" customWidth="1"/>
    <col min="12037" max="12282" width="9.140625" style="1579"/>
    <col min="12283" max="12283" width="7.7109375" style="1579" customWidth="1"/>
    <col min="12284" max="12284" width="12.7109375" style="1579" customWidth="1"/>
    <col min="12285" max="12285" width="20.7109375" style="1579" customWidth="1"/>
    <col min="12286" max="12286" width="14.7109375" style="1579" customWidth="1"/>
    <col min="12287" max="12287" width="12.7109375" style="1579" customWidth="1"/>
    <col min="12288" max="12288" width="16.7109375" style="1579" customWidth="1"/>
    <col min="12289" max="12289" width="14.7109375" style="1579" customWidth="1"/>
    <col min="12290" max="12291" width="9.140625" style="1579"/>
    <col min="12292" max="12292" width="14" style="1579" bestFit="1" customWidth="1"/>
    <col min="12293" max="12538" width="9.140625" style="1579"/>
    <col min="12539" max="12539" width="7.7109375" style="1579" customWidth="1"/>
    <col min="12540" max="12540" width="12.7109375" style="1579" customWidth="1"/>
    <col min="12541" max="12541" width="20.7109375" style="1579" customWidth="1"/>
    <col min="12542" max="12542" width="14.7109375" style="1579" customWidth="1"/>
    <col min="12543" max="12543" width="12.7109375" style="1579" customWidth="1"/>
    <col min="12544" max="12544" width="16.7109375" style="1579" customWidth="1"/>
    <col min="12545" max="12545" width="14.7109375" style="1579" customWidth="1"/>
    <col min="12546" max="12547" width="9.140625" style="1579"/>
    <col min="12548" max="12548" width="14" style="1579" bestFit="1" customWidth="1"/>
    <col min="12549" max="12794" width="9.140625" style="1579"/>
    <col min="12795" max="12795" width="7.7109375" style="1579" customWidth="1"/>
    <col min="12796" max="12796" width="12.7109375" style="1579" customWidth="1"/>
    <col min="12797" max="12797" width="20.7109375" style="1579" customWidth="1"/>
    <col min="12798" max="12798" width="14.7109375" style="1579" customWidth="1"/>
    <col min="12799" max="12799" width="12.7109375" style="1579" customWidth="1"/>
    <col min="12800" max="12800" width="16.7109375" style="1579" customWidth="1"/>
    <col min="12801" max="12801" width="14.7109375" style="1579" customWidth="1"/>
    <col min="12802" max="12803" width="9.140625" style="1579"/>
    <col min="12804" max="12804" width="14" style="1579" bestFit="1" customWidth="1"/>
    <col min="12805" max="13050" width="9.140625" style="1579"/>
    <col min="13051" max="13051" width="7.7109375" style="1579" customWidth="1"/>
    <col min="13052" max="13052" width="12.7109375" style="1579" customWidth="1"/>
    <col min="13053" max="13053" width="20.7109375" style="1579" customWidth="1"/>
    <col min="13054" max="13054" width="14.7109375" style="1579" customWidth="1"/>
    <col min="13055" max="13055" width="12.7109375" style="1579" customWidth="1"/>
    <col min="13056" max="13056" width="16.7109375" style="1579" customWidth="1"/>
    <col min="13057" max="13057" width="14.7109375" style="1579" customWidth="1"/>
    <col min="13058" max="13059" width="9.140625" style="1579"/>
    <col min="13060" max="13060" width="14" style="1579" bestFit="1" customWidth="1"/>
    <col min="13061" max="13306" width="9.140625" style="1579"/>
    <col min="13307" max="13307" width="7.7109375" style="1579" customWidth="1"/>
    <col min="13308" max="13308" width="12.7109375" style="1579" customWidth="1"/>
    <col min="13309" max="13309" width="20.7109375" style="1579" customWidth="1"/>
    <col min="13310" max="13310" width="14.7109375" style="1579" customWidth="1"/>
    <col min="13311" max="13311" width="12.7109375" style="1579" customWidth="1"/>
    <col min="13312" max="13312" width="16.7109375" style="1579" customWidth="1"/>
    <col min="13313" max="13313" width="14.7109375" style="1579" customWidth="1"/>
    <col min="13314" max="13315" width="9.140625" style="1579"/>
    <col min="13316" max="13316" width="14" style="1579" bestFit="1" customWidth="1"/>
    <col min="13317" max="13562" width="9.140625" style="1579"/>
    <col min="13563" max="13563" width="7.7109375" style="1579" customWidth="1"/>
    <col min="13564" max="13564" width="12.7109375" style="1579" customWidth="1"/>
    <col min="13565" max="13565" width="20.7109375" style="1579" customWidth="1"/>
    <col min="13566" max="13566" width="14.7109375" style="1579" customWidth="1"/>
    <col min="13567" max="13567" width="12.7109375" style="1579" customWidth="1"/>
    <col min="13568" max="13568" width="16.7109375" style="1579" customWidth="1"/>
    <col min="13569" max="13569" width="14.7109375" style="1579" customWidth="1"/>
    <col min="13570" max="13571" width="9.140625" style="1579"/>
    <col min="13572" max="13572" width="14" style="1579" bestFit="1" customWidth="1"/>
    <col min="13573" max="13818" width="9.140625" style="1579"/>
    <col min="13819" max="13819" width="7.7109375" style="1579" customWidth="1"/>
    <col min="13820" max="13820" width="12.7109375" style="1579" customWidth="1"/>
    <col min="13821" max="13821" width="20.7109375" style="1579" customWidth="1"/>
    <col min="13822" max="13822" width="14.7109375" style="1579" customWidth="1"/>
    <col min="13823" max="13823" width="12.7109375" style="1579" customWidth="1"/>
    <col min="13824" max="13824" width="16.7109375" style="1579" customWidth="1"/>
    <col min="13825" max="13825" width="14.7109375" style="1579" customWidth="1"/>
    <col min="13826" max="13827" width="9.140625" style="1579"/>
    <col min="13828" max="13828" width="14" style="1579" bestFit="1" customWidth="1"/>
    <col min="13829" max="14074" width="9.140625" style="1579"/>
    <col min="14075" max="14075" width="7.7109375" style="1579" customWidth="1"/>
    <col min="14076" max="14076" width="12.7109375" style="1579" customWidth="1"/>
    <col min="14077" max="14077" width="20.7109375" style="1579" customWidth="1"/>
    <col min="14078" max="14078" width="14.7109375" style="1579" customWidth="1"/>
    <col min="14079" max="14079" width="12.7109375" style="1579" customWidth="1"/>
    <col min="14080" max="14080" width="16.7109375" style="1579" customWidth="1"/>
    <col min="14081" max="14081" width="14.7109375" style="1579" customWidth="1"/>
    <col min="14082" max="14083" width="9.140625" style="1579"/>
    <col min="14084" max="14084" width="14" style="1579" bestFit="1" customWidth="1"/>
    <col min="14085" max="14330" width="9.140625" style="1579"/>
    <col min="14331" max="14331" width="7.7109375" style="1579" customWidth="1"/>
    <col min="14332" max="14332" width="12.7109375" style="1579" customWidth="1"/>
    <col min="14333" max="14333" width="20.7109375" style="1579" customWidth="1"/>
    <col min="14334" max="14334" width="14.7109375" style="1579" customWidth="1"/>
    <col min="14335" max="14335" width="12.7109375" style="1579" customWidth="1"/>
    <col min="14336" max="14336" width="16.7109375" style="1579" customWidth="1"/>
    <col min="14337" max="14337" width="14.7109375" style="1579" customWidth="1"/>
    <col min="14338" max="14339" width="9.140625" style="1579"/>
    <col min="14340" max="14340" width="14" style="1579" bestFit="1" customWidth="1"/>
    <col min="14341" max="14586" width="9.140625" style="1579"/>
    <col min="14587" max="14587" width="7.7109375" style="1579" customWidth="1"/>
    <col min="14588" max="14588" width="12.7109375" style="1579" customWidth="1"/>
    <col min="14589" max="14589" width="20.7109375" style="1579" customWidth="1"/>
    <col min="14590" max="14590" width="14.7109375" style="1579" customWidth="1"/>
    <col min="14591" max="14591" width="12.7109375" style="1579" customWidth="1"/>
    <col min="14592" max="14592" width="16.7109375" style="1579" customWidth="1"/>
    <col min="14593" max="14593" width="14.7109375" style="1579" customWidth="1"/>
    <col min="14594" max="14595" width="9.140625" style="1579"/>
    <col min="14596" max="14596" width="14" style="1579" bestFit="1" customWidth="1"/>
    <col min="14597" max="14842" width="9.140625" style="1579"/>
    <col min="14843" max="14843" width="7.7109375" style="1579" customWidth="1"/>
    <col min="14844" max="14844" width="12.7109375" style="1579" customWidth="1"/>
    <col min="14845" max="14845" width="20.7109375" style="1579" customWidth="1"/>
    <col min="14846" max="14846" width="14.7109375" style="1579" customWidth="1"/>
    <col min="14847" max="14847" width="12.7109375" style="1579" customWidth="1"/>
    <col min="14848" max="14848" width="16.7109375" style="1579" customWidth="1"/>
    <col min="14849" max="14849" width="14.7109375" style="1579" customWidth="1"/>
    <col min="14850" max="14851" width="9.140625" style="1579"/>
    <col min="14852" max="14852" width="14" style="1579" bestFit="1" customWidth="1"/>
    <col min="14853" max="15098" width="9.140625" style="1579"/>
    <col min="15099" max="15099" width="7.7109375" style="1579" customWidth="1"/>
    <col min="15100" max="15100" width="12.7109375" style="1579" customWidth="1"/>
    <col min="15101" max="15101" width="20.7109375" style="1579" customWidth="1"/>
    <col min="15102" max="15102" width="14.7109375" style="1579" customWidth="1"/>
    <col min="15103" max="15103" width="12.7109375" style="1579" customWidth="1"/>
    <col min="15104" max="15104" width="16.7109375" style="1579" customWidth="1"/>
    <col min="15105" max="15105" width="14.7109375" style="1579" customWidth="1"/>
    <col min="15106" max="15107" width="9.140625" style="1579"/>
    <col min="15108" max="15108" width="14" style="1579" bestFit="1" customWidth="1"/>
    <col min="15109" max="15354" width="9.140625" style="1579"/>
    <col min="15355" max="15355" width="7.7109375" style="1579" customWidth="1"/>
    <col min="15356" max="15356" width="12.7109375" style="1579" customWidth="1"/>
    <col min="15357" max="15357" width="20.7109375" style="1579" customWidth="1"/>
    <col min="15358" max="15358" width="14.7109375" style="1579" customWidth="1"/>
    <col min="15359" max="15359" width="12.7109375" style="1579" customWidth="1"/>
    <col min="15360" max="15360" width="16.7109375" style="1579" customWidth="1"/>
    <col min="15361" max="15361" width="14.7109375" style="1579" customWidth="1"/>
    <col min="15362" max="15363" width="9.140625" style="1579"/>
    <col min="15364" max="15364" width="14" style="1579" bestFit="1" customWidth="1"/>
    <col min="15365" max="15610" width="9.140625" style="1579"/>
    <col min="15611" max="15611" width="7.7109375" style="1579" customWidth="1"/>
    <col min="15612" max="15612" width="12.7109375" style="1579" customWidth="1"/>
    <col min="15613" max="15613" width="20.7109375" style="1579" customWidth="1"/>
    <col min="15614" max="15614" width="14.7109375" style="1579" customWidth="1"/>
    <col min="15615" max="15615" width="12.7109375" style="1579" customWidth="1"/>
    <col min="15616" max="15616" width="16.7109375" style="1579" customWidth="1"/>
    <col min="15617" max="15617" width="14.7109375" style="1579" customWidth="1"/>
    <col min="15618" max="15619" width="9.140625" style="1579"/>
    <col min="15620" max="15620" width="14" style="1579" bestFit="1" customWidth="1"/>
    <col min="15621" max="15866" width="9.140625" style="1579"/>
    <col min="15867" max="15867" width="7.7109375" style="1579" customWidth="1"/>
    <col min="15868" max="15868" width="12.7109375" style="1579" customWidth="1"/>
    <col min="15869" max="15869" width="20.7109375" style="1579" customWidth="1"/>
    <col min="15870" max="15870" width="14.7109375" style="1579" customWidth="1"/>
    <col min="15871" max="15871" width="12.7109375" style="1579" customWidth="1"/>
    <col min="15872" max="15872" width="16.7109375" style="1579" customWidth="1"/>
    <col min="15873" max="15873" width="14.7109375" style="1579" customWidth="1"/>
    <col min="15874" max="15875" width="9.140625" style="1579"/>
    <col min="15876" max="15876" width="14" style="1579" bestFit="1" customWidth="1"/>
    <col min="15877" max="16122" width="9.140625" style="1579"/>
    <col min="16123" max="16123" width="7.7109375" style="1579" customWidth="1"/>
    <col min="16124" max="16124" width="12.7109375" style="1579" customWidth="1"/>
    <col min="16125" max="16125" width="20.7109375" style="1579" customWidth="1"/>
    <col min="16126" max="16126" width="14.7109375" style="1579" customWidth="1"/>
    <col min="16127" max="16127" width="12.7109375" style="1579" customWidth="1"/>
    <col min="16128" max="16128" width="16.7109375" style="1579" customWidth="1"/>
    <col min="16129" max="16129" width="14.7109375" style="1579" customWidth="1"/>
    <col min="16130" max="16131" width="9.140625" style="1579"/>
    <col min="16132" max="16132" width="14" style="1579" bestFit="1" customWidth="1"/>
    <col min="16133" max="16384" width="9.140625" style="1579"/>
  </cols>
  <sheetData>
    <row r="1" spans="1:6">
      <c r="A1" s="1578"/>
      <c r="B1" s="1578"/>
      <c r="C1" s="1578"/>
      <c r="D1" s="1578"/>
      <c r="E1" s="1578"/>
      <c r="F1" s="1510" t="s">
        <v>2442</v>
      </c>
    </row>
    <row r="2" spans="1:6">
      <c r="A2" s="1938" t="s">
        <v>1</v>
      </c>
      <c r="B2" s="1938"/>
      <c r="C2" s="1938"/>
      <c r="D2" s="1938"/>
      <c r="E2" s="1938"/>
      <c r="F2" s="1938"/>
    </row>
    <row r="3" spans="1:6">
      <c r="A3" s="1924" t="s">
        <v>2423</v>
      </c>
      <c r="B3" s="1924"/>
      <c r="C3" s="1924"/>
      <c r="D3" s="1924"/>
      <c r="E3" s="1578"/>
      <c r="F3" s="1578"/>
    </row>
    <row r="4" spans="1:6" ht="28.5" customHeight="1">
      <c r="A4" s="1580" t="s">
        <v>2424</v>
      </c>
      <c r="B4" s="1580"/>
      <c r="C4" s="1580"/>
      <c r="D4" s="1580"/>
      <c r="E4" s="1578"/>
      <c r="F4" s="1578"/>
    </row>
    <row r="5" spans="1:6">
      <c r="A5" s="1924" t="s">
        <v>2410</v>
      </c>
      <c r="B5" s="1924"/>
      <c r="C5" s="1924"/>
      <c r="D5" s="1924"/>
      <c r="E5" s="1578"/>
      <c r="F5" s="1578"/>
    </row>
    <row r="6" spans="1:6">
      <c r="A6" s="1580" t="s">
        <v>2425</v>
      </c>
      <c r="B6" s="1580"/>
      <c r="C6" s="1580"/>
      <c r="D6" s="1580" t="s">
        <v>2426</v>
      </c>
      <c r="E6" s="1923" t="s">
        <v>2427</v>
      </c>
      <c r="F6" s="1924"/>
    </row>
    <row r="7" spans="1:6">
      <c r="A7" s="1581" t="s">
        <v>2428</v>
      </c>
      <c r="B7" s="1581"/>
      <c r="C7" s="1581"/>
      <c r="D7" s="1581" t="s">
        <v>2443</v>
      </c>
      <c r="E7" s="1581"/>
      <c r="F7" s="1580"/>
    </row>
    <row r="8" spans="1:6" ht="24.75" thickBot="1">
      <c r="A8" s="1583"/>
      <c r="B8" s="1583"/>
      <c r="C8" s="1583"/>
      <c r="D8" s="1583"/>
      <c r="E8" s="1583"/>
      <c r="F8" s="1583"/>
    </row>
    <row r="9" spans="1:6" ht="25.5" thickTop="1" thickBot="1">
      <c r="A9" s="1584" t="s">
        <v>9</v>
      </c>
      <c r="B9" s="1939" t="s">
        <v>10</v>
      </c>
      <c r="C9" s="1940"/>
      <c r="D9" s="1585" t="s">
        <v>2429</v>
      </c>
      <c r="E9" s="1584" t="s">
        <v>2444</v>
      </c>
      <c r="F9" s="1586" t="s">
        <v>24</v>
      </c>
    </row>
    <row r="10" spans="1:6" ht="24.75" thickTop="1">
      <c r="A10" s="1640" t="s">
        <v>54</v>
      </c>
      <c r="B10" s="1936" t="s">
        <v>2445</v>
      </c>
      <c r="C10" s="1937"/>
      <c r="D10" s="1592"/>
      <c r="E10" s="360"/>
      <c r="F10" s="1593"/>
    </row>
    <row r="11" spans="1:6">
      <c r="A11" s="1595"/>
      <c r="B11" s="1641" t="s">
        <v>480</v>
      </c>
      <c r="C11" s="1596"/>
      <c r="D11" s="1597"/>
      <c r="E11" s="360" t="s">
        <v>2446</v>
      </c>
      <c r="F11" s="1598"/>
    </row>
    <row r="12" spans="1:6">
      <c r="A12" s="1595"/>
      <c r="B12" s="1641" t="s">
        <v>2473</v>
      </c>
      <c r="C12" s="1596"/>
      <c r="D12" s="1597"/>
      <c r="E12" s="360" t="s">
        <v>2446</v>
      </c>
      <c r="F12" s="1598"/>
    </row>
    <row r="13" spans="1:6">
      <c r="A13" s="1599"/>
      <c r="B13" s="1641" t="s">
        <v>481</v>
      </c>
      <c r="C13" s="1642"/>
      <c r="D13" s="1600"/>
      <c r="E13" s="360" t="s">
        <v>2446</v>
      </c>
      <c r="F13" s="1598"/>
    </row>
    <row r="14" spans="1:6">
      <c r="A14" s="1595"/>
      <c r="B14" s="1641" t="s">
        <v>2457</v>
      </c>
      <c r="C14" s="1538"/>
      <c r="D14" s="1601"/>
      <c r="E14" s="360" t="s">
        <v>2446</v>
      </c>
      <c r="F14" s="1598"/>
    </row>
    <row r="15" spans="1:6">
      <c r="A15" s="1595"/>
      <c r="B15" s="1641" t="s">
        <v>2471</v>
      </c>
      <c r="C15" s="1538"/>
      <c r="D15" s="1601"/>
      <c r="E15" s="360" t="s">
        <v>2446</v>
      </c>
      <c r="F15" s="1598"/>
    </row>
    <row r="16" spans="1:6">
      <c r="A16" s="1602"/>
      <c r="B16" s="1535"/>
      <c r="C16" s="1605"/>
      <c r="D16" s="1600"/>
      <c r="E16" s="360"/>
      <c r="F16" s="1604"/>
    </row>
    <row r="17" spans="1:6">
      <c r="A17" s="1595"/>
      <c r="B17" s="1538"/>
      <c r="C17" s="1538"/>
      <c r="D17" s="1601"/>
      <c r="E17" s="360"/>
      <c r="F17" s="1598"/>
    </row>
    <row r="18" spans="1:6">
      <c r="A18" s="1643"/>
      <c r="B18" s="1641"/>
      <c r="C18" s="1641"/>
      <c r="D18" s="1600"/>
      <c r="E18" s="1644"/>
      <c r="F18" s="1598"/>
    </row>
    <row r="19" spans="1:6">
      <c r="A19" s="1645"/>
      <c r="B19" s="1646"/>
      <c r="C19" s="1646"/>
      <c r="D19" s="1647"/>
      <c r="E19" s="1648"/>
      <c r="F19" s="1604"/>
    </row>
    <row r="20" spans="1:6">
      <c r="A20" s="1606"/>
      <c r="B20" s="1931" t="s">
        <v>2437</v>
      </c>
      <c r="C20" s="1932"/>
      <c r="D20" s="1606"/>
      <c r="E20" s="1607"/>
      <c r="F20" s="1608"/>
    </row>
    <row r="21" spans="1:6">
      <c r="A21" s="1614"/>
      <c r="B21" s="1615" t="s">
        <v>2447</v>
      </c>
      <c r="C21" s="1616"/>
      <c r="D21" s="1617"/>
      <c r="E21" s="1618"/>
      <c r="F21" s="1617"/>
    </row>
    <row r="22" spans="1:6">
      <c r="A22" s="1599"/>
      <c r="B22" s="1619" t="s">
        <v>2448</v>
      </c>
      <c r="C22" s="1620"/>
      <c r="D22" s="1620"/>
      <c r="E22" s="1621"/>
      <c r="F22" s="1598"/>
    </row>
    <row r="23" spans="1:6">
      <c r="A23" s="1599"/>
      <c r="B23" s="1622" t="s">
        <v>2439</v>
      </c>
      <c r="C23" s="1623"/>
      <c r="D23" s="1623"/>
      <c r="E23" s="1621"/>
      <c r="F23" s="1598"/>
    </row>
    <row r="24" spans="1:6">
      <c r="A24" s="1624"/>
      <c r="B24" s="1625" t="s">
        <v>2440</v>
      </c>
      <c r="C24" s="1626"/>
      <c r="D24" s="1626"/>
      <c r="E24" s="1621"/>
      <c r="F24" s="1627"/>
    </row>
    <row r="25" spans="1:6" ht="24.75" thickBot="1">
      <c r="A25" s="1628"/>
      <c r="B25" s="1629" t="s">
        <v>2441</v>
      </c>
      <c r="C25" s="1630"/>
      <c r="D25" s="1630"/>
      <c r="E25" s="1631"/>
      <c r="F25" s="1632"/>
    </row>
    <row r="26" spans="1:6" ht="25.5" thickTop="1" thickBot="1">
      <c r="A26" s="1633"/>
      <c r="B26" s="1634"/>
      <c r="C26" s="1634"/>
      <c r="D26" s="1933" t="s">
        <v>24</v>
      </c>
      <c r="E26" s="1934"/>
      <c r="F26" s="1635">
        <f>F20</f>
        <v>0</v>
      </c>
    </row>
    <row r="27" spans="1:6" ht="24.75" thickTop="1">
      <c r="A27" s="1633"/>
      <c r="B27" s="1634"/>
      <c r="C27" s="1634"/>
      <c r="D27" s="1649"/>
      <c r="E27" s="1649"/>
      <c r="F27" s="1637"/>
    </row>
    <row r="28" spans="1:6">
      <c r="A28" s="1633"/>
      <c r="B28" s="1935"/>
      <c r="C28" s="1935"/>
      <c r="D28" s="1636"/>
      <c r="E28" s="1637"/>
      <c r="F28" s="1637"/>
    </row>
    <row r="29" spans="1:6">
      <c r="A29" s="1633"/>
      <c r="B29" s="1636"/>
      <c r="C29" s="1636"/>
      <c r="D29" s="1636"/>
      <c r="E29" s="1637"/>
      <c r="F29" s="1637"/>
    </row>
    <row r="30" spans="1:6">
      <c r="A30" s="1578"/>
      <c r="B30" s="1578"/>
      <c r="C30" s="1578"/>
      <c r="D30" s="1578"/>
      <c r="E30" s="1578"/>
      <c r="F30" s="1578"/>
    </row>
    <row r="31" spans="1:6">
      <c r="A31" s="1638"/>
      <c r="B31" s="1928"/>
      <c r="C31" s="1928"/>
      <c r="D31" s="1639"/>
      <c r="E31" s="1928"/>
      <c r="F31" s="1928"/>
    </row>
    <row r="32" spans="1:6">
      <c r="A32" s="1638"/>
      <c r="B32" s="1928"/>
      <c r="C32" s="1928"/>
      <c r="D32" s="1639"/>
      <c r="E32" s="1928"/>
      <c r="F32" s="1928"/>
    </row>
    <row r="33" spans="1:6">
      <c r="A33" s="1578"/>
      <c r="B33" s="1928"/>
      <c r="C33" s="1928"/>
      <c r="D33" s="1578"/>
      <c r="E33" s="1928"/>
      <c r="F33" s="1928"/>
    </row>
    <row r="36" spans="1:6">
      <c r="A36" s="1638"/>
      <c r="B36" s="1928"/>
      <c r="C36" s="1928"/>
      <c r="D36" s="1639"/>
      <c r="E36" s="1928"/>
      <c r="F36" s="1928"/>
    </row>
    <row r="37" spans="1:6">
      <c r="A37" s="1638"/>
      <c r="B37" s="1928"/>
      <c r="C37" s="1928"/>
      <c r="D37" s="1639"/>
      <c r="E37" s="1928"/>
      <c r="F37" s="1928"/>
    </row>
    <row r="38" spans="1:6">
      <c r="A38" s="1578"/>
      <c r="B38" s="1928"/>
      <c r="C38" s="1928"/>
      <c r="D38" s="1578"/>
      <c r="E38" s="1928"/>
      <c r="F38" s="1928"/>
    </row>
  </sheetData>
  <mergeCells count="21">
    <mergeCell ref="B32:C32"/>
    <mergeCell ref="E32:F32"/>
    <mergeCell ref="A2:F2"/>
    <mergeCell ref="A3:D3"/>
    <mergeCell ref="A5:D5"/>
    <mergeCell ref="E6:F6"/>
    <mergeCell ref="B9:C9"/>
    <mergeCell ref="B10:C10"/>
    <mergeCell ref="B20:C20"/>
    <mergeCell ref="D26:E26"/>
    <mergeCell ref="B28:C28"/>
    <mergeCell ref="B31:C31"/>
    <mergeCell ref="E31:F31"/>
    <mergeCell ref="B38:C38"/>
    <mergeCell ref="E38:F38"/>
    <mergeCell ref="B33:C33"/>
    <mergeCell ref="E33:F33"/>
    <mergeCell ref="B36:C36"/>
    <mergeCell ref="E36:F36"/>
    <mergeCell ref="B37:C37"/>
    <mergeCell ref="E37:F37"/>
  </mergeCells>
  <printOptions horizontalCentered="1"/>
  <pageMargins left="0" right="0" top="0.39370078740157483" bottom="0.31496062992125984" header="0.31496062992125984" footer="0.15748031496062992"/>
  <pageSetup paperSize="9" scale="8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5"/>
  <sheetViews>
    <sheetView showGridLines="0" view="pageBreakPreview" topLeftCell="A166" zoomScaleNormal="90" zoomScaleSheetLayoutView="100" workbookViewId="0">
      <selection activeCell="G207" sqref="G207"/>
    </sheetView>
  </sheetViews>
  <sheetFormatPr defaultRowHeight="21.75"/>
  <cols>
    <col min="1" max="1" width="8.7109375" style="361" customWidth="1"/>
    <col min="2" max="2" width="15.5703125" style="361" customWidth="1"/>
    <col min="3" max="3" width="41.5703125" style="361" customWidth="1"/>
    <col min="4" max="4" width="15.140625" style="361" customWidth="1"/>
    <col min="5" max="5" width="11" style="361" customWidth="1"/>
    <col min="6" max="6" width="16.140625" style="361" customWidth="1"/>
    <col min="7" max="7" width="17.42578125" style="361" customWidth="1"/>
    <col min="8" max="8" width="15.85546875" style="361" customWidth="1"/>
    <col min="9" max="9" width="15.7109375" style="361" customWidth="1"/>
    <col min="10" max="10" width="17.42578125" style="361" customWidth="1"/>
    <col min="11" max="11" width="23" style="361" customWidth="1"/>
    <col min="12" max="12" width="9.140625" style="361"/>
    <col min="13" max="13" width="12.42578125" style="361" customWidth="1"/>
    <col min="14" max="16384" width="9.140625" style="361"/>
  </cols>
  <sheetData>
    <row r="1" spans="1:13" ht="26.25">
      <c r="D1" s="88" t="s">
        <v>62</v>
      </c>
      <c r="I1" s="125" t="s">
        <v>30</v>
      </c>
      <c r="M1" s="1650">
        <v>1.1000000000000001</v>
      </c>
    </row>
    <row r="2" spans="1:13">
      <c r="A2" s="36" t="s">
        <v>43</v>
      </c>
      <c r="B2" s="369"/>
      <c r="C2" s="38" t="s">
        <v>1298</v>
      </c>
      <c r="D2" s="38"/>
      <c r="E2" s="38"/>
      <c r="F2" s="38"/>
      <c r="G2" s="38"/>
      <c r="H2" s="369"/>
      <c r="I2" s="373"/>
      <c r="J2" s="373"/>
      <c r="K2" s="373"/>
    </row>
    <row r="3" spans="1:13">
      <c r="A3" s="41" t="s">
        <v>1299</v>
      </c>
      <c r="B3" s="374"/>
      <c r="C3" s="43"/>
      <c r="D3" s="43"/>
      <c r="E3" s="43"/>
      <c r="F3" s="43"/>
      <c r="G3" s="43"/>
      <c r="H3" s="43"/>
      <c r="I3" s="364"/>
      <c r="J3" s="362"/>
      <c r="K3" s="363" t="s">
        <v>1993</v>
      </c>
    </row>
    <row r="4" spans="1:13">
      <c r="A4" s="41" t="s">
        <v>44</v>
      </c>
      <c r="B4" s="374"/>
      <c r="C4" s="43" t="s">
        <v>522</v>
      </c>
      <c r="D4" s="43"/>
      <c r="E4" s="46"/>
      <c r="G4" s="47"/>
      <c r="H4" s="43"/>
      <c r="I4" s="364"/>
      <c r="J4" s="2191"/>
      <c r="K4" s="2191"/>
    </row>
    <row r="5" spans="1:13">
      <c r="A5" s="41" t="s">
        <v>523</v>
      </c>
      <c r="B5" s="374"/>
      <c r="C5" s="43"/>
      <c r="D5" s="43"/>
      <c r="E5" s="46"/>
      <c r="F5" s="43"/>
      <c r="G5" s="43"/>
      <c r="H5" s="47" t="s">
        <v>31</v>
      </c>
      <c r="I5" s="43" t="s">
        <v>524</v>
      </c>
      <c r="J5" s="379"/>
      <c r="K5" s="379"/>
    </row>
    <row r="6" spans="1:13">
      <c r="A6" s="41" t="s">
        <v>42</v>
      </c>
      <c r="B6" s="374"/>
      <c r="C6" s="2111" t="s">
        <v>485</v>
      </c>
      <c r="D6" s="2111"/>
      <c r="E6" s="43"/>
      <c r="F6" s="48" t="s">
        <v>32</v>
      </c>
      <c r="G6" s="381">
        <v>15</v>
      </c>
      <c r="H6" s="382" t="s">
        <v>33</v>
      </c>
      <c r="I6" s="383" t="s">
        <v>525</v>
      </c>
      <c r="J6" s="126" t="s">
        <v>65</v>
      </c>
      <c r="K6" s="2131" t="s">
        <v>45</v>
      </c>
    </row>
    <row r="7" spans="1:13" ht="14.25" customHeight="1" thickBot="1">
      <c r="A7" s="31"/>
      <c r="B7" s="32"/>
      <c r="C7" s="33"/>
      <c r="D7" s="33"/>
      <c r="E7" s="33"/>
      <c r="F7" s="35"/>
      <c r="G7" s="103"/>
      <c r="H7" s="35"/>
      <c r="I7" s="32"/>
      <c r="J7" s="35"/>
      <c r="K7" s="2132"/>
    </row>
    <row r="8" spans="1:13" ht="22.5" thickTop="1">
      <c r="A8" s="1984" t="s">
        <v>9</v>
      </c>
      <c r="B8" s="1986" t="s">
        <v>10</v>
      </c>
      <c r="C8" s="1988"/>
      <c r="D8" s="1999" t="s">
        <v>34</v>
      </c>
      <c r="E8" s="1999" t="s">
        <v>35</v>
      </c>
      <c r="F8" s="1997" t="s">
        <v>36</v>
      </c>
      <c r="G8" s="1998"/>
      <c r="H8" s="1997" t="s">
        <v>37</v>
      </c>
      <c r="I8" s="1998"/>
      <c r="J8" s="108" t="s">
        <v>38</v>
      </c>
      <c r="K8" s="1992" t="s">
        <v>13</v>
      </c>
    </row>
    <row r="9" spans="1:13" ht="22.5" thickBot="1">
      <c r="A9" s="1985"/>
      <c r="B9" s="1989"/>
      <c r="C9" s="1991"/>
      <c r="D9" s="2000"/>
      <c r="E9" s="2000"/>
      <c r="F9" s="110" t="s">
        <v>39</v>
      </c>
      <c r="G9" s="116" t="s">
        <v>40</v>
      </c>
      <c r="H9" s="110" t="s">
        <v>39</v>
      </c>
      <c r="I9" s="116" t="s">
        <v>40</v>
      </c>
      <c r="J9" s="109" t="s">
        <v>41</v>
      </c>
      <c r="K9" s="1993"/>
    </row>
    <row r="10" spans="1:13" ht="24.75" thickTop="1">
      <c r="A10" s="1423">
        <v>4</v>
      </c>
      <c r="B10" s="1424" t="s">
        <v>1300</v>
      </c>
      <c r="C10" s="1425"/>
      <c r="D10" s="1426"/>
      <c r="E10" s="1427"/>
      <c r="F10" s="1428"/>
      <c r="G10" s="1429"/>
      <c r="H10" s="1428"/>
      <c r="I10" s="1429"/>
      <c r="J10" s="1430"/>
      <c r="K10" s="1427"/>
    </row>
    <row r="11" spans="1:13" ht="24">
      <c r="A11" s="1431" t="str">
        <f>A31</f>
        <v>4.1</v>
      </c>
      <c r="B11" s="483" t="str">
        <f>B31</f>
        <v>Distribution Board</v>
      </c>
      <c r="C11" s="1020"/>
      <c r="D11" s="787"/>
      <c r="E11" s="742" t="s">
        <v>182</v>
      </c>
      <c r="F11" s="1432"/>
      <c r="G11" s="753"/>
      <c r="H11" s="754"/>
      <c r="I11" s="753"/>
      <c r="J11" s="758"/>
      <c r="K11" s="757"/>
    </row>
    <row r="12" spans="1:13" ht="24">
      <c r="A12" s="416">
        <f>A11+0.1</f>
        <v>4.1999999999999993</v>
      </c>
      <c r="B12" s="471" t="str">
        <f>B52</f>
        <v>Essential Distribution Board</v>
      </c>
      <c r="C12" s="408"/>
      <c r="D12" s="787"/>
      <c r="E12" s="742" t="s">
        <v>182</v>
      </c>
      <c r="F12" s="1432"/>
      <c r="G12" s="753"/>
      <c r="H12" s="754"/>
      <c r="I12" s="753"/>
      <c r="J12" s="758"/>
      <c r="K12" s="1369"/>
    </row>
    <row r="13" spans="1:13" ht="24">
      <c r="A13" s="416">
        <f t="shared" ref="A13:A19" si="0">A12+0.1</f>
        <v>4.2999999999999989</v>
      </c>
      <c r="B13" s="334" t="s">
        <v>1453</v>
      </c>
      <c r="C13" s="1433"/>
      <c r="D13" s="787"/>
      <c r="E13" s="742" t="s">
        <v>182</v>
      </c>
      <c r="F13" s="1432"/>
      <c r="G13" s="753"/>
      <c r="H13" s="754"/>
      <c r="I13" s="753"/>
      <c r="J13" s="758"/>
      <c r="K13" s="1369"/>
    </row>
    <row r="14" spans="1:13" ht="24">
      <c r="A14" s="416">
        <f t="shared" si="0"/>
        <v>4.3999999999999986</v>
      </c>
      <c r="B14" s="1434" t="str">
        <f>B76</f>
        <v>แผงสวิทช์ย่อยและเซอร์กิต เบรคเกอร์ (Panelboard &amp; CB)</v>
      </c>
      <c r="C14" s="1433"/>
      <c r="D14" s="787"/>
      <c r="E14" s="742" t="s">
        <v>182</v>
      </c>
      <c r="F14" s="1432"/>
      <c r="G14" s="753"/>
      <c r="H14" s="754"/>
      <c r="I14" s="753"/>
      <c r="J14" s="758"/>
      <c r="K14" s="1369"/>
    </row>
    <row r="15" spans="1:13" ht="24">
      <c r="A15" s="416">
        <f t="shared" si="0"/>
        <v>4.4999999999999982</v>
      </c>
      <c r="B15" s="471" t="str">
        <f>B94</f>
        <v>สายไฟฟ้า (Cable &amp; Wire)</v>
      </c>
      <c r="C15" s="408"/>
      <c r="D15" s="787"/>
      <c r="E15" s="742" t="s">
        <v>182</v>
      </c>
      <c r="F15" s="1432"/>
      <c r="G15" s="753"/>
      <c r="H15" s="754"/>
      <c r="I15" s="753"/>
      <c r="J15" s="758"/>
      <c r="K15" s="1369"/>
    </row>
    <row r="16" spans="1:13" ht="24">
      <c r="A16" s="416">
        <f t="shared" si="0"/>
        <v>4.5999999999999979</v>
      </c>
      <c r="B16" s="471" t="str">
        <f>B118</f>
        <v>รางเดินสายไฟฟ้า (Raceway)</v>
      </c>
      <c r="C16" s="408"/>
      <c r="D16" s="787"/>
      <c r="E16" s="742" t="s">
        <v>182</v>
      </c>
      <c r="F16" s="1432"/>
      <c r="G16" s="753"/>
      <c r="H16" s="754"/>
      <c r="I16" s="753"/>
      <c r="J16" s="758"/>
      <c r="K16" s="1369"/>
    </row>
    <row r="17" spans="1:13" ht="24">
      <c r="A17" s="416">
        <f t="shared" si="0"/>
        <v>4.6999999999999975</v>
      </c>
      <c r="B17" s="471" t="str">
        <f>B147</f>
        <v>สวิทช์และเต้ารับ (Switch &amp; Outlet)</v>
      </c>
      <c r="C17" s="408"/>
      <c r="D17" s="787"/>
      <c r="E17" s="742" t="s">
        <v>182</v>
      </c>
      <c r="F17" s="1432"/>
      <c r="G17" s="753"/>
      <c r="H17" s="745"/>
      <c r="I17" s="753"/>
      <c r="J17" s="758"/>
      <c r="K17" s="1369"/>
    </row>
    <row r="18" spans="1:13" ht="24">
      <c r="A18" s="416">
        <f t="shared" si="0"/>
        <v>4.7999999999999972</v>
      </c>
      <c r="B18" s="471" t="str">
        <f>B157</f>
        <v>โคมไฟฟ้า (Luminaire)</v>
      </c>
      <c r="C18" s="408"/>
      <c r="D18" s="787"/>
      <c r="E18" s="742" t="s">
        <v>182</v>
      </c>
      <c r="F18" s="1432"/>
      <c r="G18" s="753"/>
      <c r="H18" s="745"/>
      <c r="I18" s="753"/>
      <c r="J18" s="758"/>
      <c r="K18" s="1369"/>
    </row>
    <row r="19" spans="1:13" ht="24">
      <c r="A19" s="416">
        <f t="shared" si="0"/>
        <v>4.8999999999999968</v>
      </c>
      <c r="B19" s="471" t="str">
        <f>B178</f>
        <v>ระบบป้องกันฟ้าผ่าและระบบต่อลงดิน</v>
      </c>
      <c r="C19" s="408"/>
      <c r="D19" s="787"/>
      <c r="E19" s="742" t="s">
        <v>182</v>
      </c>
      <c r="F19" s="1432"/>
      <c r="G19" s="753"/>
      <c r="H19" s="745"/>
      <c r="I19" s="753"/>
      <c r="J19" s="758"/>
      <c r="K19" s="1369"/>
    </row>
    <row r="20" spans="1:13" ht="24">
      <c r="A20" s="1435">
        <v>4.0999999999999996</v>
      </c>
      <c r="B20" s="471" t="str">
        <f>B199</f>
        <v>ระบบสัญญาณแจ้งเหตุเพลิงไหม้ (Fire Alarm System)</v>
      </c>
      <c r="C20" s="408"/>
      <c r="D20" s="787"/>
      <c r="E20" s="742" t="s">
        <v>182</v>
      </c>
      <c r="F20" s="1432"/>
      <c r="G20" s="753"/>
      <c r="H20" s="745"/>
      <c r="I20" s="753"/>
      <c r="J20" s="758"/>
      <c r="K20" s="1369"/>
    </row>
    <row r="21" spans="1:13" ht="24">
      <c r="A21" s="1435">
        <v>4.1100000000000003</v>
      </c>
      <c r="B21" s="471" t="str">
        <f>B235</f>
        <v>ระบบป้องกันไฟและควันลาม (Fire Barrier System)</v>
      </c>
      <c r="C21" s="408"/>
      <c r="D21" s="787"/>
      <c r="E21" s="742" t="s">
        <v>182</v>
      </c>
      <c r="F21" s="1432"/>
      <c r="G21" s="753"/>
      <c r="H21" s="745"/>
      <c r="I21" s="753"/>
      <c r="J21" s="758"/>
      <c r="K21" s="1369"/>
    </row>
    <row r="22" spans="1:13" ht="24">
      <c r="A22" s="416"/>
      <c r="B22" s="425"/>
      <c r="C22" s="408"/>
      <c r="D22" s="1369"/>
      <c r="E22" s="742"/>
      <c r="F22" s="1432"/>
      <c r="G22" s="753"/>
      <c r="H22" s="745"/>
      <c r="I22" s="753"/>
      <c r="J22" s="758"/>
      <c r="K22" s="1369"/>
    </row>
    <row r="23" spans="1:13" ht="24">
      <c r="A23" s="416"/>
      <c r="B23" s="425"/>
      <c r="C23" s="408"/>
      <c r="D23" s="1369"/>
      <c r="E23" s="742"/>
      <c r="F23" s="1432"/>
      <c r="G23" s="753"/>
      <c r="H23" s="745"/>
      <c r="I23" s="753"/>
      <c r="J23" s="758"/>
      <c r="K23" s="1369"/>
    </row>
    <row r="24" spans="1:13" ht="24">
      <c r="A24" s="416"/>
      <c r="B24" s="425"/>
      <c r="C24" s="408"/>
      <c r="D24" s="1369"/>
      <c r="E24" s="742"/>
      <c r="F24" s="1432"/>
      <c r="G24" s="753"/>
      <c r="H24" s="745"/>
      <c r="I24" s="753"/>
      <c r="J24" s="758"/>
      <c r="K24" s="1369"/>
    </row>
    <row r="25" spans="1:13" ht="24">
      <c r="A25" s="416"/>
      <c r="B25" s="425"/>
      <c r="C25" s="408"/>
      <c r="D25" s="1369"/>
      <c r="E25" s="742"/>
      <c r="F25" s="1432"/>
      <c r="G25" s="753"/>
      <c r="H25" s="745"/>
      <c r="I25" s="753"/>
      <c r="J25" s="758"/>
      <c r="K25" s="1369"/>
    </row>
    <row r="26" spans="1:13" ht="24">
      <c r="A26" s="416"/>
      <c r="B26" s="425"/>
      <c r="C26" s="408"/>
      <c r="D26" s="1369"/>
      <c r="E26" s="742"/>
      <c r="F26" s="1432"/>
      <c r="G26" s="753"/>
      <c r="H26" s="745"/>
      <c r="I26" s="753"/>
      <c r="J26" s="758"/>
      <c r="K26" s="1369"/>
    </row>
    <row r="27" spans="1:13" ht="24">
      <c r="A27" s="416"/>
      <c r="B27" s="425"/>
      <c r="C27" s="408"/>
      <c r="D27" s="1369"/>
      <c r="E27" s="742"/>
      <c r="F27" s="1432"/>
      <c r="G27" s="753"/>
      <c r="H27" s="745"/>
      <c r="I27" s="753"/>
      <c r="J27" s="758"/>
      <c r="K27" s="1369"/>
    </row>
    <row r="28" spans="1:13" ht="24">
      <c r="A28" s="426"/>
      <c r="B28" s="425"/>
      <c r="C28" s="408"/>
      <c r="D28" s="1369"/>
      <c r="E28" s="742"/>
      <c r="F28" s="1432"/>
      <c r="G28" s="753"/>
      <c r="H28" s="745"/>
      <c r="I28" s="753"/>
      <c r="J28" s="758"/>
      <c r="K28" s="1369"/>
      <c r="M28" s="1094">
        <v>4266.91</v>
      </c>
    </row>
    <row r="29" spans="1:13" ht="24.75" thickBot="1">
      <c r="A29" s="426"/>
      <c r="B29" s="425"/>
      <c r="C29" s="408"/>
      <c r="D29" s="1369"/>
      <c r="E29" s="742"/>
      <c r="F29" s="1432"/>
      <c r="G29" s="753"/>
      <c r="H29" s="745"/>
      <c r="I29" s="753"/>
      <c r="J29" s="758"/>
      <c r="K29" s="1369"/>
    </row>
    <row r="30" spans="1:13" ht="24.75" thickTop="1">
      <c r="A30" s="427"/>
      <c r="B30" s="2084" t="s">
        <v>69</v>
      </c>
      <c r="C30" s="2085"/>
      <c r="D30" s="1436"/>
      <c r="E30" s="760"/>
      <c r="F30" s="1437"/>
      <c r="G30" s="928"/>
      <c r="H30" s="823"/>
      <c r="I30" s="928"/>
      <c r="J30" s="1438"/>
      <c r="K30" s="765"/>
      <c r="M30" s="1194">
        <f>J30/M28</f>
        <v>0</v>
      </c>
    </row>
    <row r="31" spans="1:13" ht="24">
      <c r="A31" s="829" t="s">
        <v>2229</v>
      </c>
      <c r="B31" s="1372" t="s">
        <v>1400</v>
      </c>
      <c r="C31" s="89"/>
      <c r="D31" s="1380"/>
      <c r="E31" s="789"/>
      <c r="F31" s="1001"/>
      <c r="G31" s="853"/>
      <c r="H31" s="1001"/>
      <c r="I31" s="853"/>
      <c r="J31" s="1002"/>
      <c r="K31" s="795"/>
    </row>
    <row r="32" spans="1:13" ht="24">
      <c r="A32" s="785" t="s">
        <v>1302</v>
      </c>
      <c r="B32" s="1387" t="s">
        <v>2230</v>
      </c>
      <c r="C32" s="1387"/>
      <c r="D32" s="1136"/>
      <c r="E32" s="789"/>
      <c r="F32" s="1139"/>
      <c r="G32" s="853"/>
      <c r="H32" s="1139"/>
      <c r="I32" s="853"/>
      <c r="J32" s="1002"/>
      <c r="K32" s="832"/>
    </row>
    <row r="33" spans="1:11" ht="24">
      <c r="A33" s="785" t="s">
        <v>2231</v>
      </c>
      <c r="B33" s="1387" t="s">
        <v>1404</v>
      </c>
      <c r="C33" s="1387"/>
      <c r="D33" s="1136"/>
      <c r="E33" s="789"/>
      <c r="F33" s="1139"/>
      <c r="G33" s="853"/>
      <c r="H33" s="1139"/>
      <c r="I33" s="853"/>
      <c r="J33" s="1002"/>
      <c r="K33" s="832"/>
    </row>
    <row r="34" spans="1:11" ht="24">
      <c r="A34" s="785"/>
      <c r="B34" s="1040" t="s">
        <v>1304</v>
      </c>
      <c r="C34" s="90" t="s">
        <v>1446</v>
      </c>
      <c r="D34" s="1137"/>
      <c r="E34" s="924" t="s">
        <v>185</v>
      </c>
      <c r="F34" s="819"/>
      <c r="G34" s="900"/>
      <c r="H34" s="819"/>
      <c r="I34" s="900"/>
      <c r="J34" s="901"/>
      <c r="K34" s="905"/>
    </row>
    <row r="35" spans="1:11" ht="24">
      <c r="A35" s="785"/>
      <c r="B35" s="1040" t="s">
        <v>1304</v>
      </c>
      <c r="C35" s="90" t="s">
        <v>1405</v>
      </c>
      <c r="D35" s="1136"/>
      <c r="E35" s="924" t="s">
        <v>185</v>
      </c>
      <c r="F35" s="819"/>
      <c r="G35" s="900"/>
      <c r="H35" s="819"/>
      <c r="I35" s="900"/>
      <c r="J35" s="901"/>
      <c r="K35" s="905"/>
    </row>
    <row r="36" spans="1:11" ht="24">
      <c r="A36" s="785"/>
      <c r="B36" s="1040" t="s">
        <v>1304</v>
      </c>
      <c r="C36" s="90" t="s">
        <v>1438</v>
      </c>
      <c r="D36" s="1136"/>
      <c r="E36" s="924" t="s">
        <v>185</v>
      </c>
      <c r="F36" s="819"/>
      <c r="G36" s="900"/>
      <c r="H36" s="819"/>
      <c r="I36" s="900"/>
      <c r="J36" s="901"/>
      <c r="K36" s="905"/>
    </row>
    <row r="37" spans="1:11" ht="24">
      <c r="A37" s="785"/>
      <c r="B37" s="1040" t="s">
        <v>1304</v>
      </c>
      <c r="C37" s="90" t="s">
        <v>1424</v>
      </c>
      <c r="D37" s="1136"/>
      <c r="E37" s="924" t="s">
        <v>185</v>
      </c>
      <c r="F37" s="819"/>
      <c r="G37" s="900"/>
      <c r="H37" s="819"/>
      <c r="I37" s="900"/>
      <c r="J37" s="901"/>
      <c r="K37" s="905"/>
    </row>
    <row r="38" spans="1:11" ht="24">
      <c r="A38" s="785"/>
      <c r="B38" s="1040" t="s">
        <v>1304</v>
      </c>
      <c r="C38" s="90" t="s">
        <v>1389</v>
      </c>
      <c r="D38" s="1137"/>
      <c r="E38" s="924" t="s">
        <v>185</v>
      </c>
      <c r="F38" s="819"/>
      <c r="G38" s="900"/>
      <c r="H38" s="819"/>
      <c r="I38" s="900"/>
      <c r="J38" s="901"/>
      <c r="K38" s="905"/>
    </row>
    <row r="39" spans="1:11" ht="24">
      <c r="A39" s="785"/>
      <c r="B39" s="1040" t="s">
        <v>1304</v>
      </c>
      <c r="C39" s="90" t="s">
        <v>2232</v>
      </c>
      <c r="D39" s="1136"/>
      <c r="E39" s="924" t="s">
        <v>185</v>
      </c>
      <c r="F39" s="819"/>
      <c r="G39" s="900"/>
      <c r="H39" s="819"/>
      <c r="I39" s="900"/>
      <c r="J39" s="901"/>
      <c r="K39" s="905"/>
    </row>
    <row r="40" spans="1:11" ht="24">
      <c r="A40" s="785" t="s">
        <v>2233</v>
      </c>
      <c r="B40" s="1387" t="s">
        <v>1226</v>
      </c>
      <c r="C40" s="1387"/>
      <c r="D40" s="1136"/>
      <c r="E40" s="789"/>
      <c r="F40" s="819"/>
      <c r="G40" s="900"/>
      <c r="H40" s="819"/>
      <c r="I40" s="900"/>
      <c r="J40" s="901"/>
      <c r="K40" s="832"/>
    </row>
    <row r="41" spans="1:11" ht="24">
      <c r="A41" s="785"/>
      <c r="B41" s="1040" t="s">
        <v>1304</v>
      </c>
      <c r="C41" s="90" t="s">
        <v>1419</v>
      </c>
      <c r="D41" s="1439"/>
      <c r="E41" s="781" t="s">
        <v>185</v>
      </c>
      <c r="F41" s="819"/>
      <c r="G41" s="900"/>
      <c r="H41" s="819"/>
      <c r="I41" s="900"/>
      <c r="J41" s="901"/>
      <c r="K41" s="905"/>
    </row>
    <row r="42" spans="1:11" ht="24">
      <c r="A42" s="785"/>
      <c r="B42" s="1040" t="s">
        <v>1304</v>
      </c>
      <c r="C42" s="1440" t="s">
        <v>1409</v>
      </c>
      <c r="D42" s="1439"/>
      <c r="E42" s="781" t="s">
        <v>185</v>
      </c>
      <c r="F42" s="819"/>
      <c r="G42" s="900"/>
      <c r="H42" s="819"/>
      <c r="I42" s="900"/>
      <c r="J42" s="901"/>
      <c r="K42" s="905"/>
    </row>
    <row r="43" spans="1:11" ht="24">
      <c r="A43" s="785"/>
      <c r="B43" s="1040" t="s">
        <v>1304</v>
      </c>
      <c r="C43" s="1440" t="s">
        <v>1410</v>
      </c>
      <c r="D43" s="1439"/>
      <c r="E43" s="781" t="s">
        <v>185</v>
      </c>
      <c r="F43" s="819"/>
      <c r="G43" s="900"/>
      <c r="H43" s="819"/>
      <c r="I43" s="900"/>
      <c r="J43" s="901"/>
      <c r="K43" s="905"/>
    </row>
    <row r="44" spans="1:11" ht="24">
      <c r="A44" s="785"/>
      <c r="B44" s="1040" t="s">
        <v>1304</v>
      </c>
      <c r="C44" s="1440" t="s">
        <v>1411</v>
      </c>
      <c r="D44" s="1439"/>
      <c r="E44" s="781" t="s">
        <v>185</v>
      </c>
      <c r="F44" s="819"/>
      <c r="G44" s="900"/>
      <c r="H44" s="819"/>
      <c r="I44" s="900"/>
      <c r="J44" s="901"/>
      <c r="K44" s="905"/>
    </row>
    <row r="45" spans="1:11" ht="24">
      <c r="A45" s="785"/>
      <c r="B45" s="1040" t="s">
        <v>1304</v>
      </c>
      <c r="C45" s="1440" t="s">
        <v>1412</v>
      </c>
      <c r="D45" s="1439"/>
      <c r="E45" s="781" t="s">
        <v>185</v>
      </c>
      <c r="F45" s="819"/>
      <c r="G45" s="900"/>
      <c r="H45" s="819"/>
      <c r="I45" s="900"/>
      <c r="J45" s="901"/>
      <c r="K45" s="905"/>
    </row>
    <row r="46" spans="1:11" ht="24">
      <c r="A46" s="785"/>
      <c r="B46" s="1040" t="s">
        <v>1304</v>
      </c>
      <c r="C46" s="1440" t="s">
        <v>1367</v>
      </c>
      <c r="D46" s="1439"/>
      <c r="E46" s="781" t="s">
        <v>185</v>
      </c>
      <c r="F46" s="819"/>
      <c r="G46" s="900"/>
      <c r="H46" s="819"/>
      <c r="I46" s="900"/>
      <c r="J46" s="901"/>
      <c r="K46" s="905"/>
    </row>
    <row r="47" spans="1:11" ht="24">
      <c r="A47" s="785"/>
      <c r="B47" s="1040" t="s">
        <v>1304</v>
      </c>
      <c r="C47" s="1440" t="s">
        <v>1368</v>
      </c>
      <c r="D47" s="1439"/>
      <c r="E47" s="781" t="s">
        <v>185</v>
      </c>
      <c r="F47" s="819"/>
      <c r="G47" s="900"/>
      <c r="H47" s="819"/>
      <c r="I47" s="900"/>
      <c r="J47" s="901"/>
      <c r="K47" s="905"/>
    </row>
    <row r="48" spans="1:11" ht="24">
      <c r="A48" s="785" t="s">
        <v>2234</v>
      </c>
      <c r="B48" s="1054" t="s">
        <v>1373</v>
      </c>
      <c r="C48" s="1387"/>
      <c r="D48" s="1136"/>
      <c r="E48" s="789" t="s">
        <v>1112</v>
      </c>
      <c r="F48" s="819"/>
      <c r="G48" s="900"/>
      <c r="H48" s="819"/>
      <c r="I48" s="900"/>
      <c r="J48" s="901"/>
      <c r="K48" s="905"/>
    </row>
    <row r="49" spans="1:11" ht="24">
      <c r="A49" s="785"/>
      <c r="B49" s="1387" t="s">
        <v>1144</v>
      </c>
      <c r="C49" s="1387"/>
      <c r="D49" s="1136"/>
      <c r="E49" s="789"/>
      <c r="F49" s="819"/>
      <c r="G49" s="900"/>
      <c r="H49" s="819"/>
      <c r="I49" s="900"/>
      <c r="J49" s="901"/>
      <c r="K49" s="832"/>
    </row>
    <row r="50" spans="1:11" ht="24.75" thickBot="1">
      <c r="A50" s="883"/>
      <c r="B50" s="89"/>
      <c r="C50" s="89"/>
      <c r="D50" s="1380"/>
      <c r="E50" s="789"/>
      <c r="F50" s="754"/>
      <c r="G50" s="900"/>
      <c r="H50" s="754"/>
      <c r="I50" s="900"/>
      <c r="J50" s="901"/>
      <c r="K50" s="795"/>
    </row>
    <row r="51" spans="1:11" ht="24.75" thickTop="1">
      <c r="A51" s="427"/>
      <c r="B51" s="2159" t="s">
        <v>1328</v>
      </c>
      <c r="C51" s="2195"/>
      <c r="D51" s="1436"/>
      <c r="E51" s="760"/>
      <c r="F51" s="823"/>
      <c r="G51" s="928"/>
      <c r="H51" s="823"/>
      <c r="I51" s="928"/>
      <c r="J51" s="928"/>
      <c r="K51" s="824"/>
    </row>
    <row r="52" spans="1:11" ht="24">
      <c r="A52" s="829" t="s">
        <v>1329</v>
      </c>
      <c r="B52" s="1372" t="s">
        <v>1434</v>
      </c>
      <c r="C52" s="89"/>
      <c r="D52" s="1380"/>
      <c r="E52" s="789"/>
      <c r="F52" s="754"/>
      <c r="G52" s="900"/>
      <c r="H52" s="754"/>
      <c r="I52" s="900"/>
      <c r="J52" s="901"/>
      <c r="K52" s="795"/>
    </row>
    <row r="53" spans="1:11" ht="24">
      <c r="A53" s="785" t="s">
        <v>1331</v>
      </c>
      <c r="B53" s="1387" t="s">
        <v>2235</v>
      </c>
      <c r="C53" s="1387"/>
      <c r="D53" s="1136"/>
      <c r="E53" s="789"/>
      <c r="F53" s="819"/>
      <c r="G53" s="900"/>
      <c r="H53" s="819"/>
      <c r="I53" s="900"/>
      <c r="J53" s="901"/>
      <c r="K53" s="832"/>
    </row>
    <row r="54" spans="1:11" ht="24">
      <c r="A54" s="785" t="s">
        <v>2236</v>
      </c>
      <c r="B54" s="1387" t="s">
        <v>1404</v>
      </c>
      <c r="C54" s="1387"/>
      <c r="D54" s="1136"/>
      <c r="E54" s="789"/>
      <c r="F54" s="819"/>
      <c r="G54" s="900"/>
      <c r="H54" s="819"/>
      <c r="I54" s="900"/>
      <c r="J54" s="901"/>
      <c r="K54" s="832"/>
    </row>
    <row r="55" spans="1:11" ht="24">
      <c r="A55" s="785"/>
      <c r="B55" s="1040" t="s">
        <v>1304</v>
      </c>
      <c r="C55" s="90" t="s">
        <v>1446</v>
      </c>
      <c r="D55" s="1136"/>
      <c r="E55" s="924" t="s">
        <v>185</v>
      </c>
      <c r="F55" s="819"/>
      <c r="G55" s="900"/>
      <c r="H55" s="819"/>
      <c r="I55" s="900"/>
      <c r="J55" s="901"/>
      <c r="K55" s="905"/>
    </row>
    <row r="56" spans="1:11" ht="24">
      <c r="A56" s="785"/>
      <c r="B56" s="1040" t="s">
        <v>1304</v>
      </c>
      <c r="C56" s="90" t="s">
        <v>1438</v>
      </c>
      <c r="D56" s="1136"/>
      <c r="E56" s="924" t="s">
        <v>185</v>
      </c>
      <c r="F56" s="819"/>
      <c r="G56" s="900"/>
      <c r="H56" s="819"/>
      <c r="I56" s="900"/>
      <c r="J56" s="901"/>
      <c r="K56" s="905"/>
    </row>
    <row r="57" spans="1:11" ht="24">
      <c r="A57" s="785"/>
      <c r="B57" s="1040" t="s">
        <v>1304</v>
      </c>
      <c r="C57" s="90" t="s">
        <v>1439</v>
      </c>
      <c r="D57" s="1136"/>
      <c r="E57" s="924" t="s">
        <v>185</v>
      </c>
      <c r="F57" s="819"/>
      <c r="G57" s="900"/>
      <c r="H57" s="819"/>
      <c r="I57" s="900"/>
      <c r="J57" s="901"/>
      <c r="K57" s="905"/>
    </row>
    <row r="58" spans="1:11" ht="24">
      <c r="A58" s="785"/>
      <c r="B58" s="1040" t="s">
        <v>1304</v>
      </c>
      <c r="C58" s="90" t="s">
        <v>2237</v>
      </c>
      <c r="D58" s="1136"/>
      <c r="E58" s="924" t="s">
        <v>185</v>
      </c>
      <c r="F58" s="819"/>
      <c r="G58" s="900"/>
      <c r="H58" s="819"/>
      <c r="I58" s="900"/>
      <c r="J58" s="901"/>
      <c r="K58" s="905"/>
    </row>
    <row r="59" spans="1:11" ht="24">
      <c r="A59" s="785" t="s">
        <v>2238</v>
      </c>
      <c r="B59" s="1387" t="s">
        <v>1226</v>
      </c>
      <c r="C59" s="1387"/>
      <c r="D59" s="1136"/>
      <c r="E59" s="789"/>
      <c r="F59" s="819"/>
      <c r="G59" s="900"/>
      <c r="H59" s="819"/>
      <c r="I59" s="900"/>
      <c r="J59" s="901"/>
      <c r="K59" s="832"/>
    </row>
    <row r="60" spans="1:11" ht="24">
      <c r="A60" s="785"/>
      <c r="B60" s="1040" t="s">
        <v>1304</v>
      </c>
      <c r="C60" s="90" t="s">
        <v>1419</v>
      </c>
      <c r="D60" s="1439"/>
      <c r="E60" s="781" t="s">
        <v>185</v>
      </c>
      <c r="F60" s="819"/>
      <c r="G60" s="900"/>
      <c r="H60" s="819"/>
      <c r="I60" s="900"/>
      <c r="J60" s="901"/>
      <c r="K60" s="905"/>
    </row>
    <row r="61" spans="1:11" ht="24">
      <c r="A61" s="785"/>
      <c r="B61" s="1040" t="s">
        <v>1304</v>
      </c>
      <c r="C61" s="1440" t="s">
        <v>1409</v>
      </c>
      <c r="D61" s="1439"/>
      <c r="E61" s="781" t="s">
        <v>185</v>
      </c>
      <c r="F61" s="819"/>
      <c r="G61" s="900"/>
      <c r="H61" s="819"/>
      <c r="I61" s="900"/>
      <c r="J61" s="901"/>
      <c r="K61" s="905"/>
    </row>
    <row r="62" spans="1:11" ht="24">
      <c r="A62" s="785"/>
      <c r="B62" s="1040" t="s">
        <v>1304</v>
      </c>
      <c r="C62" s="1440" t="s">
        <v>1410</v>
      </c>
      <c r="D62" s="1439"/>
      <c r="E62" s="781" t="s">
        <v>185</v>
      </c>
      <c r="F62" s="819"/>
      <c r="G62" s="900"/>
      <c r="H62" s="819"/>
      <c r="I62" s="900"/>
      <c r="J62" s="901"/>
      <c r="K62" s="905"/>
    </row>
    <row r="63" spans="1:11" ht="24">
      <c r="A63" s="785"/>
      <c r="B63" s="1040" t="s">
        <v>1304</v>
      </c>
      <c r="C63" s="1440" t="s">
        <v>1411</v>
      </c>
      <c r="D63" s="1439"/>
      <c r="E63" s="781" t="s">
        <v>185</v>
      </c>
      <c r="F63" s="819"/>
      <c r="G63" s="900"/>
      <c r="H63" s="819"/>
      <c r="I63" s="900"/>
      <c r="J63" s="901"/>
      <c r="K63" s="905"/>
    </row>
    <row r="64" spans="1:11" ht="24">
      <c r="A64" s="785"/>
      <c r="B64" s="1040" t="s">
        <v>1304</v>
      </c>
      <c r="C64" s="1440" t="s">
        <v>1412</v>
      </c>
      <c r="D64" s="1439"/>
      <c r="E64" s="781" t="s">
        <v>185</v>
      </c>
      <c r="F64" s="819"/>
      <c r="G64" s="900"/>
      <c r="H64" s="819"/>
      <c r="I64" s="900"/>
      <c r="J64" s="901"/>
      <c r="K64" s="905"/>
    </row>
    <row r="65" spans="1:11" ht="24">
      <c r="A65" s="785"/>
      <c r="B65" s="1040" t="s">
        <v>1304</v>
      </c>
      <c r="C65" s="1440" t="s">
        <v>1367</v>
      </c>
      <c r="D65" s="1439"/>
      <c r="E65" s="781" t="s">
        <v>185</v>
      </c>
      <c r="F65" s="819"/>
      <c r="G65" s="900"/>
      <c r="H65" s="819"/>
      <c r="I65" s="900"/>
      <c r="J65" s="901"/>
      <c r="K65" s="905"/>
    </row>
    <row r="66" spans="1:11" ht="24">
      <c r="A66" s="785"/>
      <c r="B66" s="1040" t="s">
        <v>1304</v>
      </c>
      <c r="C66" s="1440" t="s">
        <v>1368</v>
      </c>
      <c r="D66" s="1439"/>
      <c r="E66" s="781" t="s">
        <v>185</v>
      </c>
      <c r="F66" s="819"/>
      <c r="G66" s="900"/>
      <c r="H66" s="819"/>
      <c r="I66" s="900"/>
      <c r="J66" s="901"/>
      <c r="K66" s="905"/>
    </row>
    <row r="67" spans="1:11" ht="24">
      <c r="A67" s="785" t="s">
        <v>2239</v>
      </c>
      <c r="B67" s="1054" t="s">
        <v>1373</v>
      </c>
      <c r="C67" s="1387"/>
      <c r="D67" s="1136"/>
      <c r="E67" s="789" t="s">
        <v>1112</v>
      </c>
      <c r="F67" s="819"/>
      <c r="G67" s="900"/>
      <c r="H67" s="819"/>
      <c r="I67" s="900"/>
      <c r="J67" s="901"/>
      <c r="K67" s="832"/>
    </row>
    <row r="68" spans="1:11" ht="24.75" thickBot="1">
      <c r="A68" s="973"/>
      <c r="B68" s="1441"/>
      <c r="C68" s="1442"/>
      <c r="D68" s="1443"/>
      <c r="E68" s="1444"/>
      <c r="F68" s="977"/>
      <c r="G68" s="978"/>
      <c r="H68" s="977"/>
      <c r="I68" s="978"/>
      <c r="J68" s="979"/>
      <c r="K68" s="1445"/>
    </row>
    <row r="69" spans="1:11" ht="24.75" thickTop="1">
      <c r="A69" s="427"/>
      <c r="B69" s="2159" t="s">
        <v>1335</v>
      </c>
      <c r="C69" s="2195"/>
      <c r="D69" s="1436"/>
      <c r="E69" s="760"/>
      <c r="F69" s="823"/>
      <c r="G69" s="928"/>
      <c r="H69" s="823"/>
      <c r="I69" s="928"/>
      <c r="J69" s="928"/>
      <c r="K69" s="824"/>
    </row>
    <row r="70" spans="1:11" ht="24">
      <c r="A70" s="829" t="s">
        <v>1336</v>
      </c>
      <c r="B70" s="334" t="s">
        <v>1453</v>
      </c>
      <c r="C70" s="89"/>
      <c r="D70" s="1380"/>
      <c r="E70" s="789"/>
      <c r="F70" s="754"/>
      <c r="G70" s="900"/>
      <c r="H70" s="754"/>
      <c r="I70" s="900"/>
      <c r="J70" s="901"/>
      <c r="K70" s="795"/>
    </row>
    <row r="71" spans="1:11" ht="24">
      <c r="A71" s="785" t="s">
        <v>1338</v>
      </c>
      <c r="B71" s="89" t="s">
        <v>1404</v>
      </c>
      <c r="C71" s="89"/>
      <c r="D71" s="1380"/>
      <c r="E71" s="789"/>
      <c r="F71" s="754"/>
      <c r="G71" s="900"/>
      <c r="H71" s="754"/>
      <c r="I71" s="900"/>
      <c r="J71" s="901"/>
      <c r="K71" s="795"/>
    </row>
    <row r="72" spans="1:11" ht="24">
      <c r="A72" s="1446"/>
      <c r="B72" s="1044" t="s">
        <v>1304</v>
      </c>
      <c r="C72" s="1447" t="s">
        <v>2240</v>
      </c>
      <c r="D72" s="1448"/>
      <c r="E72" s="947" t="s">
        <v>185</v>
      </c>
      <c r="F72" s="957"/>
      <c r="G72" s="948"/>
      <c r="H72" s="957"/>
      <c r="I72" s="948"/>
      <c r="J72" s="949"/>
      <c r="K72" s="1449"/>
    </row>
    <row r="73" spans="1:11" ht="24">
      <c r="A73" s="981"/>
      <c r="B73" s="1385" t="s">
        <v>1458</v>
      </c>
      <c r="C73" s="1385"/>
      <c r="D73" s="1386"/>
      <c r="E73" s="811"/>
      <c r="F73" s="812"/>
      <c r="G73" s="920"/>
      <c r="H73" s="812"/>
      <c r="I73" s="920"/>
      <c r="J73" s="921"/>
      <c r="K73" s="815"/>
    </row>
    <row r="74" spans="1:11" ht="24.75" thickBot="1">
      <c r="A74" s="883"/>
      <c r="B74" s="89"/>
      <c r="C74" s="89"/>
      <c r="D74" s="1380"/>
      <c r="E74" s="789"/>
      <c r="F74" s="754"/>
      <c r="G74" s="900"/>
      <c r="H74" s="754"/>
      <c r="I74" s="900"/>
      <c r="J74" s="901"/>
      <c r="K74" s="795"/>
    </row>
    <row r="75" spans="1:11" ht="24.75" thickTop="1">
      <c r="A75" s="427"/>
      <c r="B75" s="2159" t="s">
        <v>1353</v>
      </c>
      <c r="C75" s="2195"/>
      <c r="D75" s="1436"/>
      <c r="E75" s="760"/>
      <c r="F75" s="823"/>
      <c r="G75" s="928"/>
      <c r="H75" s="823"/>
      <c r="I75" s="928"/>
      <c r="J75" s="928"/>
      <c r="K75" s="824"/>
    </row>
    <row r="76" spans="1:11" ht="24">
      <c r="A76" s="829" t="s">
        <v>1354</v>
      </c>
      <c r="B76" s="1372" t="s">
        <v>1461</v>
      </c>
      <c r="C76" s="89"/>
      <c r="D76" s="1380"/>
      <c r="E76" s="789"/>
      <c r="F76" s="754"/>
      <c r="G76" s="900"/>
      <c r="H76" s="754"/>
      <c r="I76" s="900"/>
      <c r="J76" s="901"/>
      <c r="K76" s="795"/>
    </row>
    <row r="77" spans="1:11" ht="24">
      <c r="A77" s="785" t="s">
        <v>1356</v>
      </c>
      <c r="B77" s="89" t="s">
        <v>1466</v>
      </c>
      <c r="C77" s="89"/>
      <c r="D77" s="1380"/>
      <c r="E77" s="789"/>
      <c r="F77" s="754"/>
      <c r="G77" s="900"/>
      <c r="H77" s="754"/>
      <c r="I77" s="900"/>
      <c r="J77" s="901"/>
      <c r="K77" s="795"/>
    </row>
    <row r="78" spans="1:11" ht="24">
      <c r="A78" s="785"/>
      <c r="B78" s="1040" t="s">
        <v>1304</v>
      </c>
      <c r="C78" s="1387" t="s">
        <v>1467</v>
      </c>
      <c r="D78" s="1136"/>
      <c r="E78" s="924" t="s">
        <v>185</v>
      </c>
      <c r="F78" s="812"/>
      <c r="G78" s="900"/>
      <c r="H78" s="819"/>
      <c r="I78" s="900"/>
      <c r="J78" s="901"/>
      <c r="K78" s="832"/>
    </row>
    <row r="79" spans="1:11" ht="24">
      <c r="A79" s="785"/>
      <c r="B79" s="1040" t="s">
        <v>1304</v>
      </c>
      <c r="C79" s="1387" t="s">
        <v>1468</v>
      </c>
      <c r="D79" s="1136"/>
      <c r="E79" s="924" t="s">
        <v>185</v>
      </c>
      <c r="F79" s="812"/>
      <c r="G79" s="900"/>
      <c r="H79" s="819"/>
      <c r="I79" s="900"/>
      <c r="J79" s="901"/>
      <c r="K79" s="832"/>
    </row>
    <row r="80" spans="1:11" ht="24">
      <c r="A80" s="785"/>
      <c r="B80" s="1040" t="s">
        <v>1304</v>
      </c>
      <c r="C80" s="1387" t="s">
        <v>1469</v>
      </c>
      <c r="D80" s="1136"/>
      <c r="E80" s="924" t="s">
        <v>185</v>
      </c>
      <c r="F80" s="812"/>
      <c r="G80" s="900"/>
      <c r="H80" s="819"/>
      <c r="I80" s="900"/>
      <c r="J80" s="901"/>
      <c r="K80" s="832"/>
    </row>
    <row r="81" spans="1:11" ht="24">
      <c r="A81" s="785" t="s">
        <v>2241</v>
      </c>
      <c r="B81" s="1387" t="s">
        <v>1474</v>
      </c>
      <c r="C81" s="1387"/>
      <c r="D81" s="1136"/>
      <c r="E81" s="789"/>
      <c r="F81" s="812"/>
      <c r="G81" s="900"/>
      <c r="H81" s="819"/>
      <c r="I81" s="900"/>
      <c r="J81" s="901"/>
      <c r="K81" s="832"/>
    </row>
    <row r="82" spans="1:11" ht="24">
      <c r="A82" s="785" t="s">
        <v>2242</v>
      </c>
      <c r="B82" s="1387" t="s">
        <v>1476</v>
      </c>
      <c r="C82" s="1387"/>
      <c r="D82" s="1136"/>
      <c r="E82" s="789"/>
      <c r="F82" s="812"/>
      <c r="G82" s="900"/>
      <c r="H82" s="819"/>
      <c r="I82" s="900"/>
      <c r="J82" s="901"/>
      <c r="K82" s="832"/>
    </row>
    <row r="83" spans="1:11" ht="24">
      <c r="A83" s="883"/>
      <c r="B83" s="1040" t="s">
        <v>1304</v>
      </c>
      <c r="C83" s="90" t="s">
        <v>1446</v>
      </c>
      <c r="D83" s="1136"/>
      <c r="E83" s="924" t="s">
        <v>185</v>
      </c>
      <c r="F83" s="812"/>
      <c r="G83" s="900"/>
      <c r="H83" s="819"/>
      <c r="I83" s="900"/>
      <c r="J83" s="901"/>
      <c r="K83" s="832"/>
    </row>
    <row r="84" spans="1:11" ht="24">
      <c r="A84" s="883"/>
      <c r="B84" s="1040" t="s">
        <v>1304</v>
      </c>
      <c r="C84" s="90" t="s">
        <v>1438</v>
      </c>
      <c r="D84" s="1136"/>
      <c r="E84" s="924" t="s">
        <v>185</v>
      </c>
      <c r="F84" s="812"/>
      <c r="G84" s="900"/>
      <c r="H84" s="819"/>
      <c r="I84" s="900"/>
      <c r="J84" s="901"/>
      <c r="K84" s="832"/>
    </row>
    <row r="85" spans="1:11" ht="24">
      <c r="A85" s="883"/>
      <c r="B85" s="1040" t="s">
        <v>1304</v>
      </c>
      <c r="C85" s="90" t="s">
        <v>1388</v>
      </c>
      <c r="D85" s="1136"/>
      <c r="E85" s="924" t="s">
        <v>185</v>
      </c>
      <c r="F85" s="812"/>
      <c r="G85" s="900"/>
      <c r="H85" s="819"/>
      <c r="I85" s="900"/>
      <c r="J85" s="901"/>
      <c r="K85" s="832"/>
    </row>
    <row r="86" spans="1:11" ht="24">
      <c r="A86" s="883"/>
      <c r="B86" s="1040" t="s">
        <v>1304</v>
      </c>
      <c r="C86" s="90" t="s">
        <v>1389</v>
      </c>
      <c r="D86" s="1136"/>
      <c r="E86" s="924" t="s">
        <v>185</v>
      </c>
      <c r="F86" s="812"/>
      <c r="G86" s="900"/>
      <c r="H86" s="819"/>
      <c r="I86" s="900"/>
      <c r="J86" s="901"/>
      <c r="K86" s="832"/>
    </row>
    <row r="87" spans="1:11" ht="24">
      <c r="A87" s="785" t="s">
        <v>2243</v>
      </c>
      <c r="B87" s="1387" t="s">
        <v>1478</v>
      </c>
      <c r="C87" s="1387"/>
      <c r="D87" s="1136"/>
      <c r="E87" s="789"/>
      <c r="F87" s="812"/>
      <c r="G87" s="900"/>
      <c r="H87" s="819"/>
      <c r="I87" s="900"/>
      <c r="J87" s="901"/>
      <c r="K87" s="832"/>
    </row>
    <row r="88" spans="1:11" ht="24">
      <c r="A88" s="883"/>
      <c r="B88" s="1040" t="s">
        <v>1304</v>
      </c>
      <c r="C88" s="90" t="s">
        <v>1446</v>
      </c>
      <c r="D88" s="1136"/>
      <c r="E88" s="924" t="s">
        <v>185</v>
      </c>
      <c r="F88" s="812"/>
      <c r="G88" s="900"/>
      <c r="H88" s="819"/>
      <c r="I88" s="900"/>
      <c r="J88" s="901"/>
      <c r="K88" s="832"/>
    </row>
    <row r="89" spans="1:11" ht="24">
      <c r="A89" s="883"/>
      <c r="B89" s="1040" t="s">
        <v>1304</v>
      </c>
      <c r="C89" s="90" t="s">
        <v>1405</v>
      </c>
      <c r="D89" s="1136"/>
      <c r="E89" s="924" t="s">
        <v>185</v>
      </c>
      <c r="F89" s="812"/>
      <c r="G89" s="900"/>
      <c r="H89" s="819"/>
      <c r="I89" s="900"/>
      <c r="J89" s="901"/>
      <c r="K89" s="832"/>
    </row>
    <row r="90" spans="1:11" ht="24">
      <c r="A90" s="883"/>
      <c r="B90" s="1040" t="s">
        <v>1304</v>
      </c>
      <c r="C90" s="90" t="s">
        <v>1480</v>
      </c>
      <c r="D90" s="1136"/>
      <c r="E90" s="924" t="s">
        <v>185</v>
      </c>
      <c r="F90" s="812"/>
      <c r="G90" s="900"/>
      <c r="H90" s="819"/>
      <c r="I90" s="900"/>
      <c r="J90" s="901"/>
      <c r="K90" s="832"/>
    </row>
    <row r="91" spans="1:11" ht="24">
      <c r="A91" s="883"/>
      <c r="B91" s="1040" t="s">
        <v>1304</v>
      </c>
      <c r="C91" s="90" t="s">
        <v>1417</v>
      </c>
      <c r="D91" s="1136"/>
      <c r="E91" s="924" t="s">
        <v>185</v>
      </c>
      <c r="F91" s="812"/>
      <c r="G91" s="900"/>
      <c r="H91" s="819"/>
      <c r="I91" s="900"/>
      <c r="J91" s="901"/>
      <c r="K91" s="832"/>
    </row>
    <row r="92" spans="1:11" ht="24.75" thickBot="1">
      <c r="A92" s="883"/>
      <c r="B92" s="89" t="s">
        <v>1458</v>
      </c>
      <c r="C92" s="89"/>
      <c r="D92" s="1380"/>
      <c r="E92" s="789"/>
      <c r="F92" s="754"/>
      <c r="G92" s="900"/>
      <c r="H92" s="754"/>
      <c r="I92" s="900"/>
      <c r="J92" s="901"/>
      <c r="K92" s="795"/>
    </row>
    <row r="93" spans="1:11" ht="24.75" thickTop="1">
      <c r="A93" s="427"/>
      <c r="B93" s="2159" t="s">
        <v>1382</v>
      </c>
      <c r="C93" s="2195"/>
      <c r="D93" s="1436"/>
      <c r="E93" s="760"/>
      <c r="F93" s="823"/>
      <c r="G93" s="928"/>
      <c r="H93" s="823"/>
      <c r="I93" s="928"/>
      <c r="J93" s="928"/>
      <c r="K93" s="824"/>
    </row>
    <row r="94" spans="1:11" ht="24">
      <c r="A94" s="829" t="s">
        <v>1383</v>
      </c>
      <c r="B94" s="1372" t="s">
        <v>1485</v>
      </c>
      <c r="C94" s="89"/>
      <c r="D94" s="1380"/>
      <c r="E94" s="789"/>
      <c r="F94" s="754"/>
      <c r="G94" s="900"/>
      <c r="H94" s="754"/>
      <c r="I94" s="900"/>
      <c r="J94" s="901"/>
      <c r="K94" s="795"/>
    </row>
    <row r="95" spans="1:11" ht="24">
      <c r="A95" s="785" t="s">
        <v>1385</v>
      </c>
      <c r="B95" s="89" t="s">
        <v>1487</v>
      </c>
      <c r="C95" s="89"/>
      <c r="D95" s="1380"/>
      <c r="E95" s="789"/>
      <c r="F95" s="754"/>
      <c r="G95" s="900"/>
      <c r="H95" s="754"/>
      <c r="I95" s="900"/>
      <c r="J95" s="901"/>
      <c r="K95" s="795"/>
    </row>
    <row r="96" spans="1:11" ht="24">
      <c r="A96" s="785" t="s">
        <v>1387</v>
      </c>
      <c r="B96" s="89" t="s">
        <v>1256</v>
      </c>
      <c r="C96" s="89"/>
      <c r="D96" s="1380"/>
      <c r="E96" s="789"/>
      <c r="F96" s="754"/>
      <c r="G96" s="900"/>
      <c r="H96" s="754"/>
      <c r="I96" s="900"/>
      <c r="J96" s="901"/>
      <c r="K96" s="795"/>
    </row>
    <row r="97" spans="1:11" ht="24">
      <c r="A97" s="785"/>
      <c r="B97" s="1040" t="s">
        <v>1304</v>
      </c>
      <c r="C97" s="89" t="s">
        <v>1489</v>
      </c>
      <c r="D97" s="1380"/>
      <c r="E97" s="789" t="s">
        <v>1109</v>
      </c>
      <c r="F97" s="812"/>
      <c r="G97" s="900"/>
      <c r="H97" s="812"/>
      <c r="I97" s="900"/>
      <c r="J97" s="901"/>
      <c r="K97" s="795"/>
    </row>
    <row r="98" spans="1:11" ht="24">
      <c r="A98" s="785"/>
      <c r="B98" s="1040" t="s">
        <v>1304</v>
      </c>
      <c r="C98" s="89" t="s">
        <v>1490</v>
      </c>
      <c r="D98" s="1380"/>
      <c r="E98" s="789" t="s">
        <v>1109</v>
      </c>
      <c r="F98" s="812"/>
      <c r="G98" s="900"/>
      <c r="H98" s="812"/>
      <c r="I98" s="900"/>
      <c r="J98" s="901"/>
      <c r="K98" s="795"/>
    </row>
    <row r="99" spans="1:11" ht="24">
      <c r="A99" s="785"/>
      <c r="B99" s="1040" t="s">
        <v>1304</v>
      </c>
      <c r="C99" s="89" t="s">
        <v>1491</v>
      </c>
      <c r="D99" s="1380"/>
      <c r="E99" s="789" t="s">
        <v>1109</v>
      </c>
      <c r="F99" s="745"/>
      <c r="G99" s="900"/>
      <c r="H99" s="812"/>
      <c r="I99" s="900"/>
      <c r="J99" s="901"/>
      <c r="K99" s="795"/>
    </row>
    <row r="100" spans="1:11" ht="24">
      <c r="A100" s="785"/>
      <c r="B100" s="1040" t="s">
        <v>1304</v>
      </c>
      <c r="C100" s="89" t="s">
        <v>1492</v>
      </c>
      <c r="D100" s="1380"/>
      <c r="E100" s="789" t="s">
        <v>1109</v>
      </c>
      <c r="F100" s="812"/>
      <c r="G100" s="900"/>
      <c r="H100" s="812"/>
      <c r="I100" s="900"/>
      <c r="J100" s="901"/>
      <c r="K100" s="795"/>
    </row>
    <row r="101" spans="1:11" ht="24">
      <c r="A101" s="785"/>
      <c r="B101" s="1040" t="s">
        <v>1304</v>
      </c>
      <c r="C101" s="89" t="s">
        <v>1493</v>
      </c>
      <c r="D101" s="1380"/>
      <c r="E101" s="789" t="s">
        <v>1109</v>
      </c>
      <c r="F101" s="754"/>
      <c r="G101" s="900"/>
      <c r="H101" s="812"/>
      <c r="I101" s="900"/>
      <c r="J101" s="901"/>
      <c r="K101" s="795"/>
    </row>
    <row r="102" spans="1:11" ht="24">
      <c r="A102" s="785"/>
      <c r="B102" s="1040" t="s">
        <v>1304</v>
      </c>
      <c r="C102" s="89" t="s">
        <v>2244</v>
      </c>
      <c r="D102" s="1380"/>
      <c r="E102" s="789" t="s">
        <v>1109</v>
      </c>
      <c r="F102" s="812"/>
      <c r="G102" s="900"/>
      <c r="H102" s="812"/>
      <c r="I102" s="900"/>
      <c r="J102" s="901"/>
      <c r="K102" s="795"/>
    </row>
    <row r="103" spans="1:11" ht="24">
      <c r="A103" s="785"/>
      <c r="B103" s="1040" t="s">
        <v>1304</v>
      </c>
      <c r="C103" s="89" t="s">
        <v>1496</v>
      </c>
      <c r="D103" s="1380"/>
      <c r="E103" s="789" t="s">
        <v>1109</v>
      </c>
      <c r="F103" s="754"/>
      <c r="G103" s="900"/>
      <c r="H103" s="754"/>
      <c r="I103" s="900"/>
      <c r="J103" s="901"/>
      <c r="K103" s="795"/>
    </row>
    <row r="104" spans="1:11" ht="24">
      <c r="A104" s="785"/>
      <c r="B104" s="1040" t="s">
        <v>1304</v>
      </c>
      <c r="C104" s="89" t="s">
        <v>1497</v>
      </c>
      <c r="D104" s="1380"/>
      <c r="E104" s="789" t="s">
        <v>1109</v>
      </c>
      <c r="F104" s="754"/>
      <c r="G104" s="900"/>
      <c r="H104" s="754"/>
      <c r="I104" s="900"/>
      <c r="J104" s="901"/>
      <c r="K104" s="795"/>
    </row>
    <row r="105" spans="1:11" ht="24">
      <c r="A105" s="785"/>
      <c r="B105" s="1040" t="s">
        <v>1304</v>
      </c>
      <c r="C105" s="89" t="s">
        <v>2245</v>
      </c>
      <c r="D105" s="1380"/>
      <c r="E105" s="789" t="s">
        <v>1109</v>
      </c>
      <c r="F105" s="754"/>
      <c r="G105" s="900"/>
      <c r="H105" s="754"/>
      <c r="I105" s="900"/>
      <c r="J105" s="901"/>
      <c r="K105" s="795"/>
    </row>
    <row r="106" spans="1:11" ht="24">
      <c r="A106" s="785" t="s">
        <v>2246</v>
      </c>
      <c r="B106" s="89" t="s">
        <v>1499</v>
      </c>
      <c r="C106" s="89"/>
      <c r="D106" s="1380"/>
      <c r="E106" s="789"/>
      <c r="F106" s="812"/>
      <c r="G106" s="900"/>
      <c r="H106" s="754"/>
      <c r="I106" s="900"/>
      <c r="J106" s="901"/>
      <c r="K106" s="795"/>
    </row>
    <row r="107" spans="1:11" ht="24">
      <c r="A107" s="785" t="s">
        <v>2247</v>
      </c>
      <c r="B107" s="89" t="s">
        <v>1256</v>
      </c>
      <c r="C107" s="89"/>
      <c r="D107" s="1380"/>
      <c r="E107" s="789"/>
      <c r="F107" s="812"/>
      <c r="G107" s="900"/>
      <c r="H107" s="754"/>
      <c r="I107" s="900"/>
      <c r="J107" s="901"/>
      <c r="K107" s="795"/>
    </row>
    <row r="108" spans="1:11" ht="24">
      <c r="A108" s="883"/>
      <c r="B108" s="1040" t="s">
        <v>1304</v>
      </c>
      <c r="C108" s="89" t="s">
        <v>1501</v>
      </c>
      <c r="D108" s="1380"/>
      <c r="E108" s="789" t="s">
        <v>1109</v>
      </c>
      <c r="F108" s="812"/>
      <c r="G108" s="900"/>
      <c r="H108" s="812"/>
      <c r="I108" s="900"/>
      <c r="J108" s="901"/>
      <c r="K108" s="795"/>
    </row>
    <row r="109" spans="1:11" ht="24">
      <c r="A109" s="883"/>
      <c r="B109" s="1040" t="s">
        <v>1304</v>
      </c>
      <c r="C109" s="89" t="s">
        <v>1489</v>
      </c>
      <c r="D109" s="1380"/>
      <c r="E109" s="789" t="s">
        <v>1109</v>
      </c>
      <c r="F109" s="812"/>
      <c r="G109" s="900"/>
      <c r="H109" s="812"/>
      <c r="I109" s="900"/>
      <c r="J109" s="901"/>
      <c r="K109" s="795"/>
    </row>
    <row r="110" spans="1:11" ht="24">
      <c r="A110" s="883"/>
      <c r="B110" s="1040" t="s">
        <v>1304</v>
      </c>
      <c r="C110" s="89" t="s">
        <v>1490</v>
      </c>
      <c r="D110" s="1380"/>
      <c r="E110" s="789" t="s">
        <v>1109</v>
      </c>
      <c r="F110" s="812"/>
      <c r="G110" s="900"/>
      <c r="H110" s="812"/>
      <c r="I110" s="900"/>
      <c r="J110" s="901"/>
      <c r="K110" s="795"/>
    </row>
    <row r="111" spans="1:11" ht="24">
      <c r="A111" s="883"/>
      <c r="B111" s="1040" t="s">
        <v>1304</v>
      </c>
      <c r="C111" s="89" t="s">
        <v>1491</v>
      </c>
      <c r="D111" s="1380"/>
      <c r="E111" s="789" t="s">
        <v>1109</v>
      </c>
      <c r="F111" s="812"/>
      <c r="G111" s="900"/>
      <c r="H111" s="812"/>
      <c r="I111" s="900"/>
      <c r="J111" s="901"/>
      <c r="K111" s="795"/>
    </row>
    <row r="112" spans="1:11" ht="24">
      <c r="A112" s="785" t="s">
        <v>2248</v>
      </c>
      <c r="B112" s="89" t="s">
        <v>1502</v>
      </c>
      <c r="C112" s="89"/>
      <c r="D112" s="1380"/>
      <c r="E112" s="789"/>
      <c r="F112" s="812"/>
      <c r="G112" s="900"/>
      <c r="H112" s="754"/>
      <c r="I112" s="900"/>
      <c r="J112" s="901"/>
      <c r="K112" s="795"/>
    </row>
    <row r="113" spans="1:11" ht="24">
      <c r="A113" s="883"/>
      <c r="B113" s="1040" t="s">
        <v>1304</v>
      </c>
      <c r="C113" s="89" t="s">
        <v>1501</v>
      </c>
      <c r="D113" s="1380"/>
      <c r="E113" s="789" t="s">
        <v>1109</v>
      </c>
      <c r="F113" s="754"/>
      <c r="G113" s="900"/>
      <c r="H113" s="754"/>
      <c r="I113" s="900"/>
      <c r="J113" s="901"/>
      <c r="K113" s="795"/>
    </row>
    <row r="114" spans="1:11" ht="24">
      <c r="A114" s="1446"/>
      <c r="B114" s="1044" t="s">
        <v>1304</v>
      </c>
      <c r="C114" s="1382" t="s">
        <v>1489</v>
      </c>
      <c r="D114" s="1383"/>
      <c r="E114" s="801" t="s">
        <v>1109</v>
      </c>
      <c r="F114" s="754"/>
      <c r="G114" s="948"/>
      <c r="H114" s="802"/>
      <c r="I114" s="948"/>
      <c r="J114" s="949"/>
      <c r="K114" s="806"/>
    </row>
    <row r="115" spans="1:11" ht="24">
      <c r="A115" s="981"/>
      <c r="B115" s="1385" t="s">
        <v>1458</v>
      </c>
      <c r="C115" s="1385"/>
      <c r="D115" s="1386"/>
      <c r="E115" s="811"/>
      <c r="F115" s="812"/>
      <c r="G115" s="920"/>
      <c r="H115" s="812"/>
      <c r="I115" s="920"/>
      <c r="J115" s="921"/>
      <c r="K115" s="815"/>
    </row>
    <row r="116" spans="1:11" ht="24.75" thickBot="1">
      <c r="A116" s="883"/>
      <c r="B116" s="89"/>
      <c r="C116" s="89"/>
      <c r="D116" s="1380"/>
      <c r="E116" s="789"/>
      <c r="F116" s="754"/>
      <c r="G116" s="900"/>
      <c r="H116" s="754"/>
      <c r="I116" s="900"/>
      <c r="J116" s="901"/>
      <c r="K116" s="795"/>
    </row>
    <row r="117" spans="1:11" ht="24.75" thickTop="1">
      <c r="A117" s="427"/>
      <c r="B117" s="2159" t="s">
        <v>1398</v>
      </c>
      <c r="C117" s="2195"/>
      <c r="D117" s="1436"/>
      <c r="E117" s="760"/>
      <c r="F117" s="823"/>
      <c r="G117" s="928"/>
      <c r="H117" s="823"/>
      <c r="I117" s="928"/>
      <c r="J117" s="928"/>
      <c r="K117" s="824"/>
    </row>
    <row r="118" spans="1:11" ht="24">
      <c r="A118" s="829" t="s">
        <v>1399</v>
      </c>
      <c r="B118" s="1372" t="s">
        <v>1505</v>
      </c>
      <c r="C118" s="89"/>
      <c r="D118" s="1380"/>
      <c r="E118" s="789"/>
      <c r="F118" s="754"/>
      <c r="G118" s="900"/>
      <c r="H118" s="754"/>
      <c r="I118" s="900"/>
      <c r="J118" s="901"/>
      <c r="K118" s="795"/>
    </row>
    <row r="119" spans="1:11" ht="24">
      <c r="A119" s="785" t="s">
        <v>1401</v>
      </c>
      <c r="B119" s="89" t="s">
        <v>1507</v>
      </c>
      <c r="C119" s="89"/>
      <c r="D119" s="1380"/>
      <c r="E119" s="789"/>
      <c r="F119" s="754"/>
      <c r="G119" s="900"/>
      <c r="H119" s="754"/>
      <c r="I119" s="900"/>
      <c r="J119" s="901"/>
      <c r="K119" s="795"/>
    </row>
    <row r="120" spans="1:11" ht="24">
      <c r="A120" s="785" t="s">
        <v>1403</v>
      </c>
      <c r="B120" s="89" t="s">
        <v>1263</v>
      </c>
      <c r="C120" s="89"/>
      <c r="D120" s="1380"/>
      <c r="E120" s="789"/>
      <c r="F120" s="754"/>
      <c r="G120" s="900"/>
      <c r="H120" s="754"/>
      <c r="I120" s="900"/>
      <c r="J120" s="901"/>
      <c r="K120" s="795"/>
    </row>
    <row r="121" spans="1:11" ht="24">
      <c r="A121" s="785"/>
      <c r="B121" s="1040" t="s">
        <v>1304</v>
      </c>
      <c r="C121" s="89" t="s">
        <v>1510</v>
      </c>
      <c r="D121" s="1380"/>
      <c r="E121" s="789" t="s">
        <v>1109</v>
      </c>
      <c r="F121" s="754"/>
      <c r="G121" s="900"/>
      <c r="H121" s="812"/>
      <c r="I121" s="900"/>
      <c r="J121" s="901"/>
      <c r="K121" s="795"/>
    </row>
    <row r="122" spans="1:11" ht="24">
      <c r="A122" s="785"/>
      <c r="B122" s="1040" t="s">
        <v>1304</v>
      </c>
      <c r="C122" s="89" t="s">
        <v>1511</v>
      </c>
      <c r="D122" s="1380"/>
      <c r="E122" s="789" t="s">
        <v>1109</v>
      </c>
      <c r="F122" s="812"/>
      <c r="G122" s="900"/>
      <c r="H122" s="812"/>
      <c r="I122" s="900"/>
      <c r="J122" s="901"/>
      <c r="K122" s="795"/>
    </row>
    <row r="123" spans="1:11" ht="24">
      <c r="A123" s="785"/>
      <c r="B123" s="1040" t="s">
        <v>1304</v>
      </c>
      <c r="C123" s="89" t="s">
        <v>1512</v>
      </c>
      <c r="D123" s="1380"/>
      <c r="E123" s="789" t="s">
        <v>1109</v>
      </c>
      <c r="F123" s="812"/>
      <c r="G123" s="900"/>
      <c r="H123" s="812"/>
      <c r="I123" s="900"/>
      <c r="J123" s="901"/>
      <c r="K123" s="795"/>
    </row>
    <row r="124" spans="1:11" ht="24">
      <c r="A124" s="785"/>
      <c r="B124" s="1040" t="s">
        <v>1304</v>
      </c>
      <c r="C124" s="89" t="s">
        <v>2249</v>
      </c>
      <c r="D124" s="1380"/>
      <c r="E124" s="789" t="s">
        <v>1109</v>
      </c>
      <c r="F124" s="812"/>
      <c r="G124" s="900"/>
      <c r="H124" s="812"/>
      <c r="I124" s="900"/>
      <c r="J124" s="901"/>
      <c r="K124" s="795"/>
    </row>
    <row r="125" spans="1:11" ht="24">
      <c r="A125" s="785"/>
      <c r="B125" s="1040" t="s">
        <v>1304</v>
      </c>
      <c r="C125" s="89" t="s">
        <v>1515</v>
      </c>
      <c r="D125" s="1380"/>
      <c r="E125" s="789" t="s">
        <v>1112</v>
      </c>
      <c r="F125" s="812"/>
      <c r="G125" s="900"/>
      <c r="H125" s="754"/>
      <c r="I125" s="900"/>
      <c r="J125" s="901"/>
      <c r="K125" s="795"/>
    </row>
    <row r="126" spans="1:11" ht="24">
      <c r="A126" s="785" t="s">
        <v>1408</v>
      </c>
      <c r="B126" s="89" t="s">
        <v>1517</v>
      </c>
      <c r="C126" s="89"/>
      <c r="D126" s="1380"/>
      <c r="E126" s="789"/>
      <c r="F126" s="812"/>
      <c r="G126" s="900"/>
      <c r="H126" s="754"/>
      <c r="I126" s="900"/>
      <c r="J126" s="901"/>
      <c r="K126" s="795"/>
    </row>
    <row r="127" spans="1:11" ht="24">
      <c r="A127" s="785"/>
      <c r="B127" s="1040" t="s">
        <v>1304</v>
      </c>
      <c r="C127" s="89" t="s">
        <v>1518</v>
      </c>
      <c r="D127" s="1380"/>
      <c r="E127" s="789" t="s">
        <v>1109</v>
      </c>
      <c r="F127" s="812"/>
      <c r="G127" s="900"/>
      <c r="H127" s="754"/>
      <c r="I127" s="900"/>
      <c r="J127" s="901"/>
      <c r="K127" s="795"/>
    </row>
    <row r="128" spans="1:11" ht="24">
      <c r="A128" s="883"/>
      <c r="B128" s="1040" t="s">
        <v>1304</v>
      </c>
      <c r="C128" s="89" t="s">
        <v>1519</v>
      </c>
      <c r="D128" s="1380"/>
      <c r="E128" s="789" t="s">
        <v>1109</v>
      </c>
      <c r="F128" s="812"/>
      <c r="G128" s="900"/>
      <c r="H128" s="754"/>
      <c r="I128" s="900"/>
      <c r="J128" s="901"/>
      <c r="K128" s="795"/>
    </row>
    <row r="129" spans="1:11" ht="24">
      <c r="A129" s="883"/>
      <c r="B129" s="1040" t="s">
        <v>1304</v>
      </c>
      <c r="C129" s="89" t="s">
        <v>1515</v>
      </c>
      <c r="D129" s="1380"/>
      <c r="E129" s="789" t="s">
        <v>1112</v>
      </c>
      <c r="F129" s="812"/>
      <c r="G129" s="900"/>
      <c r="H129" s="754"/>
      <c r="I129" s="900"/>
      <c r="J129" s="901"/>
      <c r="K129" s="795"/>
    </row>
    <row r="130" spans="1:11" ht="24">
      <c r="A130" s="785" t="s">
        <v>1414</v>
      </c>
      <c r="B130" s="89" t="s">
        <v>1522</v>
      </c>
      <c r="C130" s="89"/>
      <c r="D130" s="1380"/>
      <c r="E130" s="789"/>
      <c r="F130" s="812"/>
      <c r="G130" s="900"/>
      <c r="H130" s="754"/>
      <c r="I130" s="900"/>
      <c r="J130" s="901"/>
      <c r="K130" s="795"/>
    </row>
    <row r="131" spans="1:11" ht="24">
      <c r="A131" s="785" t="s">
        <v>1416</v>
      </c>
      <c r="B131" s="89" t="s">
        <v>1524</v>
      </c>
      <c r="C131" s="89"/>
      <c r="D131" s="1380"/>
      <c r="E131" s="789"/>
      <c r="F131" s="812"/>
      <c r="G131" s="900"/>
      <c r="H131" s="754"/>
      <c r="I131" s="900"/>
      <c r="J131" s="901"/>
      <c r="K131" s="795"/>
    </row>
    <row r="132" spans="1:11" ht="24">
      <c r="A132" s="785"/>
      <c r="B132" s="1040" t="s">
        <v>1304</v>
      </c>
      <c r="C132" s="89" t="s">
        <v>1509</v>
      </c>
      <c r="D132" s="1380"/>
      <c r="E132" s="789" t="s">
        <v>1109</v>
      </c>
      <c r="F132" s="812"/>
      <c r="G132" s="900"/>
      <c r="H132" s="754"/>
      <c r="I132" s="900"/>
      <c r="J132" s="901"/>
      <c r="K132" s="795"/>
    </row>
    <row r="133" spans="1:11" ht="24">
      <c r="A133" s="785"/>
      <c r="B133" s="1040" t="s">
        <v>1304</v>
      </c>
      <c r="C133" s="89" t="s">
        <v>1515</v>
      </c>
      <c r="D133" s="1380"/>
      <c r="E133" s="789" t="s">
        <v>1112</v>
      </c>
      <c r="F133" s="812"/>
      <c r="G133" s="900"/>
      <c r="H133" s="754"/>
      <c r="I133" s="900"/>
      <c r="J133" s="901"/>
      <c r="K133" s="795"/>
    </row>
    <row r="134" spans="1:11" ht="24">
      <c r="A134" s="785"/>
      <c r="B134" s="1040"/>
      <c r="C134" s="89"/>
      <c r="D134" s="1380"/>
      <c r="E134" s="789"/>
      <c r="F134" s="812"/>
      <c r="G134" s="900"/>
      <c r="H134" s="754"/>
      <c r="I134" s="900"/>
      <c r="J134" s="901"/>
      <c r="K134" s="795"/>
    </row>
    <row r="135" spans="1:11" ht="24">
      <c r="A135" s="944"/>
      <c r="B135" s="1044"/>
      <c r="C135" s="1382"/>
      <c r="D135" s="1383"/>
      <c r="E135" s="801"/>
      <c r="F135" s="802"/>
      <c r="G135" s="948"/>
      <c r="H135" s="802"/>
      <c r="I135" s="948"/>
      <c r="J135" s="949"/>
      <c r="K135" s="806"/>
    </row>
    <row r="136" spans="1:11" ht="24">
      <c r="A136" s="807" t="s">
        <v>1418</v>
      </c>
      <c r="B136" s="1385" t="s">
        <v>1263</v>
      </c>
      <c r="C136" s="1385"/>
      <c r="D136" s="1386"/>
      <c r="E136" s="811"/>
      <c r="F136" s="812"/>
      <c r="G136" s="920"/>
      <c r="H136" s="812"/>
      <c r="I136" s="920"/>
      <c r="J136" s="921"/>
      <c r="K136" s="815"/>
    </row>
    <row r="137" spans="1:11" ht="24">
      <c r="A137" s="785"/>
      <c r="B137" s="1040" t="s">
        <v>1304</v>
      </c>
      <c r="C137" s="89" t="s">
        <v>1510</v>
      </c>
      <c r="D137" s="1380"/>
      <c r="E137" s="789" t="s">
        <v>1109</v>
      </c>
      <c r="F137" s="754"/>
      <c r="G137" s="900"/>
      <c r="H137" s="812"/>
      <c r="I137" s="900"/>
      <c r="J137" s="901"/>
      <c r="K137" s="795"/>
    </row>
    <row r="138" spans="1:11" ht="24">
      <c r="A138" s="785"/>
      <c r="B138" s="1040" t="s">
        <v>1304</v>
      </c>
      <c r="C138" s="89" t="s">
        <v>1511</v>
      </c>
      <c r="D138" s="1380"/>
      <c r="E138" s="789" t="s">
        <v>1109</v>
      </c>
      <c r="F138" s="812"/>
      <c r="G138" s="900"/>
      <c r="H138" s="812"/>
      <c r="I138" s="900"/>
      <c r="J138" s="901"/>
      <c r="K138" s="795"/>
    </row>
    <row r="139" spans="1:11" ht="24">
      <c r="A139" s="785"/>
      <c r="B139" s="1040" t="s">
        <v>1304</v>
      </c>
      <c r="C139" s="89" t="s">
        <v>1515</v>
      </c>
      <c r="D139" s="1380"/>
      <c r="E139" s="789" t="s">
        <v>1112</v>
      </c>
      <c r="F139" s="812"/>
      <c r="G139" s="900"/>
      <c r="H139" s="754"/>
      <c r="I139" s="900"/>
      <c r="J139" s="901"/>
      <c r="K139" s="795"/>
    </row>
    <row r="140" spans="1:11" ht="24">
      <c r="A140" s="785" t="s">
        <v>1420</v>
      </c>
      <c r="B140" s="89" t="s">
        <v>1527</v>
      </c>
      <c r="C140" s="89"/>
      <c r="D140" s="1380"/>
      <c r="E140" s="789"/>
      <c r="F140" s="812"/>
      <c r="G140" s="900"/>
      <c r="H140" s="754"/>
      <c r="I140" s="900"/>
      <c r="J140" s="901"/>
      <c r="K140" s="795"/>
    </row>
    <row r="141" spans="1:11" ht="24">
      <c r="A141" s="785"/>
      <c r="B141" s="1040" t="s">
        <v>1304</v>
      </c>
      <c r="C141" s="89" t="s">
        <v>1509</v>
      </c>
      <c r="D141" s="1380"/>
      <c r="E141" s="789" t="s">
        <v>1109</v>
      </c>
      <c r="F141" s="812"/>
      <c r="G141" s="900"/>
      <c r="H141" s="754"/>
      <c r="I141" s="900"/>
      <c r="J141" s="901"/>
      <c r="K141" s="795"/>
    </row>
    <row r="142" spans="1:11" ht="24">
      <c r="A142" s="883"/>
      <c r="B142" s="89" t="s">
        <v>1458</v>
      </c>
      <c r="C142" s="89"/>
      <c r="D142" s="1380"/>
      <c r="E142" s="789"/>
      <c r="F142" s="754"/>
      <c r="G142" s="900"/>
      <c r="H142" s="754"/>
      <c r="I142" s="900"/>
      <c r="J142" s="901"/>
      <c r="K142" s="795"/>
    </row>
    <row r="143" spans="1:11" ht="24">
      <c r="A143" s="883"/>
      <c r="B143" s="89"/>
      <c r="C143" s="89"/>
      <c r="D143" s="1380"/>
      <c r="E143" s="789"/>
      <c r="F143" s="754"/>
      <c r="G143" s="900"/>
      <c r="H143" s="754"/>
      <c r="I143" s="900"/>
      <c r="J143" s="901"/>
      <c r="K143" s="795"/>
    </row>
    <row r="144" spans="1:11" ht="24">
      <c r="A144" s="883"/>
      <c r="B144" s="89"/>
      <c r="C144" s="89"/>
      <c r="D144" s="1380"/>
      <c r="E144" s="789"/>
      <c r="F144" s="754"/>
      <c r="G144" s="900"/>
      <c r="H144" s="754"/>
      <c r="I144" s="900"/>
      <c r="J144" s="901"/>
      <c r="K144" s="795"/>
    </row>
    <row r="145" spans="1:11" ht="24.75" thickBot="1">
      <c r="A145" s="883"/>
      <c r="B145" s="89"/>
      <c r="C145" s="89"/>
      <c r="D145" s="1380"/>
      <c r="E145" s="789"/>
      <c r="F145" s="754"/>
      <c r="G145" s="900"/>
      <c r="H145" s="754"/>
      <c r="I145" s="900"/>
      <c r="J145" s="901"/>
      <c r="K145" s="795"/>
    </row>
    <row r="146" spans="1:11" ht="24.75" thickTop="1">
      <c r="A146" s="427"/>
      <c r="B146" s="2159" t="s">
        <v>1432</v>
      </c>
      <c r="C146" s="2195"/>
      <c r="D146" s="1436"/>
      <c r="E146" s="760"/>
      <c r="F146" s="823"/>
      <c r="G146" s="928"/>
      <c r="H146" s="823"/>
      <c r="I146" s="928"/>
      <c r="J146" s="928"/>
      <c r="K146" s="824"/>
    </row>
    <row r="147" spans="1:11" ht="24">
      <c r="A147" s="829" t="s">
        <v>1433</v>
      </c>
      <c r="B147" s="1372" t="s">
        <v>1530</v>
      </c>
      <c r="C147" s="89"/>
      <c r="D147" s="1380"/>
      <c r="E147" s="789"/>
      <c r="F147" s="754"/>
      <c r="G147" s="900"/>
      <c r="H147" s="754"/>
      <c r="I147" s="900"/>
      <c r="J147" s="901"/>
      <c r="K147" s="795"/>
    </row>
    <row r="148" spans="1:11" ht="24">
      <c r="A148" s="785" t="s">
        <v>1435</v>
      </c>
      <c r="B148" s="89" t="s">
        <v>1530</v>
      </c>
      <c r="C148" s="89"/>
      <c r="D148" s="1380"/>
      <c r="E148" s="789"/>
      <c r="F148" s="754"/>
      <c r="G148" s="900"/>
      <c r="H148" s="754"/>
      <c r="I148" s="900"/>
      <c r="J148" s="901"/>
      <c r="K148" s="795"/>
    </row>
    <row r="149" spans="1:11" ht="24">
      <c r="A149" s="883"/>
      <c r="B149" s="1040" t="s">
        <v>1304</v>
      </c>
      <c r="C149" s="89" t="s">
        <v>1532</v>
      </c>
      <c r="D149" s="1380"/>
      <c r="E149" s="924" t="s">
        <v>185</v>
      </c>
      <c r="F149" s="812"/>
      <c r="G149" s="900"/>
      <c r="H149" s="754"/>
      <c r="I149" s="900"/>
      <c r="J149" s="901"/>
      <c r="K149" s="795"/>
    </row>
    <row r="150" spans="1:11" ht="24">
      <c r="A150" s="883"/>
      <c r="B150" s="1040" t="s">
        <v>1304</v>
      </c>
      <c r="C150" s="89" t="s">
        <v>1533</v>
      </c>
      <c r="D150" s="1380"/>
      <c r="E150" s="924" t="s">
        <v>185</v>
      </c>
      <c r="F150" s="812"/>
      <c r="G150" s="900"/>
      <c r="H150" s="754"/>
      <c r="I150" s="900"/>
      <c r="J150" s="901"/>
      <c r="K150" s="795"/>
    </row>
    <row r="151" spans="1:11" ht="24">
      <c r="A151" s="883"/>
      <c r="B151" s="1040" t="s">
        <v>1304</v>
      </c>
      <c r="C151" s="89" t="s">
        <v>1535</v>
      </c>
      <c r="D151" s="1380"/>
      <c r="E151" s="924" t="s">
        <v>185</v>
      </c>
      <c r="F151" s="812"/>
      <c r="G151" s="900"/>
      <c r="H151" s="754"/>
      <c r="I151" s="900"/>
      <c r="J151" s="901"/>
      <c r="K151" s="795"/>
    </row>
    <row r="152" spans="1:11" ht="24">
      <c r="A152" s="883"/>
      <c r="B152" s="89" t="s">
        <v>1458</v>
      </c>
      <c r="C152" s="89"/>
      <c r="D152" s="1380"/>
      <c r="E152" s="789"/>
      <c r="F152" s="812"/>
      <c r="G152" s="900"/>
      <c r="H152" s="754"/>
      <c r="I152" s="900"/>
      <c r="J152" s="901"/>
      <c r="K152" s="795"/>
    </row>
    <row r="153" spans="1:11" ht="24">
      <c r="A153" s="883"/>
      <c r="B153" s="89"/>
      <c r="C153" s="89"/>
      <c r="D153" s="1380"/>
      <c r="E153" s="789"/>
      <c r="F153" s="812"/>
      <c r="G153" s="900"/>
      <c r="H153" s="754"/>
      <c r="I153" s="900"/>
      <c r="J153" s="901"/>
      <c r="K153" s="795"/>
    </row>
    <row r="154" spans="1:11" ht="24">
      <c r="A154" s="883"/>
      <c r="B154" s="89"/>
      <c r="C154" s="89"/>
      <c r="D154" s="1380"/>
      <c r="E154" s="789"/>
      <c r="F154" s="812"/>
      <c r="G154" s="900"/>
      <c r="H154" s="754"/>
      <c r="I154" s="900"/>
      <c r="J154" s="901"/>
      <c r="K154" s="795"/>
    </row>
    <row r="155" spans="1:11" ht="24.75" thickBot="1">
      <c r="A155" s="883"/>
      <c r="B155" s="89"/>
      <c r="C155" s="89"/>
      <c r="D155" s="1380"/>
      <c r="E155" s="789"/>
      <c r="F155" s="754"/>
      <c r="G155" s="900"/>
      <c r="H155" s="754"/>
      <c r="I155" s="900"/>
      <c r="J155" s="901"/>
      <c r="K155" s="795"/>
    </row>
    <row r="156" spans="1:11" ht="24.75" thickTop="1">
      <c r="A156" s="427"/>
      <c r="B156" s="2159" t="s">
        <v>1432</v>
      </c>
      <c r="C156" s="2195"/>
      <c r="D156" s="1436"/>
      <c r="E156" s="760"/>
      <c r="F156" s="823"/>
      <c r="G156" s="928"/>
      <c r="H156" s="823"/>
      <c r="I156" s="928"/>
      <c r="J156" s="928"/>
      <c r="K156" s="824"/>
    </row>
    <row r="157" spans="1:11" ht="24">
      <c r="A157" s="829" t="s">
        <v>1452</v>
      </c>
      <c r="B157" s="1372" t="s">
        <v>1538</v>
      </c>
      <c r="C157" s="89"/>
      <c r="D157" s="1380"/>
      <c r="E157" s="789"/>
      <c r="F157" s="754"/>
      <c r="G157" s="900"/>
      <c r="H157" s="754"/>
      <c r="I157" s="900"/>
      <c r="J157" s="901"/>
      <c r="K157" s="795"/>
    </row>
    <row r="158" spans="1:11" ht="24">
      <c r="A158" s="788" t="s">
        <v>1454</v>
      </c>
      <c r="B158" s="985" t="s">
        <v>1542</v>
      </c>
      <c r="C158" s="89"/>
      <c r="D158" s="1380"/>
      <c r="E158" s="924" t="s">
        <v>185</v>
      </c>
      <c r="F158" s="754"/>
      <c r="G158" s="900"/>
      <c r="H158" s="754"/>
      <c r="I158" s="900"/>
      <c r="J158" s="901"/>
      <c r="K158" s="795"/>
    </row>
    <row r="159" spans="1:11" ht="24">
      <c r="A159" s="788" t="s">
        <v>2250</v>
      </c>
      <c r="B159" s="985" t="s">
        <v>1544</v>
      </c>
      <c r="C159" s="89"/>
      <c r="D159" s="1380"/>
      <c r="E159" s="924" t="s">
        <v>185</v>
      </c>
      <c r="F159" s="754"/>
      <c r="G159" s="900"/>
      <c r="H159" s="754"/>
      <c r="I159" s="900"/>
      <c r="J159" s="901"/>
      <c r="K159" s="795"/>
    </row>
    <row r="160" spans="1:11" ht="24">
      <c r="A160" s="788" t="s">
        <v>2251</v>
      </c>
      <c r="B160" s="985" t="s">
        <v>1546</v>
      </c>
      <c r="C160" s="89"/>
      <c r="D160" s="1380"/>
      <c r="E160" s="924" t="s">
        <v>185</v>
      </c>
      <c r="F160" s="754"/>
      <c r="G160" s="900"/>
      <c r="H160" s="754"/>
      <c r="I160" s="900"/>
      <c r="J160" s="901"/>
      <c r="K160" s="795"/>
    </row>
    <row r="161" spans="1:11" ht="24">
      <c r="A161" s="788" t="s">
        <v>2252</v>
      </c>
      <c r="B161" s="985" t="s">
        <v>1548</v>
      </c>
      <c r="C161" s="89"/>
      <c r="D161" s="1380"/>
      <c r="E161" s="924" t="s">
        <v>185</v>
      </c>
      <c r="F161" s="754"/>
      <c r="G161" s="900"/>
      <c r="H161" s="754"/>
      <c r="I161" s="900"/>
      <c r="J161" s="901"/>
      <c r="K161" s="795"/>
    </row>
    <row r="162" spans="1:11" ht="24">
      <c r="A162" s="788" t="s">
        <v>2253</v>
      </c>
      <c r="B162" s="985" t="s">
        <v>1550</v>
      </c>
      <c r="C162" s="89"/>
      <c r="D162" s="1380"/>
      <c r="E162" s="924" t="s">
        <v>185</v>
      </c>
      <c r="F162" s="754"/>
      <c r="G162" s="900"/>
      <c r="H162" s="754"/>
      <c r="I162" s="900"/>
      <c r="J162" s="901"/>
      <c r="K162" s="795"/>
    </row>
    <row r="163" spans="1:11" ht="24">
      <c r="A163" s="788" t="s">
        <v>2254</v>
      </c>
      <c r="B163" s="985" t="s">
        <v>2255</v>
      </c>
      <c r="C163" s="89"/>
      <c r="D163" s="1380"/>
      <c r="E163" s="924" t="s">
        <v>185</v>
      </c>
      <c r="F163" s="754"/>
      <c r="G163" s="900"/>
      <c r="H163" s="754"/>
      <c r="I163" s="900"/>
      <c r="J163" s="901"/>
      <c r="K163" s="795"/>
    </row>
    <row r="164" spans="1:11" ht="24">
      <c r="A164" s="788" t="s">
        <v>2256</v>
      </c>
      <c r="B164" s="1450" t="s">
        <v>2257</v>
      </c>
      <c r="C164" s="1387"/>
      <c r="D164" s="1136"/>
      <c r="E164" s="924" t="s">
        <v>185</v>
      </c>
      <c r="F164" s="819"/>
      <c r="G164" s="900"/>
      <c r="H164" s="819"/>
      <c r="I164" s="900"/>
      <c r="J164" s="901"/>
      <c r="K164" s="832"/>
    </row>
    <row r="165" spans="1:11" ht="24">
      <c r="A165" s="788" t="s">
        <v>2258</v>
      </c>
      <c r="B165" s="1450" t="s">
        <v>1556</v>
      </c>
      <c r="C165" s="1387"/>
      <c r="D165" s="1136"/>
      <c r="E165" s="924" t="s">
        <v>185</v>
      </c>
      <c r="F165" s="819"/>
      <c r="G165" s="900"/>
      <c r="H165" s="819"/>
      <c r="I165" s="900"/>
      <c r="J165" s="901"/>
      <c r="K165" s="832"/>
    </row>
    <row r="166" spans="1:11" ht="24">
      <c r="A166" s="788" t="s">
        <v>2259</v>
      </c>
      <c r="B166" s="1450" t="s">
        <v>1558</v>
      </c>
      <c r="C166" s="1387"/>
      <c r="D166" s="1136"/>
      <c r="E166" s="924" t="s">
        <v>185</v>
      </c>
      <c r="F166" s="819"/>
      <c r="G166" s="900"/>
      <c r="H166" s="819"/>
      <c r="I166" s="900"/>
      <c r="J166" s="901"/>
      <c r="K166" s="832"/>
    </row>
    <row r="167" spans="1:11" ht="24">
      <c r="A167" s="788" t="s">
        <v>2260</v>
      </c>
      <c r="B167" s="1450" t="s">
        <v>2261</v>
      </c>
      <c r="C167" s="1387"/>
      <c r="D167" s="1136"/>
      <c r="E167" s="924" t="s">
        <v>185</v>
      </c>
      <c r="F167" s="819"/>
      <c r="G167" s="900"/>
      <c r="H167" s="819"/>
      <c r="I167" s="900"/>
      <c r="J167" s="901"/>
      <c r="K167" s="832"/>
    </row>
    <row r="168" spans="1:11" ht="24">
      <c r="A168" s="788" t="s">
        <v>2262</v>
      </c>
      <c r="B168" s="1450" t="s">
        <v>2263</v>
      </c>
      <c r="C168" s="1387"/>
      <c r="D168" s="1136"/>
      <c r="E168" s="924" t="s">
        <v>185</v>
      </c>
      <c r="F168" s="819"/>
      <c r="G168" s="900"/>
      <c r="H168" s="819"/>
      <c r="I168" s="900"/>
      <c r="J168" s="901"/>
      <c r="K168" s="832"/>
    </row>
    <row r="169" spans="1:11" ht="24">
      <c r="A169" s="1000" t="s">
        <v>2264</v>
      </c>
      <c r="B169" s="985" t="s">
        <v>1560</v>
      </c>
      <c r="C169" s="1387"/>
      <c r="D169" s="1380"/>
      <c r="E169" s="924" t="s">
        <v>185</v>
      </c>
      <c r="F169" s="754"/>
      <c r="G169" s="853"/>
      <c r="H169" s="754"/>
      <c r="I169" s="853"/>
      <c r="J169" s="1002"/>
      <c r="K169" s="832"/>
    </row>
    <row r="170" spans="1:11" ht="24">
      <c r="A170" s="788" t="s">
        <v>2264</v>
      </c>
      <c r="B170" s="1450" t="s">
        <v>2265</v>
      </c>
      <c r="C170" s="1387"/>
      <c r="D170" s="1136"/>
      <c r="E170" s="924" t="s">
        <v>185</v>
      </c>
      <c r="F170" s="819"/>
      <c r="G170" s="853"/>
      <c r="H170" s="819"/>
      <c r="I170" s="853"/>
      <c r="J170" s="1002"/>
      <c r="K170" s="832"/>
    </row>
    <row r="171" spans="1:11" ht="24">
      <c r="A171" s="1000" t="s">
        <v>2266</v>
      </c>
      <c r="B171" s="1450" t="s">
        <v>2267</v>
      </c>
      <c r="C171" s="1387"/>
      <c r="D171" s="1136"/>
      <c r="E171" s="924" t="s">
        <v>185</v>
      </c>
      <c r="F171" s="819"/>
      <c r="G171" s="853"/>
      <c r="H171" s="819"/>
      <c r="I171" s="853"/>
      <c r="J171" s="1002"/>
      <c r="K171" s="832"/>
    </row>
    <row r="172" spans="1:11" ht="24">
      <c r="A172" s="1000" t="s">
        <v>2268</v>
      </c>
      <c r="B172" s="1450" t="s">
        <v>1562</v>
      </c>
      <c r="C172" s="1387"/>
      <c r="D172" s="1136"/>
      <c r="E172" s="924" t="s">
        <v>185</v>
      </c>
      <c r="F172" s="754"/>
      <c r="G172" s="853"/>
      <c r="H172" s="819"/>
      <c r="I172" s="853"/>
      <c r="J172" s="1002"/>
      <c r="K172" s="832"/>
    </row>
    <row r="173" spans="1:11" ht="24">
      <c r="A173" s="1000" t="s">
        <v>2269</v>
      </c>
      <c r="B173" s="1450" t="s">
        <v>2270</v>
      </c>
      <c r="C173" s="1387"/>
      <c r="D173" s="1136"/>
      <c r="E173" s="924" t="s">
        <v>185</v>
      </c>
      <c r="F173" s="754"/>
      <c r="G173" s="853"/>
      <c r="H173" s="819"/>
      <c r="I173" s="853"/>
      <c r="J173" s="1002"/>
      <c r="K173" s="832"/>
    </row>
    <row r="174" spans="1:11" ht="24">
      <c r="A174" s="1000" t="s">
        <v>2271</v>
      </c>
      <c r="B174" s="1440" t="s">
        <v>1564</v>
      </c>
      <c r="C174" s="1387"/>
      <c r="D174" s="1136"/>
      <c r="E174" s="789" t="s">
        <v>1112</v>
      </c>
      <c r="F174" s="1451"/>
      <c r="G174" s="1452"/>
      <c r="H174" s="1453"/>
      <c r="I174" s="1454"/>
      <c r="J174" s="1455"/>
      <c r="K174" s="832"/>
    </row>
    <row r="175" spans="1:11" ht="24">
      <c r="A175" s="883"/>
      <c r="B175" s="89" t="s">
        <v>1458</v>
      </c>
      <c r="C175" s="89"/>
      <c r="D175" s="1380"/>
      <c r="E175" s="789"/>
      <c r="F175" s="754"/>
      <c r="G175" s="900"/>
      <c r="H175" s="754"/>
      <c r="I175" s="900"/>
      <c r="J175" s="901"/>
      <c r="K175" s="795"/>
    </row>
    <row r="176" spans="1:11" ht="24.75" thickBot="1">
      <c r="A176" s="883"/>
      <c r="B176" s="89"/>
      <c r="C176" s="89"/>
      <c r="D176" s="1380"/>
      <c r="E176" s="789"/>
      <c r="F176" s="754"/>
      <c r="G176" s="900"/>
      <c r="H176" s="754"/>
      <c r="I176" s="900"/>
      <c r="J176" s="901"/>
      <c r="K176" s="795"/>
    </row>
    <row r="177" spans="1:11" ht="24.75" thickTop="1">
      <c r="A177" s="427"/>
      <c r="B177" s="2159" t="s">
        <v>1459</v>
      </c>
      <c r="C177" s="2195"/>
      <c r="D177" s="1436"/>
      <c r="E177" s="760"/>
      <c r="F177" s="823"/>
      <c r="G177" s="928"/>
      <c r="H177" s="823"/>
      <c r="I177" s="928"/>
      <c r="J177" s="928"/>
      <c r="K177" s="824"/>
    </row>
    <row r="178" spans="1:11" ht="24">
      <c r="A178" s="829" t="s">
        <v>1460</v>
      </c>
      <c r="B178" s="1372" t="s">
        <v>1568</v>
      </c>
      <c r="C178" s="89"/>
      <c r="D178" s="1380"/>
      <c r="E178" s="789"/>
      <c r="F178" s="754"/>
      <c r="G178" s="900"/>
      <c r="H178" s="754"/>
      <c r="I178" s="900"/>
      <c r="J178" s="901"/>
      <c r="K178" s="795"/>
    </row>
    <row r="179" spans="1:11" ht="24">
      <c r="A179" s="785" t="s">
        <v>1462</v>
      </c>
      <c r="B179" s="89" t="s">
        <v>1570</v>
      </c>
      <c r="C179" s="89"/>
      <c r="D179" s="1380"/>
      <c r="E179" s="924" t="s">
        <v>185</v>
      </c>
      <c r="F179" s="754"/>
      <c r="G179" s="900"/>
      <c r="H179" s="754"/>
      <c r="I179" s="900"/>
      <c r="J179" s="901"/>
      <c r="K179" s="795"/>
    </row>
    <row r="180" spans="1:11" ht="24">
      <c r="A180" s="785" t="s">
        <v>1465</v>
      </c>
      <c r="B180" s="89" t="s">
        <v>1256</v>
      </c>
      <c r="C180" s="89"/>
      <c r="D180" s="1380"/>
      <c r="E180" s="789"/>
      <c r="F180" s="754"/>
      <c r="G180" s="900"/>
      <c r="H180" s="754"/>
      <c r="I180" s="900"/>
      <c r="J180" s="901"/>
      <c r="K180" s="795"/>
    </row>
    <row r="181" spans="1:11" ht="24">
      <c r="A181" s="785"/>
      <c r="B181" s="1040" t="s">
        <v>1304</v>
      </c>
      <c r="C181" s="89" t="s">
        <v>1495</v>
      </c>
      <c r="D181" s="1380"/>
      <c r="E181" s="789" t="s">
        <v>1109</v>
      </c>
      <c r="F181" s="754"/>
      <c r="G181" s="900"/>
      <c r="H181" s="754"/>
      <c r="I181" s="900"/>
      <c r="J181" s="901"/>
      <c r="K181" s="795"/>
    </row>
    <row r="182" spans="1:11" ht="24">
      <c r="A182" s="785" t="s">
        <v>1473</v>
      </c>
      <c r="B182" s="89" t="s">
        <v>1573</v>
      </c>
      <c r="C182" s="89"/>
      <c r="D182" s="1380"/>
      <c r="E182" s="789"/>
      <c r="F182" s="754"/>
      <c r="G182" s="900"/>
      <c r="H182" s="754"/>
      <c r="I182" s="900"/>
      <c r="J182" s="901"/>
      <c r="K182" s="795"/>
    </row>
    <row r="183" spans="1:11" ht="24">
      <c r="A183" s="785"/>
      <c r="B183" s="1040" t="s">
        <v>1304</v>
      </c>
      <c r="C183" s="89" t="s">
        <v>1495</v>
      </c>
      <c r="D183" s="1456"/>
      <c r="E183" s="789" t="s">
        <v>1109</v>
      </c>
      <c r="F183" s="754"/>
      <c r="G183" s="900"/>
      <c r="H183" s="754"/>
      <c r="I183" s="900"/>
      <c r="J183" s="901"/>
      <c r="K183" s="795"/>
    </row>
    <row r="184" spans="1:11" ht="24">
      <c r="A184" s="788" t="s">
        <v>2272</v>
      </c>
      <c r="B184" s="89" t="s">
        <v>1575</v>
      </c>
      <c r="C184" s="89"/>
      <c r="D184" s="1380"/>
      <c r="E184" s="789" t="s">
        <v>1109</v>
      </c>
      <c r="F184" s="754"/>
      <c r="G184" s="900"/>
      <c r="H184" s="754"/>
      <c r="I184" s="900"/>
      <c r="J184" s="901"/>
      <c r="K184" s="795"/>
    </row>
    <row r="185" spans="1:11" ht="24">
      <c r="A185" s="788" t="s">
        <v>2273</v>
      </c>
      <c r="B185" s="89" t="s">
        <v>1577</v>
      </c>
      <c r="C185" s="89"/>
      <c r="D185" s="1380"/>
      <c r="E185" s="924" t="s">
        <v>185</v>
      </c>
      <c r="F185" s="754"/>
      <c r="G185" s="900"/>
      <c r="H185" s="754"/>
      <c r="I185" s="900"/>
      <c r="J185" s="901"/>
      <c r="K185" s="795"/>
    </row>
    <row r="186" spans="1:11" ht="24">
      <c r="A186" s="785"/>
      <c r="B186" s="89" t="s">
        <v>1581</v>
      </c>
      <c r="C186" s="89"/>
      <c r="D186" s="1380"/>
      <c r="E186" s="789"/>
      <c r="F186" s="754"/>
      <c r="G186" s="900"/>
      <c r="H186" s="754"/>
      <c r="I186" s="900"/>
      <c r="J186" s="901"/>
      <c r="K186" s="795"/>
    </row>
    <row r="187" spans="1:11" ht="24">
      <c r="A187" s="785"/>
      <c r="B187" s="1040" t="s">
        <v>1304</v>
      </c>
      <c r="C187" s="89" t="s">
        <v>1511</v>
      </c>
      <c r="D187" s="1380"/>
      <c r="E187" s="789" t="s">
        <v>1109</v>
      </c>
      <c r="F187" s="754"/>
      <c r="G187" s="900"/>
      <c r="H187" s="754"/>
      <c r="I187" s="900"/>
      <c r="J187" s="901"/>
      <c r="K187" s="795"/>
    </row>
    <row r="188" spans="1:11" ht="24">
      <c r="A188" s="785"/>
      <c r="B188" s="1040" t="s">
        <v>1304</v>
      </c>
      <c r="C188" s="89" t="s">
        <v>1515</v>
      </c>
      <c r="D188" s="1380"/>
      <c r="E188" s="789" t="s">
        <v>1112</v>
      </c>
      <c r="F188" s="754"/>
      <c r="G188" s="900"/>
      <c r="H188" s="754"/>
      <c r="I188" s="900"/>
      <c r="J188" s="901"/>
      <c r="K188" s="795"/>
    </row>
    <row r="189" spans="1:11" ht="24">
      <c r="A189" s="785" t="s">
        <v>2274</v>
      </c>
      <c r="B189" s="89" t="s">
        <v>1583</v>
      </c>
      <c r="C189" s="89"/>
      <c r="D189" s="1380"/>
      <c r="E189" s="789" t="s">
        <v>1112</v>
      </c>
      <c r="F189" s="754"/>
      <c r="G189" s="900"/>
      <c r="H189" s="754"/>
      <c r="I189" s="900"/>
      <c r="J189" s="901"/>
      <c r="K189" s="795"/>
    </row>
    <row r="190" spans="1:11" ht="24">
      <c r="A190" s="785"/>
      <c r="B190" s="89"/>
      <c r="C190" s="89"/>
      <c r="D190" s="1380"/>
      <c r="E190" s="789"/>
      <c r="F190" s="754"/>
      <c r="G190" s="900"/>
      <c r="H190" s="754"/>
      <c r="I190" s="900"/>
      <c r="J190" s="901"/>
      <c r="K190" s="795"/>
    </row>
    <row r="191" spans="1:11" ht="24">
      <c r="A191" s="785"/>
      <c r="B191" s="89"/>
      <c r="C191" s="89"/>
      <c r="D191" s="1380"/>
      <c r="E191" s="789"/>
      <c r="F191" s="754"/>
      <c r="G191" s="900"/>
      <c r="H191" s="754"/>
      <c r="I191" s="900"/>
      <c r="J191" s="901"/>
      <c r="K191" s="795"/>
    </row>
    <row r="192" spans="1:11" ht="24">
      <c r="A192" s="785"/>
      <c r="B192" s="89"/>
      <c r="C192" s="89"/>
      <c r="D192" s="1380"/>
      <c r="E192" s="789"/>
      <c r="F192" s="754"/>
      <c r="G192" s="900"/>
      <c r="H192" s="754"/>
      <c r="I192" s="900"/>
      <c r="J192" s="901"/>
      <c r="K192" s="795"/>
    </row>
    <row r="193" spans="1:11" ht="24">
      <c r="A193" s="785"/>
      <c r="B193" s="89"/>
      <c r="C193" s="89"/>
      <c r="D193" s="1380"/>
      <c r="E193" s="789"/>
      <c r="F193" s="754"/>
      <c r="G193" s="900"/>
      <c r="H193" s="754"/>
      <c r="I193" s="900"/>
      <c r="J193" s="901"/>
      <c r="K193" s="795"/>
    </row>
    <row r="194" spans="1:11" ht="24">
      <c r="A194" s="785"/>
      <c r="B194" s="89"/>
      <c r="C194" s="89"/>
      <c r="D194" s="1380"/>
      <c r="E194" s="789"/>
      <c r="F194" s="754"/>
      <c r="G194" s="900"/>
      <c r="H194" s="754"/>
      <c r="I194" s="900"/>
      <c r="J194" s="901"/>
      <c r="K194" s="795"/>
    </row>
    <row r="195" spans="1:11" ht="24">
      <c r="A195" s="785"/>
      <c r="B195" s="89"/>
      <c r="C195" s="89"/>
      <c r="D195" s="1380"/>
      <c r="E195" s="789"/>
      <c r="F195" s="754"/>
      <c r="G195" s="900"/>
      <c r="H195" s="754"/>
      <c r="I195" s="900"/>
      <c r="J195" s="901"/>
      <c r="K195" s="795"/>
    </row>
    <row r="196" spans="1:11" ht="24">
      <c r="A196" s="785"/>
      <c r="B196" s="89"/>
      <c r="C196" s="89"/>
      <c r="D196" s="1380"/>
      <c r="E196" s="789"/>
      <c r="F196" s="754"/>
      <c r="G196" s="900"/>
      <c r="H196" s="754"/>
      <c r="I196" s="900"/>
      <c r="J196" s="901"/>
      <c r="K196" s="795"/>
    </row>
    <row r="197" spans="1:11" ht="24.75" thickBot="1">
      <c r="A197" s="883"/>
      <c r="B197" s="89"/>
      <c r="C197" s="89"/>
      <c r="D197" s="1380"/>
      <c r="E197" s="789"/>
      <c r="F197" s="754"/>
      <c r="G197" s="900"/>
      <c r="H197" s="754"/>
      <c r="I197" s="900"/>
      <c r="J197" s="901"/>
      <c r="K197" s="795"/>
    </row>
    <row r="198" spans="1:11" ht="24.75" thickTop="1">
      <c r="A198" s="427"/>
      <c r="B198" s="2159" t="s">
        <v>1483</v>
      </c>
      <c r="C198" s="2195"/>
      <c r="D198" s="1436"/>
      <c r="E198" s="760"/>
      <c r="F198" s="823"/>
      <c r="G198" s="928"/>
      <c r="H198" s="823"/>
      <c r="I198" s="928"/>
      <c r="J198" s="928"/>
      <c r="K198" s="824"/>
    </row>
    <row r="199" spans="1:11" ht="24">
      <c r="A199" s="829" t="s">
        <v>1484</v>
      </c>
      <c r="B199" s="1372" t="s">
        <v>1586</v>
      </c>
      <c r="C199" s="89"/>
      <c r="D199" s="1380"/>
      <c r="E199" s="789"/>
      <c r="F199" s="754"/>
      <c r="G199" s="900"/>
      <c r="H199" s="754"/>
      <c r="I199" s="900"/>
      <c r="J199" s="901"/>
      <c r="K199" s="795"/>
    </row>
    <row r="200" spans="1:11" ht="24">
      <c r="A200" s="788" t="s">
        <v>1486</v>
      </c>
      <c r="B200" s="985" t="s">
        <v>2275</v>
      </c>
      <c r="C200" s="89"/>
      <c r="D200" s="1380"/>
      <c r="E200" s="924" t="s">
        <v>185</v>
      </c>
      <c r="F200" s="875"/>
      <c r="G200" s="900"/>
      <c r="H200" s="990"/>
      <c r="I200" s="900"/>
      <c r="J200" s="901"/>
      <c r="K200" s="795"/>
    </row>
    <row r="201" spans="1:11" ht="24">
      <c r="A201" s="788" t="s">
        <v>1498</v>
      </c>
      <c r="B201" s="985" t="s">
        <v>1596</v>
      </c>
      <c r="C201" s="89"/>
      <c r="D201" s="1380"/>
      <c r="E201" s="924" t="s">
        <v>185</v>
      </c>
      <c r="F201" s="990"/>
      <c r="G201" s="900"/>
      <c r="H201" s="990"/>
      <c r="I201" s="900"/>
      <c r="J201" s="901"/>
      <c r="K201" s="795"/>
    </row>
    <row r="202" spans="1:11" ht="24">
      <c r="A202" s="788" t="s">
        <v>2276</v>
      </c>
      <c r="B202" s="985" t="s">
        <v>1598</v>
      </c>
      <c r="C202" s="89"/>
      <c r="D202" s="1380"/>
      <c r="E202" s="924" t="s">
        <v>185</v>
      </c>
      <c r="F202" s="990"/>
      <c r="G202" s="900"/>
      <c r="H202" s="990"/>
      <c r="I202" s="900"/>
      <c r="J202" s="901"/>
      <c r="K202" s="795"/>
    </row>
    <row r="203" spans="1:11" ht="24">
      <c r="A203" s="788" t="s">
        <v>2277</v>
      </c>
      <c r="B203" s="985" t="s">
        <v>1600</v>
      </c>
      <c r="C203" s="89"/>
      <c r="D203" s="1380"/>
      <c r="E203" s="924" t="s">
        <v>185</v>
      </c>
      <c r="F203" s="990"/>
      <c r="G203" s="900"/>
      <c r="H203" s="990"/>
      <c r="I203" s="900"/>
      <c r="J203" s="901"/>
      <c r="K203" s="795"/>
    </row>
    <row r="204" spans="1:11" ht="24">
      <c r="A204" s="788" t="s">
        <v>2278</v>
      </c>
      <c r="B204" s="985" t="s">
        <v>1602</v>
      </c>
      <c r="C204" s="89"/>
      <c r="D204" s="1380"/>
      <c r="E204" s="924" t="s">
        <v>185</v>
      </c>
      <c r="F204" s="990"/>
      <c r="G204" s="900"/>
      <c r="H204" s="990"/>
      <c r="I204" s="900"/>
      <c r="J204" s="901"/>
      <c r="K204" s="795"/>
    </row>
    <row r="205" spans="1:11" ht="24">
      <c r="A205" s="788" t="s">
        <v>2279</v>
      </c>
      <c r="B205" s="985" t="s">
        <v>1604</v>
      </c>
      <c r="C205" s="89"/>
      <c r="D205" s="1380"/>
      <c r="E205" s="924" t="s">
        <v>185</v>
      </c>
      <c r="F205" s="990"/>
      <c r="G205" s="900"/>
      <c r="H205" s="990"/>
      <c r="I205" s="900"/>
      <c r="J205" s="901"/>
      <c r="K205" s="795"/>
    </row>
    <row r="206" spans="1:11" ht="24">
      <c r="A206" s="788"/>
      <c r="B206" s="985"/>
      <c r="C206" s="89"/>
      <c r="D206" s="1380"/>
      <c r="E206" s="924"/>
      <c r="F206" s="990"/>
      <c r="G206" s="900"/>
      <c r="H206" s="990"/>
      <c r="I206" s="900"/>
      <c r="J206" s="901"/>
      <c r="K206" s="795"/>
    </row>
    <row r="207" spans="1:11" ht="24">
      <c r="A207" s="788" t="s">
        <v>2280</v>
      </c>
      <c r="B207" s="89" t="s">
        <v>1485</v>
      </c>
      <c r="C207" s="89"/>
      <c r="D207" s="1380"/>
      <c r="E207" s="789"/>
      <c r="F207" s="754"/>
      <c r="G207" s="900"/>
      <c r="H207" s="754"/>
      <c r="I207" s="900"/>
      <c r="J207" s="901"/>
      <c r="K207" s="795"/>
    </row>
    <row r="208" spans="1:11" ht="24">
      <c r="A208" s="883"/>
      <c r="B208" s="1040" t="s">
        <v>1304</v>
      </c>
      <c r="C208" s="985" t="s">
        <v>1608</v>
      </c>
      <c r="D208" s="1380"/>
      <c r="E208" s="789" t="s">
        <v>1109</v>
      </c>
      <c r="F208" s="990"/>
      <c r="G208" s="900"/>
      <c r="H208" s="990"/>
      <c r="I208" s="900"/>
      <c r="J208" s="901"/>
      <c r="K208" s="795"/>
    </row>
    <row r="209" spans="1:11" ht="24">
      <c r="A209" s="883"/>
      <c r="B209" s="1040" t="s">
        <v>1304</v>
      </c>
      <c r="C209" s="985" t="s">
        <v>1609</v>
      </c>
      <c r="D209" s="1380"/>
      <c r="E209" s="789" t="s">
        <v>1109</v>
      </c>
      <c r="F209" s="990"/>
      <c r="G209" s="900"/>
      <c r="H209" s="990"/>
      <c r="I209" s="900"/>
      <c r="J209" s="901"/>
      <c r="K209" s="795"/>
    </row>
    <row r="210" spans="1:11" ht="24">
      <c r="A210" s="883"/>
      <c r="B210" s="1040" t="s">
        <v>1304</v>
      </c>
      <c r="C210" s="985" t="s">
        <v>1610</v>
      </c>
      <c r="D210" s="1380"/>
      <c r="E210" s="789" t="s">
        <v>1109</v>
      </c>
      <c r="F210" s="990"/>
      <c r="G210" s="900"/>
      <c r="H210" s="990"/>
      <c r="I210" s="900"/>
      <c r="J210" s="901"/>
      <c r="K210" s="795"/>
    </row>
    <row r="211" spans="1:11" ht="24">
      <c r="A211" s="883"/>
      <c r="B211" s="1040" t="s">
        <v>1304</v>
      </c>
      <c r="C211" s="985" t="s">
        <v>1611</v>
      </c>
      <c r="D211" s="1380"/>
      <c r="E211" s="789" t="s">
        <v>1109</v>
      </c>
      <c r="F211" s="990"/>
      <c r="G211" s="900"/>
      <c r="H211" s="990"/>
      <c r="I211" s="900"/>
      <c r="J211" s="901"/>
      <c r="K211" s="795"/>
    </row>
    <row r="212" spans="1:11" ht="24">
      <c r="A212" s="883"/>
      <c r="B212" s="1040" t="s">
        <v>1304</v>
      </c>
      <c r="C212" s="985" t="s">
        <v>1612</v>
      </c>
      <c r="D212" s="1380"/>
      <c r="E212" s="789" t="s">
        <v>1109</v>
      </c>
      <c r="F212" s="990"/>
      <c r="G212" s="900"/>
      <c r="H212" s="990"/>
      <c r="I212" s="900"/>
      <c r="J212" s="901"/>
      <c r="K212" s="795"/>
    </row>
    <row r="213" spans="1:11" ht="24">
      <c r="A213" s="883"/>
      <c r="B213" s="1040"/>
      <c r="C213" s="1457"/>
      <c r="D213" s="1380"/>
      <c r="E213" s="789"/>
      <c r="F213" s="990"/>
      <c r="G213" s="900"/>
      <c r="H213" s="990"/>
      <c r="I213" s="900"/>
      <c r="J213" s="901"/>
      <c r="K213" s="795"/>
    </row>
    <row r="214" spans="1:11" ht="24">
      <c r="A214" s="785" t="s">
        <v>2281</v>
      </c>
      <c r="B214" s="89" t="s">
        <v>1524</v>
      </c>
      <c r="C214" s="89"/>
      <c r="D214" s="1380"/>
      <c r="E214" s="789"/>
      <c r="F214" s="754"/>
      <c r="G214" s="900"/>
      <c r="H214" s="754"/>
      <c r="I214" s="900"/>
      <c r="J214" s="901"/>
      <c r="K214" s="795"/>
    </row>
    <row r="215" spans="1:11" ht="24">
      <c r="A215" s="785"/>
      <c r="B215" s="1040" t="s">
        <v>1304</v>
      </c>
      <c r="C215" s="89" t="s">
        <v>1509</v>
      </c>
      <c r="D215" s="1380"/>
      <c r="E215" s="789" t="s">
        <v>1109</v>
      </c>
      <c r="F215" s="990"/>
      <c r="G215" s="900"/>
      <c r="H215" s="754"/>
      <c r="I215" s="900"/>
      <c r="J215" s="901"/>
      <c r="K215" s="795"/>
    </row>
    <row r="216" spans="1:11" ht="24">
      <c r="A216" s="785"/>
      <c r="B216" s="1040" t="s">
        <v>1304</v>
      </c>
      <c r="C216" s="89" t="s">
        <v>1515</v>
      </c>
      <c r="D216" s="1380"/>
      <c r="E216" s="789" t="s">
        <v>1112</v>
      </c>
      <c r="F216" s="990"/>
      <c r="G216" s="900"/>
      <c r="H216" s="754"/>
      <c r="I216" s="900"/>
      <c r="J216" s="901"/>
      <c r="K216" s="795"/>
    </row>
    <row r="217" spans="1:11" ht="24">
      <c r="A217" s="785"/>
      <c r="B217" s="1040"/>
      <c r="C217" s="89"/>
      <c r="D217" s="1380"/>
      <c r="E217" s="789"/>
      <c r="F217" s="990"/>
      <c r="G217" s="900"/>
      <c r="H217" s="754"/>
      <c r="I217" s="900"/>
      <c r="J217" s="901"/>
      <c r="K217" s="795"/>
    </row>
    <row r="218" spans="1:11" ht="24">
      <c r="A218" s="785"/>
      <c r="B218" s="1040"/>
      <c r="C218" s="89"/>
      <c r="D218" s="1380"/>
      <c r="E218" s="789"/>
      <c r="F218" s="990"/>
      <c r="G218" s="900"/>
      <c r="H218" s="754"/>
      <c r="I218" s="900"/>
      <c r="J218" s="901"/>
      <c r="K218" s="795"/>
    </row>
    <row r="219" spans="1:11" ht="24">
      <c r="A219" s="944"/>
      <c r="B219" s="1044"/>
      <c r="C219" s="1382"/>
      <c r="D219" s="1383"/>
      <c r="E219" s="801"/>
      <c r="F219" s="992"/>
      <c r="G219" s="948"/>
      <c r="H219" s="802"/>
      <c r="I219" s="948"/>
      <c r="J219" s="949"/>
      <c r="K219" s="806"/>
    </row>
    <row r="220" spans="1:11" ht="24">
      <c r="A220" s="807" t="s">
        <v>2282</v>
      </c>
      <c r="B220" s="1385" t="s">
        <v>1263</v>
      </c>
      <c r="C220" s="1385"/>
      <c r="D220" s="1386"/>
      <c r="E220" s="811"/>
      <c r="F220" s="994"/>
      <c r="G220" s="920"/>
      <c r="H220" s="812"/>
      <c r="I220" s="920"/>
      <c r="J220" s="921"/>
      <c r="K220" s="815"/>
    </row>
    <row r="221" spans="1:11" ht="24">
      <c r="A221" s="785"/>
      <c r="B221" s="1040" t="s">
        <v>1304</v>
      </c>
      <c r="C221" s="89" t="s">
        <v>1509</v>
      </c>
      <c r="D221" s="1380"/>
      <c r="E221" s="789" t="s">
        <v>1109</v>
      </c>
      <c r="F221" s="990"/>
      <c r="G221" s="900"/>
      <c r="H221" s="812"/>
      <c r="I221" s="900"/>
      <c r="J221" s="901"/>
      <c r="K221" s="795"/>
    </row>
    <row r="222" spans="1:11" ht="24">
      <c r="A222" s="785"/>
      <c r="B222" s="1040" t="s">
        <v>1304</v>
      </c>
      <c r="C222" s="89" t="s">
        <v>1515</v>
      </c>
      <c r="D222" s="1380"/>
      <c r="E222" s="789" t="s">
        <v>1112</v>
      </c>
      <c r="F222" s="990"/>
      <c r="G222" s="900"/>
      <c r="H222" s="754"/>
      <c r="I222" s="900"/>
      <c r="J222" s="901"/>
      <c r="K222" s="795"/>
    </row>
    <row r="223" spans="1:11" ht="24">
      <c r="A223" s="785"/>
      <c r="B223" s="1040"/>
      <c r="C223" s="89"/>
      <c r="D223" s="1380"/>
      <c r="E223" s="789"/>
      <c r="F223" s="990"/>
      <c r="G223" s="900"/>
      <c r="H223" s="754"/>
      <c r="I223" s="900"/>
      <c r="J223" s="901"/>
      <c r="K223" s="795"/>
    </row>
    <row r="224" spans="1:11" ht="24">
      <c r="A224" s="785" t="s">
        <v>2283</v>
      </c>
      <c r="B224" s="89" t="s">
        <v>1527</v>
      </c>
      <c r="C224" s="89"/>
      <c r="D224" s="1380"/>
      <c r="E224" s="789"/>
      <c r="F224" s="990"/>
      <c r="G224" s="900"/>
      <c r="H224" s="754"/>
      <c r="I224" s="900"/>
      <c r="J224" s="901"/>
      <c r="K224" s="795"/>
    </row>
    <row r="225" spans="1:11" ht="24">
      <c r="A225" s="785"/>
      <c r="B225" s="1040" t="s">
        <v>1304</v>
      </c>
      <c r="C225" s="89" t="s">
        <v>1509</v>
      </c>
      <c r="D225" s="1380"/>
      <c r="E225" s="789" t="s">
        <v>1109</v>
      </c>
      <c r="F225" s="990"/>
      <c r="G225" s="900"/>
      <c r="H225" s="754"/>
      <c r="I225" s="900"/>
      <c r="J225" s="901"/>
      <c r="K225" s="795"/>
    </row>
    <row r="226" spans="1:11" ht="24">
      <c r="A226" s="883"/>
      <c r="B226" s="89" t="s">
        <v>1458</v>
      </c>
      <c r="C226" s="89"/>
      <c r="D226" s="1380"/>
      <c r="E226" s="789"/>
      <c r="F226" s="754"/>
      <c r="G226" s="900"/>
      <c r="H226" s="754"/>
      <c r="I226" s="900"/>
      <c r="J226" s="901"/>
      <c r="K226" s="795"/>
    </row>
    <row r="227" spans="1:11" ht="24">
      <c r="A227" s="883"/>
      <c r="B227" s="89"/>
      <c r="C227" s="89"/>
      <c r="D227" s="1380"/>
      <c r="E227" s="789"/>
      <c r="F227" s="754"/>
      <c r="G227" s="900"/>
      <c r="H227" s="754"/>
      <c r="I227" s="900"/>
      <c r="J227" s="901"/>
      <c r="K227" s="795"/>
    </row>
    <row r="228" spans="1:11" ht="24">
      <c r="A228" s="883"/>
      <c r="B228" s="89"/>
      <c r="C228" s="89"/>
      <c r="D228" s="1380"/>
      <c r="E228" s="789"/>
      <c r="F228" s="754"/>
      <c r="G228" s="900"/>
      <c r="H228" s="754"/>
      <c r="I228" s="900"/>
      <c r="J228" s="901"/>
      <c r="K228" s="795"/>
    </row>
    <row r="229" spans="1:11" ht="24">
      <c r="A229" s="883"/>
      <c r="B229" s="89"/>
      <c r="C229" s="89"/>
      <c r="D229" s="1380"/>
      <c r="E229" s="789"/>
      <c r="F229" s="754"/>
      <c r="G229" s="900"/>
      <c r="H229" s="754"/>
      <c r="I229" s="900"/>
      <c r="J229" s="901"/>
      <c r="K229" s="795"/>
    </row>
    <row r="230" spans="1:11" ht="24">
      <c r="A230" s="883"/>
      <c r="B230" s="89"/>
      <c r="C230" s="89"/>
      <c r="D230" s="1380"/>
      <c r="E230" s="789"/>
      <c r="F230" s="754"/>
      <c r="G230" s="900"/>
      <c r="H230" s="754"/>
      <c r="I230" s="900"/>
      <c r="J230" s="901"/>
      <c r="K230" s="795"/>
    </row>
    <row r="231" spans="1:11" ht="24">
      <c r="A231" s="883"/>
      <c r="B231" s="89"/>
      <c r="C231" s="89"/>
      <c r="D231" s="1380"/>
      <c r="E231" s="789"/>
      <c r="F231" s="754"/>
      <c r="G231" s="900"/>
      <c r="H231" s="754"/>
      <c r="I231" s="900"/>
      <c r="J231" s="901"/>
      <c r="K231" s="795"/>
    </row>
    <row r="232" spans="1:11" ht="24">
      <c r="A232" s="883"/>
      <c r="B232" s="89"/>
      <c r="C232" s="89"/>
      <c r="D232" s="1380"/>
      <c r="E232" s="789"/>
      <c r="F232" s="754"/>
      <c r="G232" s="900"/>
      <c r="H232" s="754"/>
      <c r="I232" s="900"/>
      <c r="J232" s="901"/>
      <c r="K232" s="795"/>
    </row>
    <row r="233" spans="1:11" ht="24.75" thickBot="1">
      <c r="A233" s="883"/>
      <c r="B233" s="89"/>
      <c r="C233" s="89"/>
      <c r="D233" s="1380"/>
      <c r="E233" s="789"/>
      <c r="F233" s="754"/>
      <c r="G233" s="900"/>
      <c r="H233" s="754"/>
      <c r="I233" s="900"/>
      <c r="J233" s="901"/>
      <c r="K233" s="795"/>
    </row>
    <row r="234" spans="1:11" ht="24.75" thickTop="1">
      <c r="A234" s="427"/>
      <c r="B234" s="2159" t="s">
        <v>1503</v>
      </c>
      <c r="C234" s="2195"/>
      <c r="D234" s="1436"/>
      <c r="E234" s="760"/>
      <c r="F234" s="823"/>
      <c r="G234" s="928"/>
      <c r="H234" s="823"/>
      <c r="I234" s="928"/>
      <c r="J234" s="928"/>
      <c r="K234" s="824"/>
    </row>
    <row r="235" spans="1:11" ht="24">
      <c r="A235" s="829" t="s">
        <v>1567</v>
      </c>
      <c r="B235" s="1458" t="s">
        <v>1296</v>
      </c>
      <c r="C235" s="89"/>
      <c r="D235" s="1380"/>
      <c r="E235" s="789" t="s">
        <v>1112</v>
      </c>
      <c r="F235" s="990"/>
      <c r="G235" s="900"/>
      <c r="H235" s="754"/>
      <c r="I235" s="900"/>
      <c r="J235" s="901"/>
      <c r="K235" s="795"/>
    </row>
    <row r="236" spans="1:11" ht="24">
      <c r="A236" s="829"/>
      <c r="B236" s="1458"/>
      <c r="C236" s="89"/>
      <c r="D236" s="1380"/>
      <c r="E236" s="789"/>
      <c r="F236" s="990"/>
      <c r="G236" s="900"/>
      <c r="H236" s="754"/>
      <c r="I236" s="900"/>
      <c r="J236" s="901"/>
      <c r="K236" s="795"/>
    </row>
    <row r="237" spans="1:11" ht="24">
      <c r="A237" s="829"/>
      <c r="B237" s="1458"/>
      <c r="C237" s="89"/>
      <c r="D237" s="1380"/>
      <c r="E237" s="789"/>
      <c r="F237" s="990"/>
      <c r="G237" s="900"/>
      <c r="H237" s="754"/>
      <c r="I237" s="900"/>
      <c r="J237" s="901"/>
      <c r="K237" s="795"/>
    </row>
    <row r="238" spans="1:11" ht="24">
      <c r="A238" s="829"/>
      <c r="B238" s="1458"/>
      <c r="C238" s="89"/>
      <c r="D238" s="1380"/>
      <c r="E238" s="789"/>
      <c r="F238" s="990"/>
      <c r="G238" s="900"/>
      <c r="H238" s="754"/>
      <c r="I238" s="900"/>
      <c r="J238" s="901"/>
      <c r="K238" s="795"/>
    </row>
    <row r="239" spans="1:11" ht="24.75" thickBot="1">
      <c r="A239" s="883"/>
      <c r="B239" s="89"/>
      <c r="C239" s="89"/>
      <c r="D239" s="1380"/>
      <c r="E239" s="789"/>
      <c r="F239" s="754"/>
      <c r="G239" s="900"/>
      <c r="H239" s="754"/>
      <c r="I239" s="900"/>
      <c r="J239" s="901"/>
      <c r="K239" s="795"/>
    </row>
    <row r="240" spans="1:11" ht="24.75" thickTop="1">
      <c r="A240" s="427"/>
      <c r="B240" s="2159" t="s">
        <v>1662</v>
      </c>
      <c r="C240" s="2195"/>
      <c r="D240" s="1436"/>
      <c r="E240" s="760"/>
      <c r="F240" s="823"/>
      <c r="G240" s="928"/>
      <c r="H240" s="823"/>
      <c r="I240" s="928"/>
      <c r="J240" s="928"/>
      <c r="K240" s="824"/>
    </row>
    <row r="241" spans="4:10">
      <c r="D241" s="1014"/>
      <c r="F241" s="150"/>
      <c r="G241" s="150"/>
      <c r="H241" s="150"/>
      <c r="I241" s="150"/>
      <c r="J241" s="150"/>
    </row>
    <row r="242" spans="4:10">
      <c r="D242" s="1014"/>
    </row>
    <row r="243" spans="4:10">
      <c r="D243" s="1014"/>
    </row>
    <row r="244" spans="4:10">
      <c r="D244" s="1014"/>
    </row>
    <row r="245" spans="4:10">
      <c r="D245" s="1014"/>
    </row>
  </sheetData>
  <mergeCells count="22">
    <mergeCell ref="J4:K4"/>
    <mergeCell ref="C6:D6"/>
    <mergeCell ref="K6:K7"/>
    <mergeCell ref="A8:A9"/>
    <mergeCell ref="B8:C9"/>
    <mergeCell ref="D8:D9"/>
    <mergeCell ref="E8:E9"/>
    <mergeCell ref="F8:G8"/>
    <mergeCell ref="H8:I8"/>
    <mergeCell ref="K8:K9"/>
    <mergeCell ref="B240:C240"/>
    <mergeCell ref="B30:C30"/>
    <mergeCell ref="B51:C51"/>
    <mergeCell ref="B69:C69"/>
    <mergeCell ref="B75:C75"/>
    <mergeCell ref="B93:C93"/>
    <mergeCell ref="B117:C117"/>
    <mergeCell ref="B146:C146"/>
    <mergeCell ref="B156:C156"/>
    <mergeCell ref="B177:C177"/>
    <mergeCell ref="B198:C198"/>
    <mergeCell ref="B234:C234"/>
  </mergeCells>
  <printOptions horizontalCentered="1"/>
  <pageMargins left="0" right="0" top="0.39370078740157483" bottom="0.42" header="0.35433070866141736" footer="0.15748031496062992"/>
  <pageSetup paperSize="9" scale="80" orientation="landscape" r:id="rId1"/>
  <headerFooter>
    <oddHeader xml:space="preserve">&amp;Rแผ่นที่ &amp;P ใน &amp;N แผ่น            </oddHeader>
    <oddFooter xml:space="preserve">&amp;Rงานระบบไฟฟ้า-สื่อสาร - อาคารส่วนกีฬาและสระว่ายน้ำ             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N93"/>
  <sheetViews>
    <sheetView showGridLines="0" view="pageBreakPreview" topLeftCell="B1" zoomScaleNormal="100" zoomScaleSheetLayoutView="100" workbookViewId="0">
      <selection activeCell="L18" sqref="L18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9.85546875" style="361" customWidth="1"/>
    <col min="6" max="6" width="8.710937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3" width="9.140625" style="361"/>
    <col min="14" max="14" width="14" style="361" customWidth="1"/>
    <col min="15" max="16384" width="9.140625" style="36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1686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43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1.2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15">
        <v>5</v>
      </c>
      <c r="B10" s="2118" t="s">
        <v>1687</v>
      </c>
      <c r="C10" s="2119"/>
      <c r="D10" s="2120"/>
      <c r="E10" s="1148"/>
      <c r="F10" s="394"/>
      <c r="G10" s="1017"/>
      <c r="H10" s="1018"/>
      <c r="I10" s="1017"/>
      <c r="J10" s="1018"/>
      <c r="K10" s="1019"/>
      <c r="L10" s="398"/>
    </row>
    <row r="11" spans="1:12" ht="24">
      <c r="A11" s="422">
        <f>A31</f>
        <v>5.0999999999999996</v>
      </c>
      <c r="B11" s="408" t="str">
        <f>B31</f>
        <v>งานพัดลมระบายอากาศ</v>
      </c>
      <c r="C11" s="1020"/>
      <c r="D11" s="417"/>
      <c r="E11" s="1459"/>
      <c r="F11" s="742" t="s">
        <v>182</v>
      </c>
      <c r="G11" s="1460"/>
      <c r="H11" s="1461"/>
      <c r="I11" s="1460"/>
      <c r="J11" s="1461"/>
      <c r="K11" s="443"/>
      <c r="L11" s="406"/>
    </row>
    <row r="12" spans="1:12" ht="24">
      <c r="A12" s="422">
        <f>A61</f>
        <v>5.2</v>
      </c>
      <c r="B12" s="408" t="str">
        <f>B61</f>
        <v>งานท่อลม</v>
      </c>
      <c r="C12" s="1020"/>
      <c r="D12" s="417"/>
      <c r="E12" s="1459"/>
      <c r="F12" s="742" t="s">
        <v>182</v>
      </c>
      <c r="G12" s="1460"/>
      <c r="H12" s="1461"/>
      <c r="I12" s="1460"/>
      <c r="J12" s="1461"/>
      <c r="K12" s="443"/>
      <c r="L12" s="415"/>
    </row>
    <row r="13" spans="1:12" ht="24">
      <c r="A13" s="422">
        <f>A71</f>
        <v>5.3</v>
      </c>
      <c r="B13" s="471" t="str">
        <f>B71</f>
        <v>หน้ากากลม</v>
      </c>
      <c r="C13" s="408"/>
      <c r="D13" s="417"/>
      <c r="E13" s="1459"/>
      <c r="F13" s="742" t="s">
        <v>182</v>
      </c>
      <c r="G13" s="1460"/>
      <c r="H13" s="1461"/>
      <c r="I13" s="1460"/>
      <c r="J13" s="1461"/>
      <c r="K13" s="443"/>
      <c r="L13" s="415"/>
    </row>
    <row r="14" spans="1:12" ht="24">
      <c r="A14" s="422">
        <f>A83</f>
        <v>5.4</v>
      </c>
      <c r="B14" s="471" t="str">
        <f>B83</f>
        <v>ไฟฟ้าสำหรับระบบปรับอากาศ</v>
      </c>
      <c r="C14" s="408"/>
      <c r="D14" s="417"/>
      <c r="E14" s="1459"/>
      <c r="F14" s="742" t="s">
        <v>182</v>
      </c>
      <c r="G14" s="1460"/>
      <c r="H14" s="1461"/>
      <c r="I14" s="1460"/>
      <c r="J14" s="1461"/>
      <c r="K14" s="443"/>
      <c r="L14" s="415"/>
    </row>
    <row r="15" spans="1:12" ht="24">
      <c r="A15" s="424"/>
      <c r="B15" s="471"/>
      <c r="C15" s="408"/>
      <c r="D15" s="418"/>
      <c r="E15" s="1152"/>
      <c r="F15" s="851"/>
      <c r="G15" s="743"/>
      <c r="H15" s="1462"/>
      <c r="I15" s="743"/>
      <c r="J15" s="1462"/>
      <c r="K15" s="443"/>
      <c r="L15" s="406"/>
    </row>
    <row r="16" spans="1:12" ht="24">
      <c r="A16" s="424"/>
      <c r="B16" s="471"/>
      <c r="C16" s="408"/>
      <c r="D16" s="418"/>
      <c r="E16" s="1152"/>
      <c r="F16" s="851"/>
      <c r="G16" s="743"/>
      <c r="H16" s="1462"/>
      <c r="I16" s="743"/>
      <c r="J16" s="1462"/>
      <c r="K16" s="443"/>
      <c r="L16" s="406"/>
    </row>
    <row r="17" spans="1:14" ht="24">
      <c r="A17" s="424"/>
      <c r="B17" s="471"/>
      <c r="C17" s="408"/>
      <c r="D17" s="418"/>
      <c r="E17" s="1152"/>
      <c r="F17" s="851"/>
      <c r="G17" s="743"/>
      <c r="H17" s="1462"/>
      <c r="I17" s="743"/>
      <c r="J17" s="1462"/>
      <c r="K17" s="443"/>
      <c r="L17" s="406"/>
    </row>
    <row r="18" spans="1:14" ht="24">
      <c r="A18" s="422"/>
      <c r="B18" s="425"/>
      <c r="C18" s="408"/>
      <c r="D18" s="418"/>
      <c r="E18" s="1152"/>
      <c r="F18" s="403"/>
      <c r="G18" s="743"/>
      <c r="H18" s="1462"/>
      <c r="I18" s="743"/>
      <c r="J18" s="1462"/>
      <c r="K18" s="443"/>
      <c r="L18" s="406"/>
    </row>
    <row r="19" spans="1:14" ht="24">
      <c r="A19" s="422"/>
      <c r="B19" s="425"/>
      <c r="C19" s="408"/>
      <c r="D19" s="418"/>
      <c r="E19" s="1152"/>
      <c r="F19" s="403"/>
      <c r="G19" s="743"/>
      <c r="H19" s="1462"/>
      <c r="I19" s="743"/>
      <c r="J19" s="1462"/>
      <c r="K19" s="443"/>
      <c r="L19" s="406"/>
    </row>
    <row r="20" spans="1:14" ht="24">
      <c r="A20" s="422"/>
      <c r="B20" s="425"/>
      <c r="C20" s="408"/>
      <c r="D20" s="418"/>
      <c r="E20" s="1152"/>
      <c r="F20" s="403"/>
      <c r="G20" s="743"/>
      <c r="H20" s="1462"/>
      <c r="I20" s="743"/>
      <c r="J20" s="1462"/>
      <c r="K20" s="443"/>
      <c r="L20" s="406"/>
    </row>
    <row r="21" spans="1:14" ht="24">
      <c r="A21" s="422"/>
      <c r="B21" s="425"/>
      <c r="C21" s="408"/>
      <c r="D21" s="418"/>
      <c r="E21" s="1152"/>
      <c r="F21" s="403"/>
      <c r="G21" s="743"/>
      <c r="H21" s="1462"/>
      <c r="I21" s="743"/>
      <c r="J21" s="1462"/>
      <c r="K21" s="443"/>
      <c r="L21" s="406"/>
    </row>
    <row r="22" spans="1:14" ht="24">
      <c r="A22" s="422"/>
      <c r="B22" s="425"/>
      <c r="C22" s="408"/>
      <c r="D22" s="418"/>
      <c r="E22" s="1152"/>
      <c r="F22" s="403"/>
      <c r="G22" s="743"/>
      <c r="H22" s="1462"/>
      <c r="I22" s="743"/>
      <c r="J22" s="1462"/>
      <c r="K22" s="443"/>
      <c r="L22" s="406"/>
    </row>
    <row r="23" spans="1:14" ht="24">
      <c r="A23" s="422"/>
      <c r="B23" s="425"/>
      <c r="C23" s="408"/>
      <c r="D23" s="418"/>
      <c r="E23" s="1152"/>
      <c r="F23" s="403"/>
      <c r="G23" s="743"/>
      <c r="H23" s="1462"/>
      <c r="I23" s="743"/>
      <c r="J23" s="1462"/>
      <c r="K23" s="443"/>
      <c r="L23" s="406"/>
    </row>
    <row r="24" spans="1:14" ht="24">
      <c r="A24" s="422"/>
      <c r="B24" s="425"/>
      <c r="C24" s="408"/>
      <c r="D24" s="418"/>
      <c r="E24" s="1152"/>
      <c r="F24" s="403"/>
      <c r="G24" s="743"/>
      <c r="H24" s="1462"/>
      <c r="I24" s="743"/>
      <c r="J24" s="1462"/>
      <c r="K24" s="443"/>
      <c r="L24" s="406"/>
    </row>
    <row r="25" spans="1:14" ht="24">
      <c r="A25" s="422"/>
      <c r="B25" s="425"/>
      <c r="C25" s="408"/>
      <c r="D25" s="418"/>
      <c r="E25" s="1152"/>
      <c r="F25" s="403"/>
      <c r="G25" s="743"/>
      <c r="H25" s="1462"/>
      <c r="I25" s="743"/>
      <c r="J25" s="1462"/>
      <c r="K25" s="443"/>
      <c r="L25" s="406"/>
    </row>
    <row r="26" spans="1:14" ht="24">
      <c r="A26" s="422"/>
      <c r="B26" s="425"/>
      <c r="C26" s="408"/>
      <c r="D26" s="418"/>
      <c r="E26" s="1152"/>
      <c r="F26" s="403"/>
      <c r="G26" s="743"/>
      <c r="H26" s="1462"/>
      <c r="I26" s="743"/>
      <c r="J26" s="1462"/>
      <c r="K26" s="443"/>
      <c r="L26" s="406"/>
    </row>
    <row r="27" spans="1:14" ht="24">
      <c r="A27" s="426"/>
      <c r="B27" s="425"/>
      <c r="C27" s="408"/>
      <c r="D27" s="418"/>
      <c r="E27" s="1152"/>
      <c r="F27" s="403"/>
      <c r="G27" s="743"/>
      <c r="H27" s="1462"/>
      <c r="I27" s="743"/>
      <c r="J27" s="1462"/>
      <c r="K27" s="443"/>
      <c r="L27" s="406"/>
    </row>
    <row r="28" spans="1:14" ht="24">
      <c r="A28" s="426"/>
      <c r="B28" s="425"/>
      <c r="C28" s="408"/>
      <c r="D28" s="418"/>
      <c r="E28" s="1152"/>
      <c r="F28" s="403"/>
      <c r="G28" s="743"/>
      <c r="H28" s="1462"/>
      <c r="I28" s="743"/>
      <c r="J28" s="1462"/>
      <c r="K28" s="443"/>
      <c r="L28" s="406"/>
      <c r="N28" s="1094"/>
    </row>
    <row r="29" spans="1:14" ht="24.75" thickBot="1">
      <c r="A29" s="426"/>
      <c r="B29" s="425"/>
      <c r="C29" s="408"/>
      <c r="D29" s="418"/>
      <c r="E29" s="1152"/>
      <c r="F29" s="403"/>
      <c r="G29" s="743"/>
      <c r="H29" s="1462"/>
      <c r="I29" s="743"/>
      <c r="J29" s="1462"/>
      <c r="K29" s="443"/>
      <c r="L29" s="406"/>
    </row>
    <row r="30" spans="1:14" ht="24.75" thickTop="1">
      <c r="A30" s="427"/>
      <c r="B30" s="2084" t="s">
        <v>69</v>
      </c>
      <c r="C30" s="2085"/>
      <c r="D30" s="2086"/>
      <c r="E30" s="1463"/>
      <c r="F30" s="429"/>
      <c r="G30" s="761"/>
      <c r="H30" s="928"/>
      <c r="I30" s="761"/>
      <c r="J30" s="928"/>
      <c r="K30" s="1438"/>
      <c r="L30" s="1464"/>
      <c r="N30" s="1194"/>
    </row>
    <row r="31" spans="1:14" ht="24">
      <c r="A31" s="1465">
        <v>5.0999999999999996</v>
      </c>
      <c r="B31" s="2101" t="s">
        <v>1710</v>
      </c>
      <c r="C31" s="2102"/>
      <c r="D31" s="2103"/>
      <c r="E31" s="1148"/>
      <c r="F31" s="394"/>
      <c r="G31" s="1460"/>
      <c r="H31" s="1461"/>
      <c r="I31" s="1460"/>
      <c r="J31" s="1461"/>
      <c r="K31" s="481"/>
      <c r="L31" s="398"/>
    </row>
    <row r="32" spans="1:14" ht="24">
      <c r="A32" s="204" t="s">
        <v>1689</v>
      </c>
      <c r="B32" s="943" t="s">
        <v>1749</v>
      </c>
      <c r="C32" s="90"/>
      <c r="D32" s="1038"/>
      <c r="E32" s="1146"/>
      <c r="F32" s="194"/>
      <c r="G32" s="701"/>
      <c r="H32" s="699"/>
      <c r="I32" s="1460"/>
      <c r="J32" s="1462"/>
      <c r="K32" s="443"/>
      <c r="L32" s="445"/>
    </row>
    <row r="33" spans="1:12" ht="24">
      <c r="A33" s="1027"/>
      <c r="B33" s="1040" t="s">
        <v>134</v>
      </c>
      <c r="C33" s="90" t="s">
        <v>2284</v>
      </c>
      <c r="D33" s="523"/>
      <c r="E33" s="1146"/>
      <c r="F33" s="781" t="s">
        <v>185</v>
      </c>
      <c r="G33" s="2161"/>
      <c r="H33" s="2162"/>
      <c r="I33" s="1460"/>
      <c r="J33" s="1462"/>
      <c r="K33" s="443"/>
      <c r="L33" s="445"/>
    </row>
    <row r="34" spans="1:12" ht="24">
      <c r="A34" s="1027"/>
      <c r="B34" s="1040" t="s">
        <v>134</v>
      </c>
      <c r="C34" s="90" t="s">
        <v>2285</v>
      </c>
      <c r="D34" s="523"/>
      <c r="E34" s="1146"/>
      <c r="F34" s="781" t="s">
        <v>185</v>
      </c>
      <c r="G34" s="2161"/>
      <c r="H34" s="2162"/>
      <c r="I34" s="1460"/>
      <c r="J34" s="1462"/>
      <c r="K34" s="443"/>
      <c r="L34" s="445"/>
    </row>
    <row r="35" spans="1:12" ht="24">
      <c r="A35" s="1027"/>
      <c r="B35" s="1040" t="s">
        <v>134</v>
      </c>
      <c r="C35" s="90" t="s">
        <v>2286</v>
      </c>
      <c r="D35" s="523"/>
      <c r="E35" s="1146"/>
      <c r="F35" s="781" t="s">
        <v>185</v>
      </c>
      <c r="G35" s="2161"/>
      <c r="H35" s="2162"/>
      <c r="I35" s="1460"/>
      <c r="J35" s="1462"/>
      <c r="K35" s="443"/>
      <c r="L35" s="445"/>
    </row>
    <row r="36" spans="1:12" ht="24">
      <c r="A36" s="1027"/>
      <c r="B36" s="1040" t="s">
        <v>134</v>
      </c>
      <c r="C36" s="90" t="s">
        <v>2287</v>
      </c>
      <c r="D36" s="523"/>
      <c r="E36" s="1146"/>
      <c r="F36" s="781" t="s">
        <v>185</v>
      </c>
      <c r="G36" s="2161"/>
      <c r="H36" s="2162"/>
      <c r="I36" s="1460"/>
      <c r="J36" s="1462"/>
      <c r="K36" s="443"/>
      <c r="L36" s="445"/>
    </row>
    <row r="37" spans="1:12" ht="24">
      <c r="A37" s="1027" t="s">
        <v>2288</v>
      </c>
      <c r="B37" s="1054" t="s">
        <v>1796</v>
      </c>
      <c r="C37" s="90"/>
      <c r="D37" s="523"/>
      <c r="E37" s="1146"/>
      <c r="F37" s="781"/>
      <c r="G37" s="701"/>
      <c r="H37" s="699"/>
      <c r="I37" s="1460"/>
      <c r="J37" s="1462"/>
      <c r="K37" s="443"/>
      <c r="L37" s="445"/>
    </row>
    <row r="38" spans="1:12" ht="24">
      <c r="A38" s="1027"/>
      <c r="B38" s="1029" t="s">
        <v>134</v>
      </c>
      <c r="C38" s="90" t="s">
        <v>2289</v>
      </c>
      <c r="D38" s="523"/>
      <c r="E38" s="1146"/>
      <c r="F38" s="781" t="s">
        <v>185</v>
      </c>
      <c r="G38" s="2161"/>
      <c r="H38" s="2162"/>
      <c r="I38" s="1460"/>
      <c r="J38" s="1462"/>
      <c r="K38" s="443"/>
      <c r="L38" s="448"/>
    </row>
    <row r="39" spans="1:12" ht="24">
      <c r="A39" s="1027"/>
      <c r="B39" s="1029" t="s">
        <v>134</v>
      </c>
      <c r="C39" s="90" t="s">
        <v>2290</v>
      </c>
      <c r="D39" s="523"/>
      <c r="E39" s="1146"/>
      <c r="F39" s="781" t="s">
        <v>185</v>
      </c>
      <c r="G39" s="2161"/>
      <c r="H39" s="2162"/>
      <c r="I39" s="1460"/>
      <c r="J39" s="1462"/>
      <c r="K39" s="443"/>
      <c r="L39" s="448"/>
    </row>
    <row r="40" spans="1:12" ht="24">
      <c r="A40" s="1027" t="s">
        <v>2291</v>
      </c>
      <c r="B40" s="943" t="s">
        <v>1755</v>
      </c>
      <c r="C40" s="90"/>
      <c r="D40" s="523"/>
      <c r="E40" s="1146"/>
      <c r="F40" s="194"/>
      <c r="G40" s="701"/>
      <c r="H40" s="699"/>
      <c r="I40" s="1460"/>
      <c r="J40" s="1462"/>
      <c r="K40" s="443"/>
      <c r="L40" s="448"/>
    </row>
    <row r="41" spans="1:12" ht="24">
      <c r="A41" s="1027"/>
      <c r="B41" s="1029" t="s">
        <v>134</v>
      </c>
      <c r="C41" s="90" t="s">
        <v>2292</v>
      </c>
      <c r="D41" s="523"/>
      <c r="E41" s="1146"/>
      <c r="F41" s="781" t="s">
        <v>185</v>
      </c>
      <c r="G41" s="2161"/>
      <c r="H41" s="2162"/>
      <c r="I41" s="1460"/>
      <c r="J41" s="1462"/>
      <c r="K41" s="443"/>
      <c r="L41" s="448"/>
    </row>
    <row r="42" spans="1:12" ht="24">
      <c r="A42" s="1027"/>
      <c r="B42" s="1029" t="s">
        <v>134</v>
      </c>
      <c r="C42" s="90" t="s">
        <v>2293</v>
      </c>
      <c r="D42" s="523"/>
      <c r="E42" s="1146"/>
      <c r="F42" s="781" t="s">
        <v>185</v>
      </c>
      <c r="G42" s="2161"/>
      <c r="H42" s="2162"/>
      <c r="I42" s="1460"/>
      <c r="J42" s="1462"/>
      <c r="K42" s="443"/>
      <c r="L42" s="448"/>
    </row>
    <row r="43" spans="1:12" ht="24">
      <c r="A43" s="1027" t="s">
        <v>2294</v>
      </c>
      <c r="B43" s="943" t="s">
        <v>1777</v>
      </c>
      <c r="C43" s="90"/>
      <c r="D43" s="523"/>
      <c r="E43" s="1146"/>
      <c r="F43" s="194"/>
      <c r="G43" s="701"/>
      <c r="H43" s="699"/>
      <c r="I43" s="1460"/>
      <c r="J43" s="1462"/>
      <c r="K43" s="443"/>
      <c r="L43" s="448"/>
    </row>
    <row r="44" spans="1:12" ht="24">
      <c r="A44" s="1466"/>
      <c r="B44" s="1029" t="s">
        <v>134</v>
      </c>
      <c r="C44" s="90" t="s">
        <v>2295</v>
      </c>
      <c r="D44" s="523"/>
      <c r="E44" s="1146"/>
      <c r="F44" s="781" t="s">
        <v>185</v>
      </c>
      <c r="G44" s="2161"/>
      <c r="H44" s="2162"/>
      <c r="I44" s="1460"/>
      <c r="J44" s="1462"/>
      <c r="K44" s="443"/>
      <c r="L44" s="448"/>
    </row>
    <row r="45" spans="1:12" ht="24">
      <c r="A45" s="1466"/>
      <c r="B45" s="1029" t="s">
        <v>134</v>
      </c>
      <c r="C45" s="90" t="s">
        <v>2296</v>
      </c>
      <c r="D45" s="523"/>
      <c r="E45" s="1146"/>
      <c r="F45" s="781" t="s">
        <v>185</v>
      </c>
      <c r="G45" s="2161"/>
      <c r="H45" s="2162"/>
      <c r="I45" s="1460"/>
      <c r="J45" s="1462"/>
      <c r="K45" s="443"/>
      <c r="L45" s="448"/>
    </row>
    <row r="46" spans="1:12" ht="24">
      <c r="A46" s="1466"/>
      <c r="B46" s="1029" t="s">
        <v>134</v>
      </c>
      <c r="C46" s="90" t="s">
        <v>2297</v>
      </c>
      <c r="D46" s="523"/>
      <c r="E46" s="1146"/>
      <c r="F46" s="781" t="s">
        <v>185</v>
      </c>
      <c r="G46" s="2161"/>
      <c r="H46" s="2162"/>
      <c r="I46" s="1460"/>
      <c r="J46" s="1462"/>
      <c r="K46" s="443"/>
      <c r="L46" s="448"/>
    </row>
    <row r="47" spans="1:12" ht="24">
      <c r="A47" s="1466"/>
      <c r="B47" s="1029" t="s">
        <v>134</v>
      </c>
      <c r="C47" s="90" t="s">
        <v>2298</v>
      </c>
      <c r="D47" s="523"/>
      <c r="E47" s="1146"/>
      <c r="F47" s="781" t="s">
        <v>185</v>
      </c>
      <c r="G47" s="2161"/>
      <c r="H47" s="2162"/>
      <c r="I47" s="1460"/>
      <c r="J47" s="1462"/>
      <c r="K47" s="443"/>
      <c r="L47" s="448"/>
    </row>
    <row r="48" spans="1:12" ht="24">
      <c r="A48" s="1466"/>
      <c r="B48" s="1029" t="s">
        <v>134</v>
      </c>
      <c r="C48" s="90" t="s">
        <v>2299</v>
      </c>
      <c r="D48" s="523"/>
      <c r="E48" s="1146"/>
      <c r="F48" s="781" t="s">
        <v>185</v>
      </c>
      <c r="G48" s="2161"/>
      <c r="H48" s="2162"/>
      <c r="I48" s="1460"/>
      <c r="J48" s="1462"/>
      <c r="K48" s="443"/>
      <c r="L48" s="448"/>
    </row>
    <row r="49" spans="1:12" ht="24">
      <c r="A49" s="1466"/>
      <c r="B49" s="1029" t="s">
        <v>134</v>
      </c>
      <c r="C49" s="90" t="s">
        <v>2300</v>
      </c>
      <c r="D49" s="523"/>
      <c r="E49" s="1146"/>
      <c r="F49" s="781" t="s">
        <v>185</v>
      </c>
      <c r="G49" s="2161"/>
      <c r="H49" s="2162"/>
      <c r="I49" s="1460"/>
      <c r="J49" s="1462"/>
      <c r="K49" s="443"/>
      <c r="L49" s="448"/>
    </row>
    <row r="50" spans="1:12" ht="24">
      <c r="A50" s="1466"/>
      <c r="B50" s="1029" t="s">
        <v>134</v>
      </c>
      <c r="C50" s="90" t="s">
        <v>2301</v>
      </c>
      <c r="D50" s="523"/>
      <c r="E50" s="1146"/>
      <c r="F50" s="781" t="s">
        <v>185</v>
      </c>
      <c r="G50" s="2161"/>
      <c r="H50" s="2162"/>
      <c r="I50" s="1460"/>
      <c r="J50" s="1462"/>
      <c r="K50" s="443"/>
      <c r="L50" s="448"/>
    </row>
    <row r="51" spans="1:12" ht="24">
      <c r="A51" s="1467"/>
      <c r="B51" s="1052" t="s">
        <v>134</v>
      </c>
      <c r="C51" s="528" t="s">
        <v>2302</v>
      </c>
      <c r="D51" s="1050"/>
      <c r="E51" s="1468"/>
      <c r="F51" s="961" t="s">
        <v>185</v>
      </c>
      <c r="G51" s="2163"/>
      <c r="H51" s="2164"/>
      <c r="I51" s="1469"/>
      <c r="J51" s="1470"/>
      <c r="K51" s="1471"/>
      <c r="L51" s="1472"/>
    </row>
    <row r="52" spans="1:12" ht="24">
      <c r="A52" s="1466"/>
      <c r="B52" s="1473" t="s">
        <v>134</v>
      </c>
      <c r="C52" s="537" t="s">
        <v>2303</v>
      </c>
      <c r="D52" s="523"/>
      <c r="E52" s="1146"/>
      <c r="F52" s="963" t="s">
        <v>185</v>
      </c>
      <c r="G52" s="2202"/>
      <c r="H52" s="2203"/>
      <c r="I52" s="1460"/>
      <c r="J52" s="1461"/>
      <c r="K52" s="481"/>
      <c r="L52" s="448"/>
    </row>
    <row r="53" spans="1:12" ht="24">
      <c r="A53" s="1466"/>
      <c r="B53" s="1029" t="s">
        <v>134</v>
      </c>
      <c r="C53" s="90" t="s">
        <v>2304</v>
      </c>
      <c r="D53" s="523"/>
      <c r="E53" s="1146"/>
      <c r="F53" s="781" t="s">
        <v>185</v>
      </c>
      <c r="G53" s="2161"/>
      <c r="H53" s="2162"/>
      <c r="I53" s="1460"/>
      <c r="J53" s="1462"/>
      <c r="K53" s="443"/>
      <c r="L53" s="448"/>
    </row>
    <row r="54" spans="1:12" ht="24">
      <c r="A54" s="1466"/>
      <c r="B54" s="1029" t="s">
        <v>134</v>
      </c>
      <c r="C54" s="90" t="s">
        <v>2305</v>
      </c>
      <c r="D54" s="523"/>
      <c r="E54" s="1146"/>
      <c r="F54" s="781" t="s">
        <v>185</v>
      </c>
      <c r="G54" s="2161"/>
      <c r="H54" s="2162"/>
      <c r="I54" s="1460"/>
      <c r="J54" s="1462"/>
      <c r="K54" s="443"/>
      <c r="L54" s="448"/>
    </row>
    <row r="55" spans="1:12" ht="24">
      <c r="A55" s="1466"/>
      <c r="B55" s="1029" t="s">
        <v>134</v>
      </c>
      <c r="C55" s="90" t="s">
        <v>2306</v>
      </c>
      <c r="D55" s="523"/>
      <c r="E55" s="1146"/>
      <c r="F55" s="781" t="s">
        <v>185</v>
      </c>
      <c r="G55" s="2161"/>
      <c r="H55" s="2162"/>
      <c r="I55" s="1460"/>
      <c r="J55" s="1462"/>
      <c r="K55" s="443"/>
      <c r="L55" s="448"/>
    </row>
    <row r="56" spans="1:12" ht="24">
      <c r="A56" s="1466"/>
      <c r="B56" s="1029" t="s">
        <v>134</v>
      </c>
      <c r="C56" s="90" t="s">
        <v>2307</v>
      </c>
      <c r="D56" s="523"/>
      <c r="E56" s="1146"/>
      <c r="F56" s="781" t="s">
        <v>185</v>
      </c>
      <c r="G56" s="2161"/>
      <c r="H56" s="2162"/>
      <c r="I56" s="1460"/>
      <c r="J56" s="1462"/>
      <c r="K56" s="443"/>
      <c r="L56" s="448"/>
    </row>
    <row r="57" spans="1:12" ht="24">
      <c r="A57" s="1027" t="s">
        <v>2294</v>
      </c>
      <c r="B57" s="90" t="s">
        <v>1141</v>
      </c>
      <c r="C57" s="90"/>
      <c r="D57" s="523"/>
      <c r="E57" s="1146"/>
      <c r="F57" s="781" t="s">
        <v>1112</v>
      </c>
      <c r="G57" s="701"/>
      <c r="H57" s="699"/>
      <c r="I57" s="1460"/>
      <c r="J57" s="1462"/>
      <c r="K57" s="443"/>
      <c r="L57" s="448"/>
    </row>
    <row r="58" spans="1:12" ht="24">
      <c r="A58" s="446"/>
      <c r="B58" s="408"/>
      <c r="C58" s="408"/>
      <c r="D58" s="417"/>
      <c r="E58" s="410"/>
      <c r="F58" s="742"/>
      <c r="G58" s="1460"/>
      <c r="H58" s="1462"/>
      <c r="I58" s="1460"/>
      <c r="J58" s="1462"/>
      <c r="K58" s="443"/>
      <c r="L58" s="448"/>
    </row>
    <row r="59" spans="1:12" ht="24.75" thickBot="1">
      <c r="A59" s="1078"/>
      <c r="B59" s="1053"/>
      <c r="C59" s="408"/>
      <c r="D59" s="417"/>
      <c r="E59" s="410"/>
      <c r="F59" s="443"/>
      <c r="G59" s="1460"/>
      <c r="H59" s="1462"/>
      <c r="I59" s="1460"/>
      <c r="J59" s="1462"/>
      <c r="K59" s="443"/>
      <c r="L59" s="448"/>
    </row>
    <row r="60" spans="1:12" ht="24.75" thickTop="1">
      <c r="A60" s="1474"/>
      <c r="B60" s="2084" t="s">
        <v>1709</v>
      </c>
      <c r="C60" s="2085"/>
      <c r="D60" s="2086"/>
      <c r="E60" s="1475"/>
      <c r="F60" s="1476"/>
      <c r="G60" s="1477"/>
      <c r="H60" s="928"/>
      <c r="I60" s="1478"/>
      <c r="J60" s="928"/>
      <c r="K60" s="1438"/>
      <c r="L60" s="1464"/>
    </row>
    <row r="61" spans="1:12" ht="24">
      <c r="A61" s="1465">
        <v>5.2</v>
      </c>
      <c r="B61" s="2101" t="s">
        <v>1823</v>
      </c>
      <c r="C61" s="2102"/>
      <c r="D61" s="2103"/>
      <c r="E61" s="1148"/>
      <c r="F61" s="394"/>
      <c r="G61" s="1460"/>
      <c r="H61" s="1461"/>
      <c r="I61" s="1460"/>
      <c r="J61" s="1461"/>
      <c r="K61" s="481"/>
      <c r="L61" s="398"/>
    </row>
    <row r="62" spans="1:12" ht="24">
      <c r="A62" s="442" t="s">
        <v>1711</v>
      </c>
      <c r="B62" s="1077" t="s">
        <v>1825</v>
      </c>
      <c r="C62" s="408"/>
      <c r="D62" s="409"/>
      <c r="E62" s="851"/>
      <c r="F62" s="742"/>
      <c r="G62" s="812"/>
      <c r="H62" s="1462"/>
      <c r="I62" s="812"/>
      <c r="J62" s="1462"/>
      <c r="K62" s="443"/>
      <c r="L62" s="1039"/>
    </row>
    <row r="63" spans="1:12" ht="25.5">
      <c r="A63" s="1078"/>
      <c r="B63" s="1053" t="s">
        <v>134</v>
      </c>
      <c r="C63" s="408" t="s">
        <v>1826</v>
      </c>
      <c r="D63" s="417"/>
      <c r="E63" s="851"/>
      <c r="F63" s="742" t="s">
        <v>1827</v>
      </c>
      <c r="G63" s="812"/>
      <c r="H63" s="1462"/>
      <c r="I63" s="812"/>
      <c r="J63" s="1462"/>
      <c r="K63" s="443"/>
      <c r="L63" s="1039"/>
    </row>
    <row r="64" spans="1:12" ht="25.5">
      <c r="A64" s="1078"/>
      <c r="B64" s="1053" t="s">
        <v>134</v>
      </c>
      <c r="C64" s="408" t="s">
        <v>1828</v>
      </c>
      <c r="D64" s="417"/>
      <c r="E64" s="851"/>
      <c r="F64" s="742" t="s">
        <v>1827</v>
      </c>
      <c r="G64" s="812"/>
      <c r="H64" s="1462"/>
      <c r="I64" s="812"/>
      <c r="J64" s="1462"/>
      <c r="K64" s="443"/>
      <c r="L64" s="1039"/>
    </row>
    <row r="65" spans="1:12" ht="24">
      <c r="A65" s="1078"/>
      <c r="B65" s="1053" t="s">
        <v>134</v>
      </c>
      <c r="C65" s="408" t="s">
        <v>1811</v>
      </c>
      <c r="D65" s="417"/>
      <c r="E65" s="851"/>
      <c r="F65" s="742" t="s">
        <v>1112</v>
      </c>
      <c r="G65" s="812"/>
      <c r="H65" s="1462"/>
      <c r="I65" s="812"/>
      <c r="J65" s="1462"/>
      <c r="K65" s="443"/>
      <c r="L65" s="1026"/>
    </row>
    <row r="66" spans="1:12" ht="24">
      <c r="A66" s="1078"/>
      <c r="B66" s="1053" t="s">
        <v>134</v>
      </c>
      <c r="C66" s="408" t="s">
        <v>1830</v>
      </c>
      <c r="D66" s="417"/>
      <c r="E66" s="851"/>
      <c r="F66" s="742" t="s">
        <v>1112</v>
      </c>
      <c r="G66" s="812"/>
      <c r="H66" s="1462"/>
      <c r="I66" s="812"/>
      <c r="J66" s="1462"/>
      <c r="K66" s="443"/>
      <c r="L66" s="1026"/>
    </row>
    <row r="67" spans="1:12" ht="24">
      <c r="A67" s="1078"/>
      <c r="B67" s="1053"/>
      <c r="C67" s="408"/>
      <c r="D67" s="417"/>
      <c r="E67" s="851"/>
      <c r="F67" s="742"/>
      <c r="G67" s="812"/>
      <c r="H67" s="1462"/>
      <c r="I67" s="812"/>
      <c r="J67" s="1462"/>
      <c r="K67" s="443"/>
      <c r="L67" s="1026"/>
    </row>
    <row r="68" spans="1:12" ht="24">
      <c r="A68" s="1078"/>
      <c r="B68" s="1053"/>
      <c r="C68" s="421"/>
      <c r="D68" s="417"/>
      <c r="E68" s="874"/>
      <c r="F68" s="742"/>
      <c r="G68" s="812"/>
      <c r="H68" s="1462"/>
      <c r="I68" s="812"/>
      <c r="J68" s="1462"/>
      <c r="K68" s="443"/>
      <c r="L68" s="1026"/>
    </row>
    <row r="69" spans="1:12" ht="24.75" thickBot="1">
      <c r="A69" s="446"/>
      <c r="B69" s="1053"/>
      <c r="C69" s="408"/>
      <c r="D69" s="417"/>
      <c r="E69" s="481"/>
      <c r="F69" s="443"/>
      <c r="G69" s="1460"/>
      <c r="H69" s="1462"/>
      <c r="I69" s="1460"/>
      <c r="J69" s="1462"/>
      <c r="K69" s="443"/>
      <c r="L69" s="448"/>
    </row>
    <row r="70" spans="1:12" ht="24.75" thickTop="1">
      <c r="A70" s="1474"/>
      <c r="B70" s="2084" t="s">
        <v>1799</v>
      </c>
      <c r="C70" s="2085"/>
      <c r="D70" s="2086"/>
      <c r="E70" s="1475"/>
      <c r="F70" s="1476"/>
      <c r="G70" s="1477"/>
      <c r="H70" s="928"/>
      <c r="I70" s="1478"/>
      <c r="J70" s="928"/>
      <c r="K70" s="1438"/>
      <c r="L70" s="1464"/>
    </row>
    <row r="71" spans="1:12" ht="24">
      <c r="A71" s="435">
        <v>5.3</v>
      </c>
      <c r="B71" s="2101" t="s">
        <v>1837</v>
      </c>
      <c r="C71" s="2102"/>
      <c r="D71" s="2103"/>
      <c r="E71" s="1148"/>
      <c r="F71" s="394"/>
      <c r="G71" s="1460"/>
      <c r="H71" s="1461"/>
      <c r="I71" s="1460"/>
      <c r="J71" s="1461"/>
      <c r="K71" s="481"/>
      <c r="L71" s="398"/>
    </row>
    <row r="72" spans="1:12" ht="24">
      <c r="A72" s="1057" t="s">
        <v>1801</v>
      </c>
      <c r="B72" s="1479" t="s">
        <v>1839</v>
      </c>
      <c r="C72" s="1059"/>
      <c r="D72" s="1060"/>
      <c r="E72" s="873"/>
      <c r="F72" s="800"/>
      <c r="G72" s="802"/>
      <c r="H72" s="1470"/>
      <c r="I72" s="802"/>
      <c r="J72" s="1470"/>
      <c r="K72" s="1471"/>
      <c r="L72" s="1048"/>
    </row>
    <row r="73" spans="1:12" ht="24">
      <c r="A73" s="446"/>
      <c r="B73" s="1079" t="s">
        <v>134</v>
      </c>
      <c r="C73" s="1080" t="s">
        <v>1840</v>
      </c>
      <c r="D73" s="417"/>
      <c r="E73" s="851"/>
      <c r="F73" s="851" t="s">
        <v>185</v>
      </c>
      <c r="G73" s="812"/>
      <c r="H73" s="1461"/>
      <c r="I73" s="812"/>
      <c r="J73" s="1461"/>
      <c r="K73" s="481"/>
      <c r="L73" s="1026"/>
    </row>
    <row r="74" spans="1:12" ht="24">
      <c r="A74" s="446" t="s">
        <v>1809</v>
      </c>
      <c r="B74" s="476" t="s">
        <v>1843</v>
      </c>
      <c r="C74" s="408"/>
      <c r="D74" s="417"/>
      <c r="E74" s="851"/>
      <c r="F74" s="742"/>
      <c r="G74" s="812"/>
      <c r="H74" s="1462"/>
      <c r="I74" s="812"/>
      <c r="J74" s="1462"/>
      <c r="K74" s="443"/>
      <c r="L74" s="1026"/>
    </row>
    <row r="75" spans="1:12" ht="24">
      <c r="A75" s="446"/>
      <c r="B75" s="1053" t="s">
        <v>134</v>
      </c>
      <c r="C75" s="408" t="s">
        <v>2308</v>
      </c>
      <c r="D75" s="417"/>
      <c r="E75" s="851"/>
      <c r="F75" s="742" t="s">
        <v>185</v>
      </c>
      <c r="G75" s="812"/>
      <c r="H75" s="1462"/>
      <c r="I75" s="812"/>
      <c r="J75" s="1462"/>
      <c r="K75" s="443"/>
      <c r="L75" s="1026"/>
    </row>
    <row r="76" spans="1:12" ht="24">
      <c r="A76" s="446"/>
      <c r="B76" s="1053" t="s">
        <v>134</v>
      </c>
      <c r="C76" s="408" t="s">
        <v>2309</v>
      </c>
      <c r="D76" s="417"/>
      <c r="E76" s="851"/>
      <c r="F76" s="742" t="s">
        <v>185</v>
      </c>
      <c r="G76" s="812"/>
      <c r="H76" s="1462"/>
      <c r="I76" s="812"/>
      <c r="J76" s="1462"/>
      <c r="K76" s="443"/>
      <c r="L76" s="1026"/>
    </row>
    <row r="77" spans="1:12" ht="24">
      <c r="A77" s="446" t="s">
        <v>2310</v>
      </c>
      <c r="B77" s="476" t="s">
        <v>1848</v>
      </c>
      <c r="C77" s="408"/>
      <c r="D77" s="417"/>
      <c r="E77" s="851"/>
      <c r="F77" s="742"/>
      <c r="G77" s="812"/>
      <c r="H77" s="1462"/>
      <c r="I77" s="812"/>
      <c r="J77" s="1462"/>
      <c r="K77" s="443"/>
      <c r="L77" s="1026"/>
    </row>
    <row r="78" spans="1:12" ht="24">
      <c r="A78" s="1078"/>
      <c r="B78" s="1053" t="s">
        <v>134</v>
      </c>
      <c r="C78" s="408" t="s">
        <v>1846</v>
      </c>
      <c r="D78" s="417"/>
      <c r="E78" s="851"/>
      <c r="F78" s="742" t="s">
        <v>185</v>
      </c>
      <c r="G78" s="812"/>
      <c r="H78" s="1462"/>
      <c r="I78" s="812"/>
      <c r="J78" s="1462"/>
      <c r="K78" s="443"/>
      <c r="L78" s="1026"/>
    </row>
    <row r="79" spans="1:12" ht="24">
      <c r="A79" s="1078"/>
      <c r="B79" s="1053" t="s">
        <v>134</v>
      </c>
      <c r="C79" s="408" t="s">
        <v>1852</v>
      </c>
      <c r="D79" s="417"/>
      <c r="E79" s="851"/>
      <c r="F79" s="742" t="s">
        <v>185</v>
      </c>
      <c r="G79" s="812"/>
      <c r="H79" s="1462"/>
      <c r="I79" s="812"/>
      <c r="J79" s="1462"/>
      <c r="K79" s="443"/>
      <c r="L79" s="1026"/>
    </row>
    <row r="80" spans="1:12" ht="24">
      <c r="A80" s="1078"/>
      <c r="B80" s="1053" t="s">
        <v>134</v>
      </c>
      <c r="C80" s="408" t="s">
        <v>2311</v>
      </c>
      <c r="D80" s="417"/>
      <c r="E80" s="851"/>
      <c r="F80" s="742" t="s">
        <v>185</v>
      </c>
      <c r="G80" s="812"/>
      <c r="H80" s="1462"/>
      <c r="I80" s="812"/>
      <c r="J80" s="1462"/>
      <c r="K80" s="443"/>
      <c r="L80" s="1026"/>
    </row>
    <row r="81" spans="1:12" ht="24.75" thickBot="1">
      <c r="A81" s="446"/>
      <c r="B81" s="1053"/>
      <c r="C81" s="408"/>
      <c r="D81" s="417"/>
      <c r="E81" s="481"/>
      <c r="F81" s="443"/>
      <c r="G81" s="1460"/>
      <c r="H81" s="1462"/>
      <c r="I81" s="1460"/>
      <c r="J81" s="1462"/>
      <c r="K81" s="443"/>
      <c r="L81" s="448"/>
    </row>
    <row r="82" spans="1:12" ht="24.75" thickTop="1">
      <c r="A82" s="1474"/>
      <c r="B82" s="2084" t="s">
        <v>1812</v>
      </c>
      <c r="C82" s="2085"/>
      <c r="D82" s="2086"/>
      <c r="E82" s="1475"/>
      <c r="F82" s="1476"/>
      <c r="G82" s="1477"/>
      <c r="H82" s="928"/>
      <c r="I82" s="1478"/>
      <c r="J82" s="928"/>
      <c r="K82" s="1438"/>
      <c r="L82" s="1464"/>
    </row>
    <row r="83" spans="1:12" ht="24">
      <c r="A83" s="1465">
        <v>5.4</v>
      </c>
      <c r="B83" s="2101" t="s">
        <v>1857</v>
      </c>
      <c r="C83" s="2102"/>
      <c r="D83" s="2103"/>
      <c r="E83" s="1148"/>
      <c r="F83" s="394"/>
      <c r="G83" s="1460"/>
      <c r="H83" s="1461"/>
      <c r="I83" s="1460"/>
      <c r="J83" s="1461"/>
      <c r="K83" s="481"/>
      <c r="L83" s="398"/>
    </row>
    <row r="84" spans="1:12" ht="24">
      <c r="A84" s="1480" t="s">
        <v>1814</v>
      </c>
      <c r="B84" s="1077" t="s">
        <v>1859</v>
      </c>
      <c r="C84" s="408"/>
      <c r="D84" s="409"/>
      <c r="E84" s="851"/>
      <c r="F84" s="742"/>
      <c r="G84" s="812"/>
      <c r="H84" s="1462"/>
      <c r="I84" s="812"/>
      <c r="J84" s="1462"/>
      <c r="K84" s="443"/>
      <c r="L84" s="1039"/>
    </row>
    <row r="85" spans="1:12" ht="24">
      <c r="A85" s="1078"/>
      <c r="B85" s="1053" t="s">
        <v>134</v>
      </c>
      <c r="C85" s="408" t="s">
        <v>2312</v>
      </c>
      <c r="D85" s="417"/>
      <c r="E85" s="851"/>
      <c r="F85" s="742" t="s">
        <v>185</v>
      </c>
      <c r="G85" s="812"/>
      <c r="H85" s="1462"/>
      <c r="I85" s="812"/>
      <c r="J85" s="1462"/>
      <c r="K85" s="443"/>
      <c r="L85" s="1039"/>
    </row>
    <row r="86" spans="1:12" ht="24">
      <c r="A86" s="1480"/>
      <c r="B86" s="1053" t="s">
        <v>134</v>
      </c>
      <c r="C86" s="408" t="s">
        <v>2313</v>
      </c>
      <c r="D86" s="409"/>
      <c r="E86" s="851"/>
      <c r="F86" s="742" t="s">
        <v>185</v>
      </c>
      <c r="G86" s="812"/>
      <c r="H86" s="1462"/>
      <c r="I86" s="812"/>
      <c r="J86" s="1462"/>
      <c r="K86" s="443"/>
      <c r="L86" s="1039"/>
    </row>
    <row r="87" spans="1:12" ht="24">
      <c r="A87" s="1078" t="s">
        <v>1820</v>
      </c>
      <c r="B87" s="476" t="s">
        <v>1870</v>
      </c>
      <c r="C87" s="408"/>
      <c r="D87" s="417"/>
      <c r="E87" s="851"/>
      <c r="F87" s="742"/>
      <c r="G87" s="812"/>
      <c r="H87" s="1462"/>
      <c r="I87" s="812"/>
      <c r="J87" s="1462"/>
      <c r="K87" s="443"/>
      <c r="L87" s="1039"/>
    </row>
    <row r="88" spans="1:12" ht="24">
      <c r="A88" s="1078"/>
      <c r="B88" s="1053" t="s">
        <v>134</v>
      </c>
      <c r="C88" s="408" t="s">
        <v>1871</v>
      </c>
      <c r="D88" s="417"/>
      <c r="E88" s="851"/>
      <c r="F88" s="742" t="s">
        <v>184</v>
      </c>
      <c r="G88" s="812"/>
      <c r="H88" s="1462"/>
      <c r="I88" s="812"/>
      <c r="J88" s="1462"/>
      <c r="K88" s="443"/>
      <c r="L88" s="1039"/>
    </row>
    <row r="89" spans="1:12" ht="24">
      <c r="A89" s="1078" t="s">
        <v>2314</v>
      </c>
      <c r="B89" s="476" t="s">
        <v>1263</v>
      </c>
      <c r="C89" s="408"/>
      <c r="D89" s="417"/>
      <c r="E89" s="851"/>
      <c r="F89" s="742"/>
      <c r="G89" s="812"/>
      <c r="H89" s="1462"/>
      <c r="I89" s="812"/>
      <c r="J89" s="1462"/>
      <c r="K89" s="443"/>
      <c r="L89" s="1026"/>
    </row>
    <row r="90" spans="1:12" ht="24">
      <c r="A90" s="1078"/>
      <c r="B90" s="1040" t="s">
        <v>1304</v>
      </c>
      <c r="C90" s="89" t="s">
        <v>1509</v>
      </c>
      <c r="D90" s="899"/>
      <c r="E90" s="794"/>
      <c r="F90" s="789" t="s">
        <v>1109</v>
      </c>
      <c r="G90" s="875"/>
      <c r="H90" s="900"/>
      <c r="I90" s="812"/>
      <c r="J90" s="900"/>
      <c r="K90" s="901"/>
      <c r="L90" s="795"/>
    </row>
    <row r="91" spans="1:12" ht="24">
      <c r="A91" s="1078"/>
      <c r="B91" s="1040" t="s">
        <v>1304</v>
      </c>
      <c r="C91" s="89" t="s">
        <v>1515</v>
      </c>
      <c r="D91" s="899"/>
      <c r="E91" s="794"/>
      <c r="F91" s="789" t="s">
        <v>1112</v>
      </c>
      <c r="G91" s="875"/>
      <c r="H91" s="900"/>
      <c r="I91" s="754"/>
      <c r="J91" s="900"/>
      <c r="K91" s="901"/>
      <c r="L91" s="795"/>
    </row>
    <row r="92" spans="1:12" ht="24.75" thickBot="1">
      <c r="A92" s="446"/>
      <c r="B92" s="1053"/>
      <c r="C92" s="408"/>
      <c r="D92" s="417"/>
      <c r="E92" s="481"/>
      <c r="F92" s="1481"/>
      <c r="G92" s="1482"/>
      <c r="H92" s="1483"/>
      <c r="I92" s="1460"/>
      <c r="J92" s="1462"/>
      <c r="K92" s="443"/>
      <c r="L92" s="448"/>
    </row>
    <row r="93" spans="1:12" ht="24.75" thickTop="1">
      <c r="A93" s="1474"/>
      <c r="B93" s="2084" t="s">
        <v>1822</v>
      </c>
      <c r="C93" s="2085"/>
      <c r="D93" s="2086"/>
      <c r="E93" s="1475"/>
      <c r="F93" s="1476"/>
      <c r="G93" s="1477"/>
      <c r="H93" s="928"/>
      <c r="I93" s="1478"/>
      <c r="J93" s="928"/>
      <c r="K93" s="1438"/>
      <c r="L93" s="1464"/>
    </row>
  </sheetData>
  <mergeCells count="41">
    <mergeCell ref="K4:L4"/>
    <mergeCell ref="D6:E6"/>
    <mergeCell ref="L6:L7"/>
    <mergeCell ref="A8:A9"/>
    <mergeCell ref="B8:D9"/>
    <mergeCell ref="E8:E9"/>
    <mergeCell ref="F8:F9"/>
    <mergeCell ref="G8:H8"/>
    <mergeCell ref="I8:J8"/>
    <mergeCell ref="L8:L9"/>
    <mergeCell ref="G44:H44"/>
    <mergeCell ref="B10:D10"/>
    <mergeCell ref="B30:D30"/>
    <mergeCell ref="B31:D31"/>
    <mergeCell ref="G33:H33"/>
    <mergeCell ref="G34:H34"/>
    <mergeCell ref="G35:H35"/>
    <mergeCell ref="G36:H36"/>
    <mergeCell ref="G38:H38"/>
    <mergeCell ref="G39:H39"/>
    <mergeCell ref="G41:H41"/>
    <mergeCell ref="G42:H42"/>
    <mergeCell ref="G56:H56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B93:D93"/>
    <mergeCell ref="B60:D60"/>
    <mergeCell ref="B61:D61"/>
    <mergeCell ref="B70:D70"/>
    <mergeCell ref="B71:D71"/>
    <mergeCell ref="B82:D82"/>
    <mergeCell ref="B83:D83"/>
  </mergeCells>
  <printOptions horizontalCentered="1"/>
  <pageMargins left="0" right="0" top="0.35433070866141736" bottom="0.39370078740157483" header="0.31496062992125984" footer="0.15748031496062992"/>
  <pageSetup paperSize="9" scale="80" orientation="landscape" r:id="rId1"/>
  <headerFooter>
    <oddHeader xml:space="preserve">&amp;Rแผ่นที่ &amp;P ใน &amp;N แผ่น               </oddHeader>
    <oddFooter xml:space="preserve">&amp;Rงานระบบปรับอากาศและระบายอากาศ - อาคารส่วนกีฬาและสระว่ายน้ำ               </oddFooter>
  </headerFooter>
  <rowBreaks count="1" manualBreakCount="1">
    <brk id="51" max="1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2"/>
  <sheetViews>
    <sheetView showGridLines="0" view="pageBreakPreview" topLeftCell="A61" zoomScaleNormal="80" zoomScaleSheetLayoutView="100" workbookViewId="0">
      <selection activeCell="K20" sqref="K20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9.85546875" style="361" customWidth="1"/>
    <col min="6" max="6" width="8.85546875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384" width="9.140625" style="36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2315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43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0.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4.75" customHeight="1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3.25" customHeight="1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6</v>
      </c>
      <c r="B10" s="2025" t="s">
        <v>2316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>
        <v>6.1</v>
      </c>
      <c r="B11" s="134" t="s">
        <v>2317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>
        <f>A11+0.1</f>
        <v>6.1999999999999993</v>
      </c>
      <c r="B12" s="61" t="s">
        <v>2318</v>
      </c>
      <c r="C12" s="54"/>
      <c r="D12" s="62"/>
      <c r="E12" s="63"/>
      <c r="F12" s="64" t="s">
        <v>10</v>
      </c>
      <c r="G12" s="113"/>
      <c r="H12" s="157"/>
      <c r="I12" s="156"/>
      <c r="J12" s="157"/>
      <c r="K12" s="159"/>
      <c r="L12" s="66"/>
    </row>
    <row r="13" spans="1:12" ht="24">
      <c r="A13" s="132"/>
      <c r="B13" s="222"/>
      <c r="C13" s="61"/>
      <c r="D13" s="62"/>
      <c r="E13" s="63"/>
      <c r="F13" s="64"/>
      <c r="G13" s="113"/>
      <c r="H13" s="157"/>
      <c r="I13" s="156"/>
      <c r="J13" s="157"/>
      <c r="K13" s="159"/>
      <c r="L13" s="66"/>
    </row>
    <row r="14" spans="1:12" ht="24">
      <c r="A14" s="132"/>
      <c r="B14" s="222"/>
      <c r="C14" s="61"/>
      <c r="D14" s="62"/>
      <c r="E14" s="63"/>
      <c r="F14" s="64"/>
      <c r="G14" s="113"/>
      <c r="H14" s="157"/>
      <c r="I14" s="156"/>
      <c r="J14" s="157"/>
      <c r="K14" s="159"/>
      <c r="L14" s="66"/>
    </row>
    <row r="15" spans="1:12" ht="24">
      <c r="A15" s="132"/>
      <c r="B15" s="222"/>
      <c r="C15" s="61"/>
      <c r="D15" s="67"/>
      <c r="E15" s="56"/>
      <c r="F15" s="57"/>
      <c r="G15" s="114"/>
      <c r="H15" s="161"/>
      <c r="I15" s="160"/>
      <c r="J15" s="161"/>
      <c r="K15" s="159"/>
      <c r="L15" s="58"/>
    </row>
    <row r="16" spans="1:12" ht="24">
      <c r="A16" s="132"/>
      <c r="B16" s="1082"/>
      <c r="C16" s="61"/>
      <c r="D16" s="67"/>
      <c r="E16" s="56"/>
      <c r="F16" s="57"/>
      <c r="G16" s="114"/>
      <c r="H16" s="161"/>
      <c r="I16" s="160"/>
      <c r="J16" s="161"/>
      <c r="K16" s="159"/>
      <c r="L16" s="58"/>
    </row>
    <row r="17" spans="1:12" ht="24">
      <c r="A17" s="132"/>
      <c r="B17" s="1082"/>
      <c r="C17" s="61"/>
      <c r="D17" s="67"/>
      <c r="E17" s="56"/>
      <c r="F17" s="57"/>
      <c r="G17" s="114"/>
      <c r="H17" s="161"/>
      <c r="I17" s="160"/>
      <c r="J17" s="161"/>
      <c r="K17" s="159"/>
      <c r="L17" s="58"/>
    </row>
    <row r="18" spans="1:12" ht="24">
      <c r="A18" s="132"/>
      <c r="B18" s="60"/>
      <c r="C18" s="61"/>
      <c r="D18" s="67"/>
      <c r="E18" s="56"/>
      <c r="F18" s="57"/>
      <c r="G18" s="114"/>
      <c r="H18" s="161"/>
      <c r="I18" s="160"/>
      <c r="J18" s="161"/>
      <c r="K18" s="159"/>
      <c r="L18" s="58"/>
    </row>
    <row r="19" spans="1:12" ht="24">
      <c r="A19" s="132"/>
      <c r="B19" s="60"/>
      <c r="C19" s="61"/>
      <c r="D19" s="67"/>
      <c r="E19" s="56"/>
      <c r="F19" s="57"/>
      <c r="G19" s="114"/>
      <c r="H19" s="161"/>
      <c r="I19" s="160"/>
      <c r="J19" s="161"/>
      <c r="K19" s="159"/>
      <c r="L19" s="58"/>
    </row>
    <row r="20" spans="1:12" ht="24">
      <c r="A20" s="132"/>
      <c r="B20" s="60"/>
      <c r="C20" s="61"/>
      <c r="D20" s="67"/>
      <c r="E20" s="56"/>
      <c r="F20" s="57"/>
      <c r="G20" s="114"/>
      <c r="H20" s="161"/>
      <c r="I20" s="160"/>
      <c r="J20" s="161"/>
      <c r="K20" s="159"/>
      <c r="L20" s="58"/>
    </row>
    <row r="21" spans="1:12" ht="24">
      <c r="A21" s="132"/>
      <c r="B21" s="60"/>
      <c r="C21" s="61"/>
      <c r="D21" s="67"/>
      <c r="E21" s="56"/>
      <c r="F21" s="57"/>
      <c r="G21" s="114"/>
      <c r="H21" s="161"/>
      <c r="I21" s="160"/>
      <c r="J21" s="161"/>
      <c r="K21" s="159"/>
      <c r="L21" s="58"/>
    </row>
    <row r="22" spans="1:12" ht="24">
      <c r="A22" s="132"/>
      <c r="B22" s="60"/>
      <c r="C22" s="61"/>
      <c r="D22" s="67"/>
      <c r="E22" s="56"/>
      <c r="F22" s="57"/>
      <c r="G22" s="114"/>
      <c r="H22" s="161"/>
      <c r="I22" s="160"/>
      <c r="J22" s="161"/>
      <c r="K22" s="159"/>
      <c r="L22" s="58"/>
    </row>
    <row r="23" spans="1:12" ht="24">
      <c r="A23" s="132"/>
      <c r="B23" s="60"/>
      <c r="C23" s="61"/>
      <c r="D23" s="67"/>
      <c r="E23" s="56"/>
      <c r="F23" s="57"/>
      <c r="G23" s="114"/>
      <c r="H23" s="161"/>
      <c r="I23" s="160"/>
      <c r="J23" s="161"/>
      <c r="K23" s="159"/>
      <c r="L23" s="58"/>
    </row>
    <row r="24" spans="1:12" ht="24">
      <c r="A24" s="132"/>
      <c r="B24" s="60"/>
      <c r="C24" s="61"/>
      <c r="D24" s="67"/>
      <c r="E24" s="56"/>
      <c r="F24" s="57"/>
      <c r="G24" s="114"/>
      <c r="H24" s="161"/>
      <c r="I24" s="160"/>
      <c r="J24" s="161"/>
      <c r="K24" s="159"/>
      <c r="L24" s="58"/>
    </row>
    <row r="25" spans="1:12" ht="24">
      <c r="A25" s="132"/>
      <c r="B25" s="60"/>
      <c r="C25" s="61"/>
      <c r="D25" s="67"/>
      <c r="E25" s="56"/>
      <c r="F25" s="57"/>
      <c r="G25" s="114"/>
      <c r="H25" s="161"/>
      <c r="I25" s="160"/>
      <c r="J25" s="161"/>
      <c r="K25" s="159"/>
      <c r="L25" s="58"/>
    </row>
    <row r="26" spans="1:12" ht="24">
      <c r="A26" s="132"/>
      <c r="B26" s="60"/>
      <c r="C26" s="61"/>
      <c r="D26" s="67"/>
      <c r="E26" s="56"/>
      <c r="F26" s="57"/>
      <c r="G26" s="114"/>
      <c r="H26" s="161"/>
      <c r="I26" s="160"/>
      <c r="J26" s="161"/>
      <c r="K26" s="159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61"/>
      <c r="I27" s="160"/>
      <c r="J27" s="161"/>
      <c r="K27" s="159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61"/>
      <c r="I28" s="160"/>
      <c r="J28" s="161"/>
      <c r="K28" s="159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61"/>
      <c r="I29" s="160"/>
      <c r="J29" s="161"/>
      <c r="K29" s="159"/>
      <c r="L29" s="58"/>
    </row>
    <row r="30" spans="1:12" ht="24.75" thickTop="1">
      <c r="A30" s="501"/>
      <c r="B30" s="2121" t="s">
        <v>69</v>
      </c>
      <c r="C30" s="2122"/>
      <c r="D30" s="2123"/>
      <c r="E30" s="502"/>
      <c r="F30" s="503"/>
      <c r="G30" s="504"/>
      <c r="H30" s="1083"/>
      <c r="I30" s="1084"/>
      <c r="J30" s="1083"/>
      <c r="K30" s="1085"/>
      <c r="L30" s="74"/>
    </row>
    <row r="31" spans="1:12" ht="24">
      <c r="A31" s="104">
        <v>6.1</v>
      </c>
      <c r="B31" s="2127" t="str">
        <f>B11</f>
        <v>งานภูมิทัศน์นุ่ม (SOFTSCAPE)</v>
      </c>
      <c r="C31" s="2128"/>
      <c r="D31" s="2129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140" t="s">
        <v>1880</v>
      </c>
      <c r="B32" s="1484" t="s">
        <v>2319</v>
      </c>
      <c r="C32" s="61"/>
      <c r="D32" s="55"/>
      <c r="E32" s="1089"/>
      <c r="F32" s="159" t="s">
        <v>10</v>
      </c>
      <c r="G32" s="156"/>
      <c r="H32" s="161"/>
      <c r="I32" s="156"/>
      <c r="J32" s="161"/>
      <c r="K32" s="159"/>
      <c r="L32" s="510"/>
    </row>
    <row r="33" spans="1:12" ht="24">
      <c r="A33" s="1091" t="s">
        <v>2320</v>
      </c>
      <c r="B33" s="61" t="s">
        <v>2321</v>
      </c>
      <c r="C33" s="61"/>
      <c r="D33" s="62"/>
      <c r="E33" s="1089"/>
      <c r="F33" s="159" t="s">
        <v>10</v>
      </c>
      <c r="G33" s="156"/>
      <c r="H33" s="161"/>
      <c r="I33" s="156"/>
      <c r="J33" s="161"/>
      <c r="K33" s="159"/>
      <c r="L33" s="510"/>
    </row>
    <row r="34" spans="1:12" ht="24">
      <c r="A34" s="1091" t="s">
        <v>2322</v>
      </c>
      <c r="B34" s="61" t="s">
        <v>2323</v>
      </c>
      <c r="C34" s="61"/>
      <c r="D34" s="62"/>
      <c r="E34" s="1089"/>
      <c r="F34" s="159" t="s">
        <v>10</v>
      </c>
      <c r="G34" s="156"/>
      <c r="H34" s="161"/>
      <c r="I34" s="156"/>
      <c r="J34" s="161"/>
      <c r="K34" s="159"/>
      <c r="L34" s="510"/>
    </row>
    <row r="35" spans="1:12" ht="24">
      <c r="A35" s="1104"/>
      <c r="B35" s="1105"/>
      <c r="C35" s="1105"/>
      <c r="D35" s="1106"/>
      <c r="E35" s="232"/>
      <c r="F35" s="1107"/>
      <c r="G35" s="233"/>
      <c r="H35" s="1108"/>
      <c r="I35" s="233"/>
      <c r="J35" s="1108"/>
      <c r="K35" s="1107"/>
      <c r="L35" s="644"/>
    </row>
    <row r="36" spans="1:12" ht="24">
      <c r="A36" s="1109"/>
      <c r="B36" s="2124" t="s">
        <v>1893</v>
      </c>
      <c r="C36" s="2125"/>
      <c r="D36" s="2126"/>
      <c r="E36" s="1110"/>
      <c r="F36" s="1110"/>
      <c r="G36" s="1111"/>
      <c r="H36" s="1112"/>
      <c r="I36" s="1111"/>
      <c r="J36" s="1112"/>
      <c r="K36" s="1110"/>
      <c r="L36" s="1129"/>
    </row>
    <row r="37" spans="1:12" ht="24">
      <c r="A37" s="1485" t="s">
        <v>1880</v>
      </c>
      <c r="B37" s="1486" t="str">
        <f>B32</f>
        <v>งานไม้ยืนต้น</v>
      </c>
      <c r="C37" s="1121"/>
      <c r="D37" s="62"/>
      <c r="E37" s="158"/>
      <c r="F37" s="158"/>
      <c r="G37" s="156"/>
      <c r="H37" s="157"/>
      <c r="I37" s="156"/>
      <c r="J37" s="157"/>
      <c r="K37" s="158"/>
      <c r="L37" s="520"/>
    </row>
    <row r="38" spans="1:12" ht="24">
      <c r="A38" s="1091"/>
      <c r="B38" s="61" t="s">
        <v>2324</v>
      </c>
      <c r="C38" s="61"/>
      <c r="D38" s="62"/>
      <c r="E38" s="1089"/>
      <c r="F38" s="159" t="s">
        <v>541</v>
      </c>
      <c r="G38" s="156"/>
      <c r="H38" s="161"/>
      <c r="I38" s="156"/>
      <c r="J38" s="161"/>
      <c r="K38" s="159"/>
      <c r="L38" s="540"/>
    </row>
    <row r="39" spans="1:12" ht="24">
      <c r="A39" s="1091"/>
      <c r="B39" s="61"/>
      <c r="C39" s="61"/>
      <c r="D39" s="62"/>
      <c r="E39" s="1089"/>
      <c r="F39" s="159"/>
      <c r="G39" s="156"/>
      <c r="H39" s="161"/>
      <c r="I39" s="156"/>
      <c r="J39" s="161"/>
      <c r="K39" s="159"/>
      <c r="L39" s="540"/>
    </row>
    <row r="40" spans="1:12" ht="24">
      <c r="A40" s="1091"/>
      <c r="B40" s="61"/>
      <c r="C40" s="61"/>
      <c r="D40" s="62"/>
      <c r="E40" s="1089"/>
      <c r="F40" s="159"/>
      <c r="G40" s="156"/>
      <c r="H40" s="161"/>
      <c r="I40" s="156"/>
      <c r="J40" s="161"/>
      <c r="K40" s="159"/>
      <c r="L40" s="520"/>
    </row>
    <row r="41" spans="1:12" ht="24">
      <c r="A41" s="1091"/>
      <c r="B41" s="61"/>
      <c r="C41" s="61"/>
      <c r="D41" s="62"/>
      <c r="E41" s="1089"/>
      <c r="F41" s="159"/>
      <c r="G41" s="156"/>
      <c r="H41" s="161"/>
      <c r="I41" s="156"/>
      <c r="J41" s="161"/>
      <c r="K41" s="159"/>
      <c r="L41" s="520"/>
    </row>
    <row r="42" spans="1:12" ht="24">
      <c r="A42" s="1091"/>
      <c r="B42" s="61"/>
      <c r="C42" s="61"/>
      <c r="D42" s="62"/>
      <c r="E42" s="1089"/>
      <c r="F42" s="159"/>
      <c r="G42" s="156"/>
      <c r="H42" s="161"/>
      <c r="I42" s="156"/>
      <c r="J42" s="161"/>
      <c r="K42" s="159"/>
      <c r="L42" s="520"/>
    </row>
    <row r="43" spans="1:12" ht="24">
      <c r="A43" s="1091"/>
      <c r="B43" s="61"/>
      <c r="C43" s="61"/>
      <c r="D43" s="62"/>
      <c r="E43" s="1089"/>
      <c r="F43" s="159"/>
      <c r="G43" s="156"/>
      <c r="H43" s="161"/>
      <c r="I43" s="156"/>
      <c r="J43" s="161"/>
      <c r="K43" s="159"/>
      <c r="L43" s="520"/>
    </row>
    <row r="44" spans="1:12" ht="24">
      <c r="A44" s="1091"/>
      <c r="B44" s="61"/>
      <c r="C44" s="61"/>
      <c r="D44" s="62"/>
      <c r="E44" s="1089"/>
      <c r="F44" s="159"/>
      <c r="G44" s="156"/>
      <c r="H44" s="161"/>
      <c r="I44" s="156"/>
      <c r="J44" s="161"/>
      <c r="K44" s="159"/>
      <c r="L44" s="520"/>
    </row>
    <row r="45" spans="1:12" ht="24">
      <c r="A45" s="1091"/>
      <c r="B45" s="61"/>
      <c r="C45" s="61"/>
      <c r="D45" s="62"/>
      <c r="E45" s="1089"/>
      <c r="F45" s="159"/>
      <c r="G45" s="156"/>
      <c r="H45" s="161"/>
      <c r="I45" s="156"/>
      <c r="J45" s="161"/>
      <c r="K45" s="159"/>
      <c r="L45" s="520"/>
    </row>
    <row r="46" spans="1:12" ht="24">
      <c r="A46" s="1091"/>
      <c r="B46" s="61"/>
      <c r="C46" s="61"/>
      <c r="D46" s="62"/>
      <c r="E46" s="1089"/>
      <c r="F46" s="159"/>
      <c r="G46" s="156"/>
      <c r="H46" s="161"/>
      <c r="I46" s="156"/>
      <c r="J46" s="161"/>
      <c r="K46" s="159"/>
      <c r="L46" s="520"/>
    </row>
    <row r="47" spans="1:12" ht="24">
      <c r="A47" s="1091"/>
      <c r="B47" s="61"/>
      <c r="C47" s="61"/>
      <c r="D47" s="62"/>
      <c r="E47" s="1089"/>
      <c r="F47" s="159"/>
      <c r="G47" s="156"/>
      <c r="H47" s="161"/>
      <c r="I47" s="156"/>
      <c r="J47" s="161"/>
      <c r="K47" s="159"/>
      <c r="L47" s="520"/>
    </row>
    <row r="48" spans="1:12" ht="24">
      <c r="A48" s="1091"/>
      <c r="B48" s="61"/>
      <c r="C48" s="61"/>
      <c r="D48" s="62"/>
      <c r="E48" s="1089"/>
      <c r="F48" s="159"/>
      <c r="G48" s="156"/>
      <c r="H48" s="161"/>
      <c r="I48" s="156"/>
      <c r="J48" s="161"/>
      <c r="K48" s="159"/>
      <c r="L48" s="520"/>
    </row>
    <row r="49" spans="1:12" ht="24">
      <c r="A49" s="1091"/>
      <c r="B49" s="61"/>
      <c r="C49" s="61"/>
      <c r="D49" s="62"/>
      <c r="E49" s="1089"/>
      <c r="F49" s="159"/>
      <c r="G49" s="156"/>
      <c r="H49" s="161"/>
      <c r="I49" s="156"/>
      <c r="J49" s="161"/>
      <c r="K49" s="159"/>
      <c r="L49" s="520"/>
    </row>
    <row r="50" spans="1:12" ht="24.75" thickBot="1">
      <c r="A50" s="1091"/>
      <c r="B50" s="511"/>
      <c r="C50" s="61"/>
      <c r="D50" s="62"/>
      <c r="E50" s="158"/>
      <c r="F50" s="159"/>
      <c r="G50" s="156"/>
      <c r="H50" s="161"/>
      <c r="I50" s="156"/>
      <c r="J50" s="161"/>
      <c r="K50" s="159"/>
      <c r="L50" s="520"/>
    </row>
    <row r="51" spans="1:12" ht="24.75" thickTop="1">
      <c r="A51" s="607"/>
      <c r="B51" s="2121" t="s">
        <v>2325</v>
      </c>
      <c r="C51" s="2122"/>
      <c r="D51" s="2123"/>
      <c r="E51" s="1141"/>
      <c r="F51" s="609"/>
      <c r="G51" s="610"/>
      <c r="H51" s="518"/>
      <c r="I51" s="611"/>
      <c r="J51" s="518"/>
      <c r="K51" s="506"/>
      <c r="L51" s="74"/>
    </row>
    <row r="52" spans="1:12" ht="24">
      <c r="A52" s="1485" t="s">
        <v>2320</v>
      </c>
      <c r="B52" s="1134" t="str">
        <f>B33</f>
        <v>งานไม้พุ่ม / ไม้คลุมดิน</v>
      </c>
      <c r="C52" s="61"/>
      <c r="D52" s="62"/>
      <c r="E52" s="158"/>
      <c r="F52" s="159"/>
      <c r="G52" s="156"/>
      <c r="H52" s="161"/>
      <c r="I52" s="156"/>
      <c r="J52" s="161"/>
      <c r="K52" s="159"/>
      <c r="L52" s="520"/>
    </row>
    <row r="53" spans="1:12" ht="24">
      <c r="A53" s="1091"/>
      <c r="B53" s="61" t="s">
        <v>2326</v>
      </c>
      <c r="C53" s="61"/>
      <c r="D53" s="62"/>
      <c r="E53" s="1089"/>
      <c r="F53" s="159" t="s">
        <v>541</v>
      </c>
      <c r="G53" s="156"/>
      <c r="H53" s="161"/>
      <c r="I53" s="156"/>
      <c r="J53" s="161"/>
      <c r="K53" s="159"/>
      <c r="L53" s="520"/>
    </row>
    <row r="54" spans="1:12" ht="24">
      <c r="A54" s="1091"/>
      <c r="B54" s="61" t="s">
        <v>2327</v>
      </c>
      <c r="C54" s="61"/>
      <c r="D54" s="62"/>
      <c r="E54" s="158"/>
      <c r="F54" s="159" t="s">
        <v>183</v>
      </c>
      <c r="G54" s="156"/>
      <c r="H54" s="161"/>
      <c r="I54" s="156"/>
      <c r="J54" s="161"/>
      <c r="K54" s="159"/>
      <c r="L54" s="520"/>
    </row>
    <row r="55" spans="1:12" ht="24">
      <c r="A55" s="1091"/>
      <c r="B55" s="61" t="s">
        <v>2328</v>
      </c>
      <c r="C55" s="61"/>
      <c r="D55" s="62"/>
      <c r="E55" s="1089"/>
      <c r="F55" s="159" t="s">
        <v>183</v>
      </c>
      <c r="G55" s="156"/>
      <c r="H55" s="161"/>
      <c r="I55" s="156"/>
      <c r="J55" s="161"/>
      <c r="K55" s="159"/>
      <c r="L55" s="520"/>
    </row>
    <row r="56" spans="1:12" ht="24">
      <c r="A56" s="1091"/>
      <c r="B56" s="61"/>
      <c r="C56" s="61"/>
      <c r="D56" s="62"/>
      <c r="E56" s="1089"/>
      <c r="F56" s="159"/>
      <c r="G56" s="156"/>
      <c r="H56" s="161"/>
      <c r="I56" s="156"/>
      <c r="J56" s="161"/>
      <c r="K56" s="159"/>
      <c r="L56" s="520"/>
    </row>
    <row r="57" spans="1:12" ht="24">
      <c r="A57" s="1091"/>
      <c r="B57" s="61"/>
      <c r="C57" s="61"/>
      <c r="D57" s="62"/>
      <c r="E57" s="1089"/>
      <c r="F57" s="159"/>
      <c r="G57" s="156"/>
      <c r="H57" s="161"/>
      <c r="I57" s="156"/>
      <c r="J57" s="161"/>
      <c r="K57" s="159"/>
      <c r="L57" s="520"/>
    </row>
    <row r="58" spans="1:12" ht="24">
      <c r="A58" s="1091"/>
      <c r="B58" s="61"/>
      <c r="C58" s="61"/>
      <c r="D58" s="62"/>
      <c r="E58" s="1089"/>
      <c r="F58" s="159"/>
      <c r="G58" s="156"/>
      <c r="H58" s="161"/>
      <c r="I58" s="156"/>
      <c r="J58" s="161"/>
      <c r="K58" s="159"/>
      <c r="L58" s="520"/>
    </row>
    <row r="59" spans="1:12" ht="24">
      <c r="A59" s="1091"/>
      <c r="B59" s="61"/>
      <c r="C59" s="61"/>
      <c r="D59" s="62"/>
      <c r="E59" s="1089"/>
      <c r="F59" s="159"/>
      <c r="G59" s="156"/>
      <c r="H59" s="161"/>
      <c r="I59" s="156"/>
      <c r="J59" s="161"/>
      <c r="K59" s="159"/>
      <c r="L59" s="520"/>
    </row>
    <row r="60" spans="1:12" ht="24.75" thickBot="1">
      <c r="A60" s="1091"/>
      <c r="B60" s="61"/>
      <c r="C60" s="61"/>
      <c r="D60" s="62"/>
      <c r="E60" s="1089"/>
      <c r="F60" s="159"/>
      <c r="G60" s="156"/>
      <c r="H60" s="161"/>
      <c r="I60" s="156"/>
      <c r="J60" s="161"/>
      <c r="K60" s="159"/>
      <c r="L60" s="520"/>
    </row>
    <row r="61" spans="1:12" ht="24.75" thickTop="1">
      <c r="A61" s="607"/>
      <c r="B61" s="2121" t="s">
        <v>2329</v>
      </c>
      <c r="C61" s="2122"/>
      <c r="D61" s="2123"/>
      <c r="E61" s="1141"/>
      <c r="F61" s="609"/>
      <c r="G61" s="610"/>
      <c r="H61" s="518"/>
      <c r="I61" s="611"/>
      <c r="J61" s="518"/>
      <c r="K61" s="506"/>
      <c r="L61" s="74"/>
    </row>
    <row r="62" spans="1:12" ht="24">
      <c r="A62" s="1485" t="s">
        <v>2322</v>
      </c>
      <c r="B62" s="1134" t="str">
        <f>B34</f>
        <v>งานวัสดุปลูก</v>
      </c>
      <c r="C62" s="61"/>
      <c r="D62" s="62"/>
      <c r="E62" s="1089"/>
      <c r="F62" s="159"/>
      <c r="G62" s="156"/>
      <c r="H62" s="161"/>
      <c r="I62" s="156"/>
      <c r="J62" s="161"/>
      <c r="K62" s="159"/>
      <c r="L62" s="520"/>
    </row>
    <row r="63" spans="1:12" ht="24">
      <c r="A63" s="1091"/>
      <c r="B63" s="61" t="s">
        <v>2330</v>
      </c>
      <c r="C63" s="61"/>
      <c r="D63" s="62"/>
      <c r="E63" s="1089"/>
      <c r="F63" s="159" t="s">
        <v>185</v>
      </c>
      <c r="G63" s="156"/>
      <c r="H63" s="161"/>
      <c r="I63" s="156"/>
      <c r="J63" s="161"/>
      <c r="K63" s="159"/>
      <c r="L63" s="520"/>
    </row>
    <row r="64" spans="1:12" ht="24">
      <c r="A64" s="1091"/>
      <c r="B64" s="61" t="s">
        <v>2331</v>
      </c>
      <c r="C64" s="61"/>
      <c r="D64" s="62"/>
      <c r="E64" s="1089"/>
      <c r="F64" s="159" t="s">
        <v>546</v>
      </c>
      <c r="G64" s="156"/>
      <c r="H64" s="161"/>
      <c r="I64" s="156"/>
      <c r="J64" s="161"/>
      <c r="K64" s="159"/>
      <c r="L64" s="520"/>
    </row>
    <row r="65" spans="1:12" ht="24">
      <c r="A65" s="1091"/>
      <c r="B65" s="61" t="s">
        <v>2332</v>
      </c>
      <c r="C65" s="61"/>
      <c r="D65" s="62"/>
      <c r="E65" s="1089"/>
      <c r="F65" s="159" t="s">
        <v>546</v>
      </c>
      <c r="G65" s="156"/>
      <c r="H65" s="161"/>
      <c r="I65" s="156"/>
      <c r="J65" s="161"/>
      <c r="K65" s="159"/>
      <c r="L65" s="520"/>
    </row>
    <row r="66" spans="1:12" ht="24">
      <c r="A66" s="1091"/>
      <c r="B66" s="61"/>
      <c r="C66" s="61"/>
      <c r="D66" s="62"/>
      <c r="E66" s="1089"/>
      <c r="F66" s="159"/>
      <c r="G66" s="156"/>
      <c r="H66" s="161"/>
      <c r="I66" s="156"/>
      <c r="J66" s="161"/>
      <c r="K66" s="159"/>
      <c r="L66" s="520"/>
    </row>
    <row r="67" spans="1:12" ht="24">
      <c r="A67" s="1091"/>
      <c r="B67" s="61"/>
      <c r="C67" s="61"/>
      <c r="D67" s="62"/>
      <c r="E67" s="1089"/>
      <c r="F67" s="159"/>
      <c r="G67" s="156"/>
      <c r="H67" s="161"/>
      <c r="I67" s="156"/>
      <c r="J67" s="161"/>
      <c r="K67" s="159"/>
      <c r="L67" s="520"/>
    </row>
    <row r="68" spans="1:12" ht="24">
      <c r="A68" s="1091"/>
      <c r="B68" s="61"/>
      <c r="C68" s="61"/>
      <c r="D68" s="62"/>
      <c r="E68" s="1089"/>
      <c r="F68" s="159"/>
      <c r="G68" s="156"/>
      <c r="H68" s="161"/>
      <c r="I68" s="156"/>
      <c r="J68" s="161"/>
      <c r="K68" s="159"/>
      <c r="L68" s="520"/>
    </row>
    <row r="69" spans="1:12" ht="24">
      <c r="A69" s="1091"/>
      <c r="B69" s="61"/>
      <c r="C69" s="61"/>
      <c r="D69" s="62"/>
      <c r="E69" s="1089"/>
      <c r="F69" s="159"/>
      <c r="G69" s="156"/>
      <c r="H69" s="161"/>
      <c r="I69" s="156"/>
      <c r="J69" s="161"/>
      <c r="K69" s="159"/>
      <c r="L69" s="520"/>
    </row>
    <row r="70" spans="1:12" ht="24">
      <c r="A70" s="1091"/>
      <c r="B70" s="61"/>
      <c r="C70" s="61"/>
      <c r="D70" s="62"/>
      <c r="E70" s="1089"/>
      <c r="F70" s="159"/>
      <c r="G70" s="156"/>
      <c r="H70" s="161"/>
      <c r="I70" s="156"/>
      <c r="J70" s="161"/>
      <c r="K70" s="159"/>
      <c r="L70" s="520"/>
    </row>
    <row r="71" spans="1:12" ht="24.75" thickBot="1">
      <c r="A71" s="1104"/>
      <c r="B71" s="1105"/>
      <c r="C71" s="1105"/>
      <c r="D71" s="1106"/>
      <c r="E71" s="232"/>
      <c r="F71" s="1107"/>
      <c r="G71" s="233"/>
      <c r="H71" s="1108"/>
      <c r="I71" s="233"/>
      <c r="J71" s="1108"/>
      <c r="K71" s="1107"/>
      <c r="L71" s="644"/>
    </row>
    <row r="72" spans="1:12" ht="24.75" thickTop="1">
      <c r="A72" s="607"/>
      <c r="B72" s="2121" t="s">
        <v>2333</v>
      </c>
      <c r="C72" s="2122"/>
      <c r="D72" s="2123"/>
      <c r="E72" s="1141"/>
      <c r="F72" s="609"/>
      <c r="G72" s="610"/>
      <c r="H72" s="518"/>
      <c r="I72" s="611"/>
      <c r="J72" s="518"/>
      <c r="K72" s="506"/>
      <c r="L72" s="1487"/>
    </row>
  </sheetData>
  <mergeCells count="17">
    <mergeCell ref="K4:L4"/>
    <mergeCell ref="D6:E6"/>
    <mergeCell ref="L6:L7"/>
    <mergeCell ref="A8:A9"/>
    <mergeCell ref="B8:D9"/>
    <mergeCell ref="E8:E9"/>
    <mergeCell ref="F8:F9"/>
    <mergeCell ref="G8:H8"/>
    <mergeCell ref="I8:J8"/>
    <mergeCell ref="L8:L9"/>
    <mergeCell ref="B72:D72"/>
    <mergeCell ref="B10:D10"/>
    <mergeCell ref="B30:D30"/>
    <mergeCell ref="B31:D31"/>
    <mergeCell ref="B36:D36"/>
    <mergeCell ref="B51:D51"/>
    <mergeCell ref="B61:D61"/>
  </mergeCells>
  <printOptions horizontalCentered="1"/>
  <pageMargins left="0" right="0" top="0.35433070866141736" bottom="0.35433070866141736" header="0.31496062992125984" footer="0.31496062992125984"/>
  <pageSetup paperSize="9" scale="80" orientation="landscape" r:id="rId1"/>
  <headerFooter>
    <oddHeader xml:space="preserve">&amp;Rแผ่นที่ &amp;P ใน &amp;N แผ่น            </oddHeader>
    <oddFooter xml:space="preserve">&amp;Rงานภูมิทัศน์ - อาคารส่วนกีฬาและสระว่ายน้ำ                   </oddFooter>
  </headerFooter>
  <rowBreaks count="2" manualBreakCount="2">
    <brk id="30" max="16383" man="1"/>
    <brk id="5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L93"/>
  <sheetViews>
    <sheetView showGridLines="0" view="pageBreakPreview" topLeftCell="B1" zoomScaleNormal="80" zoomScaleSheetLayoutView="100" workbookViewId="0">
      <selection activeCell="J21" sqref="J21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11.42578125" style="361" customWidth="1"/>
    <col min="6" max="6" width="9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384" width="9.140625" style="36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1907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111" t="s">
        <v>485</v>
      </c>
      <c r="E6" s="2111"/>
      <c r="F6" s="2111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4.25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7</v>
      </c>
      <c r="B10" s="2025" t="s">
        <v>2334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/>
      <c r="B11" s="53" t="s">
        <v>2335</v>
      </c>
      <c r="C11" s="54"/>
      <c r="D11" s="55"/>
      <c r="E11" s="56"/>
      <c r="F11" s="57"/>
      <c r="G11" s="112"/>
      <c r="H11" s="161"/>
      <c r="I11" s="160"/>
      <c r="J11" s="161"/>
      <c r="K11" s="159"/>
      <c r="L11" s="58"/>
    </row>
    <row r="12" spans="1:12" ht="24">
      <c r="A12" s="1156">
        <v>7.1</v>
      </c>
      <c r="B12" s="1157" t="s">
        <v>2336</v>
      </c>
      <c r="C12" s="1158"/>
      <c r="D12" s="1159"/>
      <c r="E12" s="498"/>
      <c r="F12" s="1160" t="s">
        <v>10</v>
      </c>
      <c r="G12" s="1161"/>
      <c r="H12" s="161"/>
      <c r="I12" s="1161"/>
      <c r="J12" s="161"/>
      <c r="K12" s="213"/>
      <c r="L12" s="1162"/>
    </row>
    <row r="13" spans="1:12" ht="24">
      <c r="A13" s="1163">
        <v>7.2</v>
      </c>
      <c r="B13" s="1164" t="s">
        <v>2337</v>
      </c>
      <c r="C13" s="1165"/>
      <c r="D13" s="1166"/>
      <c r="E13" s="1081"/>
      <c r="F13" s="1167" t="s">
        <v>10</v>
      </c>
      <c r="G13" s="470"/>
      <c r="H13" s="157"/>
      <c r="I13" s="470"/>
      <c r="J13" s="157"/>
      <c r="K13" s="213"/>
      <c r="L13" s="1169"/>
    </row>
    <row r="14" spans="1:12" ht="24">
      <c r="A14" s="1163">
        <v>7.3</v>
      </c>
      <c r="B14" s="1164" t="s">
        <v>2338</v>
      </c>
      <c r="C14" s="1165"/>
      <c r="D14" s="1166"/>
      <c r="E14" s="1081"/>
      <c r="F14" s="1167" t="s">
        <v>10</v>
      </c>
      <c r="G14" s="470"/>
      <c r="H14" s="157"/>
      <c r="I14" s="470"/>
      <c r="J14" s="157"/>
      <c r="K14" s="213"/>
      <c r="L14" s="1169"/>
    </row>
    <row r="15" spans="1:12" ht="24">
      <c r="A15" s="1172"/>
      <c r="B15" s="1164"/>
      <c r="C15" s="1165"/>
      <c r="D15" s="1170"/>
      <c r="E15" s="159"/>
      <c r="F15" s="1160"/>
      <c r="G15" s="1161"/>
      <c r="H15" s="161"/>
      <c r="I15" s="1161"/>
      <c r="J15" s="161"/>
      <c r="K15" s="213"/>
      <c r="L15" s="1162"/>
    </row>
    <row r="16" spans="1:12" ht="24">
      <c r="A16" s="1172"/>
      <c r="B16" s="1164"/>
      <c r="C16" s="1165"/>
      <c r="D16" s="1170"/>
      <c r="E16" s="159"/>
      <c r="F16" s="1160"/>
      <c r="G16" s="1161"/>
      <c r="H16" s="161"/>
      <c r="I16" s="1161"/>
      <c r="J16" s="161"/>
      <c r="K16" s="213"/>
      <c r="L16" s="1162"/>
    </row>
    <row r="17" spans="1:12" ht="24">
      <c r="A17" s="1172"/>
      <c r="B17" s="1164"/>
      <c r="C17" s="1165"/>
      <c r="D17" s="1170"/>
      <c r="E17" s="159"/>
      <c r="F17" s="1160"/>
      <c r="G17" s="1161"/>
      <c r="H17" s="161"/>
      <c r="I17" s="1161"/>
      <c r="J17" s="161"/>
      <c r="K17" s="213"/>
      <c r="L17" s="1162"/>
    </row>
    <row r="18" spans="1:12" ht="24">
      <c r="A18" s="1172"/>
      <c r="B18" s="1164"/>
      <c r="C18" s="1165"/>
      <c r="D18" s="1170"/>
      <c r="E18" s="159"/>
      <c r="F18" s="1160"/>
      <c r="G18" s="1161"/>
      <c r="H18" s="161"/>
      <c r="I18" s="1161"/>
      <c r="J18" s="161"/>
      <c r="K18" s="213"/>
      <c r="L18" s="1162"/>
    </row>
    <row r="19" spans="1:12" ht="24">
      <c r="A19" s="1172"/>
      <c r="B19" s="1164"/>
      <c r="C19" s="1165"/>
      <c r="D19" s="1170"/>
      <c r="E19" s="159"/>
      <c r="F19" s="1160"/>
      <c r="G19" s="1161"/>
      <c r="H19" s="161"/>
      <c r="I19" s="1161"/>
      <c r="J19" s="161"/>
      <c r="K19" s="213"/>
      <c r="L19" s="1162"/>
    </row>
    <row r="20" spans="1:12" ht="24">
      <c r="A20" s="1172"/>
      <c r="B20" s="1164"/>
      <c r="C20" s="1165"/>
      <c r="D20" s="1170"/>
      <c r="E20" s="159"/>
      <c r="F20" s="1160"/>
      <c r="G20" s="1161"/>
      <c r="H20" s="161"/>
      <c r="I20" s="1161"/>
      <c r="J20" s="161"/>
      <c r="K20" s="213"/>
      <c r="L20" s="1162"/>
    </row>
    <row r="21" spans="1:12" ht="24">
      <c r="A21" s="1171"/>
      <c r="B21" s="1164"/>
      <c r="C21" s="1165"/>
      <c r="D21" s="1170"/>
      <c r="E21" s="159"/>
      <c r="F21" s="1160"/>
      <c r="G21" s="1161"/>
      <c r="H21" s="161"/>
      <c r="I21" s="1161"/>
      <c r="J21" s="161"/>
      <c r="K21" s="213"/>
      <c r="L21" s="1162"/>
    </row>
    <row r="22" spans="1:12" ht="24">
      <c r="A22" s="1171"/>
      <c r="B22" s="1164"/>
      <c r="C22" s="1165"/>
      <c r="D22" s="1170"/>
      <c r="E22" s="159"/>
      <c r="F22" s="1160"/>
      <c r="G22" s="1161"/>
      <c r="H22" s="161"/>
      <c r="I22" s="1161"/>
      <c r="J22" s="161"/>
      <c r="K22" s="213"/>
      <c r="L22" s="1162"/>
    </row>
    <row r="23" spans="1:12" ht="24">
      <c r="A23" s="1172"/>
      <c r="B23" s="1173"/>
      <c r="C23" s="1165"/>
      <c r="D23" s="1170"/>
      <c r="E23" s="159"/>
      <c r="F23" s="1160"/>
      <c r="G23" s="1161"/>
      <c r="H23" s="161"/>
      <c r="I23" s="1161"/>
      <c r="J23" s="161"/>
      <c r="K23" s="159"/>
      <c r="L23" s="1162"/>
    </row>
    <row r="24" spans="1:12" ht="24">
      <c r="A24" s="1172"/>
      <c r="B24" s="1173"/>
      <c r="C24" s="1165"/>
      <c r="D24" s="1170"/>
      <c r="E24" s="159"/>
      <c r="F24" s="1160"/>
      <c r="G24" s="1161"/>
      <c r="H24" s="161"/>
      <c r="I24" s="1161"/>
      <c r="J24" s="161"/>
      <c r="K24" s="159"/>
      <c r="L24" s="1162"/>
    </row>
    <row r="25" spans="1:12" ht="24">
      <c r="A25" s="1172"/>
      <c r="B25" s="1173"/>
      <c r="C25" s="1165"/>
      <c r="D25" s="1170"/>
      <c r="E25" s="159"/>
      <c r="F25" s="1160"/>
      <c r="G25" s="1161"/>
      <c r="H25" s="161"/>
      <c r="I25" s="1161"/>
      <c r="J25" s="161"/>
      <c r="K25" s="159"/>
      <c r="L25" s="1162"/>
    </row>
    <row r="26" spans="1:12" ht="24">
      <c r="A26" s="1172"/>
      <c r="B26" s="1173"/>
      <c r="C26" s="1165"/>
      <c r="D26" s="1170"/>
      <c r="E26" s="159"/>
      <c r="F26" s="1160"/>
      <c r="G26" s="1161"/>
      <c r="H26" s="161"/>
      <c r="I26" s="1161"/>
      <c r="J26" s="161"/>
      <c r="K26" s="159"/>
      <c r="L26" s="1162"/>
    </row>
    <row r="27" spans="1:12" ht="24">
      <c r="A27" s="1172"/>
      <c r="B27" s="1173"/>
      <c r="C27" s="1165"/>
      <c r="D27" s="1170"/>
      <c r="E27" s="159"/>
      <c r="F27" s="1160"/>
      <c r="G27" s="1161"/>
      <c r="H27" s="161"/>
      <c r="I27" s="1161"/>
      <c r="J27" s="161"/>
      <c r="K27" s="159"/>
      <c r="L27" s="1162"/>
    </row>
    <row r="28" spans="1:12" ht="24">
      <c r="A28" s="1174"/>
      <c r="B28" s="1173"/>
      <c r="C28" s="1165"/>
      <c r="D28" s="1170"/>
      <c r="E28" s="159"/>
      <c r="F28" s="1160"/>
      <c r="G28" s="1161"/>
      <c r="H28" s="161"/>
      <c r="I28" s="1161"/>
      <c r="J28" s="161"/>
      <c r="K28" s="159"/>
      <c r="L28" s="1162"/>
    </row>
    <row r="29" spans="1:12" ht="24">
      <c r="A29" s="1175"/>
      <c r="B29" s="1176"/>
      <c r="C29" s="1177"/>
      <c r="D29" s="1178"/>
      <c r="E29" s="1107"/>
      <c r="F29" s="1179"/>
      <c r="G29" s="1180"/>
      <c r="H29" s="1108"/>
      <c r="I29" s="1180"/>
      <c r="J29" s="1108"/>
      <c r="K29" s="1107"/>
      <c r="L29" s="1181"/>
    </row>
    <row r="30" spans="1:12" ht="23.25">
      <c r="A30" s="1182"/>
      <c r="B30" s="2173" t="s">
        <v>69</v>
      </c>
      <c r="C30" s="2174"/>
      <c r="D30" s="2175"/>
      <c r="E30" s="1183"/>
      <c r="F30" s="1184"/>
      <c r="G30" s="1185"/>
      <c r="H30" s="1186"/>
      <c r="I30" s="1185"/>
      <c r="J30" s="1186"/>
      <c r="K30" s="1187"/>
      <c r="L30" s="1488"/>
    </row>
    <row r="31" spans="1:12" ht="24">
      <c r="A31" s="1189">
        <v>7.1</v>
      </c>
      <c r="B31" s="2096" t="s">
        <v>2339</v>
      </c>
      <c r="C31" s="2097"/>
      <c r="D31" s="2098"/>
      <c r="E31" s="1190"/>
      <c r="F31" s="1191"/>
      <c r="G31" s="1192"/>
      <c r="H31" s="618"/>
      <c r="I31" s="1192"/>
      <c r="J31" s="618"/>
      <c r="K31" s="620"/>
      <c r="L31" s="1193"/>
    </row>
    <row r="32" spans="1:12" ht="24">
      <c r="A32" s="1156" t="s">
        <v>1897</v>
      </c>
      <c r="B32" s="2107" t="s">
        <v>2340</v>
      </c>
      <c r="C32" s="2108"/>
      <c r="D32" s="2109"/>
      <c r="E32" s="159"/>
      <c r="F32" s="1160" t="s">
        <v>541</v>
      </c>
      <c r="G32" s="1161"/>
      <c r="H32" s="161"/>
      <c r="I32" s="1161"/>
      <c r="J32" s="161"/>
      <c r="K32" s="159"/>
      <c r="L32" s="1162"/>
    </row>
    <row r="33" spans="1:12" ht="24">
      <c r="A33" s="1198"/>
      <c r="B33" s="2107" t="s">
        <v>2341</v>
      </c>
      <c r="C33" s="2108"/>
      <c r="D33" s="2109"/>
      <c r="E33" s="159"/>
      <c r="F33" s="1167"/>
      <c r="G33" s="1161"/>
      <c r="H33" s="161"/>
      <c r="I33" s="1161"/>
      <c r="J33" s="161"/>
      <c r="K33" s="159"/>
      <c r="L33" s="1169"/>
    </row>
    <row r="34" spans="1:12" ht="24">
      <c r="A34" s="1163" t="s">
        <v>2342</v>
      </c>
      <c r="B34" s="2107" t="s">
        <v>2343</v>
      </c>
      <c r="C34" s="2108"/>
      <c r="D34" s="2109"/>
      <c r="E34" s="159"/>
      <c r="F34" s="1167" t="s">
        <v>541</v>
      </c>
      <c r="G34" s="1161"/>
      <c r="H34" s="161"/>
      <c r="I34" s="1161"/>
      <c r="J34" s="161"/>
      <c r="K34" s="159"/>
      <c r="L34" s="1169"/>
    </row>
    <row r="35" spans="1:12" ht="24">
      <c r="A35" s="1163" t="s">
        <v>2344</v>
      </c>
      <c r="B35" s="2107" t="s">
        <v>2345</v>
      </c>
      <c r="C35" s="2108"/>
      <c r="D35" s="2109"/>
      <c r="E35" s="159"/>
      <c r="F35" s="1167" t="s">
        <v>541</v>
      </c>
      <c r="G35" s="1161"/>
      <c r="H35" s="161"/>
      <c r="I35" s="1161"/>
      <c r="J35" s="161"/>
      <c r="K35" s="159"/>
      <c r="L35" s="1169"/>
    </row>
    <row r="36" spans="1:12" ht="24">
      <c r="A36" s="1163" t="s">
        <v>2346</v>
      </c>
      <c r="B36" s="2093" t="s">
        <v>2347</v>
      </c>
      <c r="C36" s="2094"/>
      <c r="D36" s="2095"/>
      <c r="E36" s="159"/>
      <c r="F36" s="1167" t="s">
        <v>546</v>
      </c>
      <c r="G36" s="1161"/>
      <c r="H36" s="161"/>
      <c r="I36" s="1161"/>
      <c r="J36" s="161"/>
      <c r="K36" s="159"/>
      <c r="L36" s="1169"/>
    </row>
    <row r="37" spans="1:12" ht="24">
      <c r="A37" s="1163" t="s">
        <v>2348</v>
      </c>
      <c r="B37" s="2093" t="s">
        <v>2349</v>
      </c>
      <c r="C37" s="2094"/>
      <c r="D37" s="2095"/>
      <c r="E37" s="159"/>
      <c r="F37" s="1167" t="s">
        <v>546</v>
      </c>
      <c r="G37" s="1161"/>
      <c r="H37" s="161"/>
      <c r="I37" s="1161"/>
      <c r="J37" s="161"/>
      <c r="K37" s="159"/>
      <c r="L37" s="1162"/>
    </row>
    <row r="38" spans="1:12" ht="24">
      <c r="A38" s="1163" t="s">
        <v>2350</v>
      </c>
      <c r="B38" s="2093" t="s">
        <v>2351</v>
      </c>
      <c r="C38" s="2094"/>
      <c r="D38" s="2095"/>
      <c r="E38" s="159"/>
      <c r="F38" s="1167" t="s">
        <v>546</v>
      </c>
      <c r="G38" s="1161"/>
      <c r="H38" s="161"/>
      <c r="I38" s="1161"/>
      <c r="J38" s="161"/>
      <c r="K38" s="159"/>
      <c r="L38" s="1162"/>
    </row>
    <row r="39" spans="1:12" ht="24">
      <c r="A39" s="1163" t="s">
        <v>2352</v>
      </c>
      <c r="B39" s="2093" t="s">
        <v>2353</v>
      </c>
      <c r="C39" s="2094"/>
      <c r="D39" s="2095"/>
      <c r="E39" s="159"/>
      <c r="F39" s="1167" t="s">
        <v>546</v>
      </c>
      <c r="G39" s="1161"/>
      <c r="H39" s="161"/>
      <c r="I39" s="1161"/>
      <c r="J39" s="161"/>
      <c r="K39" s="159"/>
      <c r="L39" s="1162"/>
    </row>
    <row r="40" spans="1:12" ht="24">
      <c r="A40" s="1163" t="s">
        <v>2354</v>
      </c>
      <c r="B40" s="2093" t="s">
        <v>2355</v>
      </c>
      <c r="C40" s="2094"/>
      <c r="D40" s="2095"/>
      <c r="E40" s="159"/>
      <c r="F40" s="1167" t="s">
        <v>546</v>
      </c>
      <c r="G40" s="1161"/>
      <c r="H40" s="161"/>
      <c r="I40" s="1161"/>
      <c r="J40" s="161"/>
      <c r="K40" s="159"/>
      <c r="L40" s="1162"/>
    </row>
    <row r="41" spans="1:12" ht="24">
      <c r="A41" s="1163" t="s">
        <v>2356</v>
      </c>
      <c r="B41" s="2093" t="s">
        <v>2357</v>
      </c>
      <c r="C41" s="2094"/>
      <c r="D41" s="2095"/>
      <c r="E41" s="159"/>
      <c r="F41" s="1160" t="s">
        <v>183</v>
      </c>
      <c r="G41" s="1161"/>
      <c r="H41" s="161"/>
      <c r="I41" s="1161"/>
      <c r="J41" s="161"/>
      <c r="K41" s="159"/>
      <c r="L41" s="1162"/>
    </row>
    <row r="42" spans="1:12" ht="24">
      <c r="A42" s="1163" t="s">
        <v>2358</v>
      </c>
      <c r="B42" s="2093" t="s">
        <v>2359</v>
      </c>
      <c r="C42" s="2094"/>
      <c r="D42" s="2095"/>
      <c r="E42" s="159"/>
      <c r="F42" s="1160" t="s">
        <v>559</v>
      </c>
      <c r="G42" s="1161"/>
      <c r="H42" s="161"/>
      <c r="I42" s="1161"/>
      <c r="J42" s="161"/>
      <c r="K42" s="159"/>
      <c r="L42" s="1162"/>
    </row>
    <row r="43" spans="1:12" ht="24">
      <c r="A43" s="1163" t="s">
        <v>2360</v>
      </c>
      <c r="B43" s="2093" t="s">
        <v>2361</v>
      </c>
      <c r="C43" s="2094"/>
      <c r="D43" s="2095"/>
      <c r="E43" s="159"/>
      <c r="F43" s="1160"/>
      <c r="G43" s="1161"/>
      <c r="H43" s="161"/>
      <c r="I43" s="1161"/>
      <c r="J43" s="161"/>
      <c r="K43" s="159"/>
      <c r="L43" s="1162"/>
    </row>
    <row r="44" spans="1:12" ht="24">
      <c r="A44" s="1163"/>
      <c r="B44" s="2093" t="s">
        <v>563</v>
      </c>
      <c r="C44" s="2094"/>
      <c r="D44" s="2095"/>
      <c r="E44" s="159"/>
      <c r="F44" s="1160" t="s">
        <v>559</v>
      </c>
      <c r="G44" s="413"/>
      <c r="H44" s="161"/>
      <c r="I44" s="1161"/>
      <c r="J44" s="161"/>
      <c r="K44" s="159"/>
      <c r="L44" s="1162"/>
    </row>
    <row r="45" spans="1:12" ht="24">
      <c r="A45" s="1163"/>
      <c r="B45" s="2093" t="s">
        <v>564</v>
      </c>
      <c r="C45" s="2094"/>
      <c r="D45" s="2095"/>
      <c r="E45" s="159"/>
      <c r="F45" s="1160" t="s">
        <v>559</v>
      </c>
      <c r="G45" s="413"/>
      <c r="H45" s="161"/>
      <c r="I45" s="1161"/>
      <c r="J45" s="161"/>
      <c r="K45" s="159"/>
      <c r="L45" s="1162"/>
    </row>
    <row r="46" spans="1:12" ht="24">
      <c r="A46" s="1163"/>
      <c r="B46" s="2093" t="s">
        <v>565</v>
      </c>
      <c r="C46" s="2094"/>
      <c r="D46" s="2095"/>
      <c r="E46" s="159"/>
      <c r="F46" s="1160" t="s">
        <v>559</v>
      </c>
      <c r="G46" s="413"/>
      <c r="H46" s="161"/>
      <c r="I46" s="1161"/>
      <c r="J46" s="161"/>
      <c r="K46" s="159"/>
      <c r="L46" s="1162"/>
    </row>
    <row r="47" spans="1:12" ht="24">
      <c r="A47" s="1210"/>
      <c r="B47" s="2093" t="s">
        <v>566</v>
      </c>
      <c r="C47" s="2094"/>
      <c r="D47" s="2095"/>
      <c r="E47" s="159"/>
      <c r="F47" s="1160" t="s">
        <v>559</v>
      </c>
      <c r="G47" s="413"/>
      <c r="H47" s="161"/>
      <c r="I47" s="1161"/>
      <c r="J47" s="161"/>
      <c r="K47" s="159"/>
      <c r="L47" s="1162"/>
    </row>
    <row r="48" spans="1:12" ht="24">
      <c r="A48" s="1210" t="s">
        <v>2362</v>
      </c>
      <c r="B48" s="2093" t="s">
        <v>2363</v>
      </c>
      <c r="C48" s="2094"/>
      <c r="D48" s="2095"/>
      <c r="E48" s="159"/>
      <c r="F48" s="1160" t="s">
        <v>559</v>
      </c>
      <c r="G48" s="1161"/>
      <c r="H48" s="161"/>
      <c r="I48" s="1161"/>
      <c r="J48" s="161"/>
      <c r="K48" s="159"/>
      <c r="L48" s="1162"/>
    </row>
    <row r="49" spans="1:12" ht="24">
      <c r="A49" s="1210" t="s">
        <v>2364</v>
      </c>
      <c r="B49" s="2093" t="s">
        <v>2365</v>
      </c>
      <c r="C49" s="2094"/>
      <c r="D49" s="2095"/>
      <c r="E49" s="159"/>
      <c r="F49" s="1160" t="s">
        <v>184</v>
      </c>
      <c r="G49" s="1161"/>
      <c r="H49" s="161"/>
      <c r="I49" s="1161"/>
      <c r="J49" s="161"/>
      <c r="K49" s="159"/>
      <c r="L49" s="1162"/>
    </row>
    <row r="50" spans="1:12" ht="24">
      <c r="A50" s="1175"/>
      <c r="B50" s="1176"/>
      <c r="C50" s="1177"/>
      <c r="D50" s="1178"/>
      <c r="E50" s="1107"/>
      <c r="F50" s="1179"/>
      <c r="G50" s="1180"/>
      <c r="H50" s="1108"/>
      <c r="I50" s="1180"/>
      <c r="J50" s="1108"/>
      <c r="K50" s="1107"/>
      <c r="L50" s="1181"/>
    </row>
    <row r="51" spans="1:12" ht="23.25">
      <c r="A51" s="1182"/>
      <c r="B51" s="2173" t="s">
        <v>1906</v>
      </c>
      <c r="C51" s="2174"/>
      <c r="D51" s="2175"/>
      <c r="E51" s="1183"/>
      <c r="F51" s="1184"/>
      <c r="G51" s="1185"/>
      <c r="H51" s="1186"/>
      <c r="I51" s="1185"/>
      <c r="J51" s="1186"/>
      <c r="K51" s="1187"/>
      <c r="L51" s="1488"/>
    </row>
    <row r="52" spans="1:12" ht="24">
      <c r="A52" s="1216">
        <v>7.2</v>
      </c>
      <c r="B52" s="2087" t="s">
        <v>2366</v>
      </c>
      <c r="C52" s="2088"/>
      <c r="D52" s="2089"/>
      <c r="E52" s="1221"/>
      <c r="F52" s="1218"/>
      <c r="G52" s="1010"/>
      <c r="H52" s="1220"/>
      <c r="I52" s="1010"/>
      <c r="J52" s="1220"/>
      <c r="K52" s="1221"/>
      <c r="L52" s="1222"/>
    </row>
    <row r="53" spans="1:12" ht="24">
      <c r="A53" s="1223" t="s">
        <v>2367</v>
      </c>
      <c r="B53" s="1489" t="s">
        <v>2368</v>
      </c>
      <c r="C53" s="1490"/>
      <c r="D53" s="1491"/>
      <c r="E53" s="155"/>
      <c r="F53" s="469" t="s">
        <v>183</v>
      </c>
      <c r="G53" s="470"/>
      <c r="H53" s="157"/>
      <c r="I53" s="470"/>
      <c r="J53" s="157"/>
      <c r="K53" s="158"/>
      <c r="L53" s="107"/>
    </row>
    <row r="54" spans="1:12" ht="24">
      <c r="A54" s="1156" t="s">
        <v>2369</v>
      </c>
      <c r="B54" s="1489" t="s">
        <v>2370</v>
      </c>
      <c r="C54" s="1490"/>
      <c r="D54" s="1491"/>
      <c r="E54" s="155"/>
      <c r="F54" s="469" t="s">
        <v>183</v>
      </c>
      <c r="G54" s="470"/>
      <c r="H54" s="157"/>
      <c r="I54" s="470"/>
      <c r="J54" s="157"/>
      <c r="K54" s="158"/>
      <c r="L54" s="1162"/>
    </row>
    <row r="55" spans="1:12" ht="24">
      <c r="A55" s="1156" t="s">
        <v>2371</v>
      </c>
      <c r="B55" s="1489" t="s">
        <v>2372</v>
      </c>
      <c r="C55" s="1490"/>
      <c r="D55" s="1491"/>
      <c r="E55" s="155"/>
      <c r="F55" s="469" t="s">
        <v>183</v>
      </c>
      <c r="G55" s="470"/>
      <c r="H55" s="157"/>
      <c r="I55" s="470"/>
      <c r="J55" s="157"/>
      <c r="K55" s="158"/>
      <c r="L55" s="1169"/>
    </row>
    <row r="56" spans="1:12" ht="24">
      <c r="A56" s="1156" t="s">
        <v>2373</v>
      </c>
      <c r="B56" s="1266" t="s">
        <v>2374</v>
      </c>
      <c r="C56" s="246"/>
      <c r="D56" s="1492"/>
      <c r="E56" s="155"/>
      <c r="F56" s="469" t="s">
        <v>183</v>
      </c>
      <c r="G56" s="470"/>
      <c r="H56" s="157"/>
      <c r="I56" s="470"/>
      <c r="J56" s="157"/>
      <c r="K56" s="158"/>
      <c r="L56" s="1169"/>
    </row>
    <row r="57" spans="1:12" ht="24">
      <c r="A57" s="1493"/>
      <c r="B57" s="2093"/>
      <c r="C57" s="2094"/>
      <c r="D57" s="2095"/>
      <c r="E57" s="155"/>
      <c r="F57" s="1160"/>
      <c r="G57" s="470"/>
      <c r="H57" s="157"/>
      <c r="I57" s="470"/>
      <c r="J57" s="157"/>
      <c r="K57" s="158"/>
      <c r="L57" s="1162"/>
    </row>
    <row r="58" spans="1:12" ht="24">
      <c r="A58" s="1493"/>
      <c r="B58" s="1494"/>
      <c r="C58" s="1164"/>
      <c r="D58" s="1235"/>
      <c r="E58" s="155"/>
      <c r="F58" s="1160"/>
      <c r="G58" s="470"/>
      <c r="H58" s="157"/>
      <c r="I58" s="470"/>
      <c r="J58" s="157"/>
      <c r="K58" s="158"/>
      <c r="L58" s="1162"/>
    </row>
    <row r="59" spans="1:12" ht="24">
      <c r="A59" s="1493"/>
      <c r="B59" s="1494"/>
      <c r="C59" s="1164"/>
      <c r="D59" s="1235"/>
      <c r="E59" s="155"/>
      <c r="F59" s="1160"/>
      <c r="G59" s="470"/>
      <c r="H59" s="157"/>
      <c r="I59" s="470"/>
      <c r="J59" s="157"/>
      <c r="K59" s="158"/>
      <c r="L59" s="1162"/>
    </row>
    <row r="60" spans="1:12" ht="24">
      <c r="A60" s="1493"/>
      <c r="B60" s="1494"/>
      <c r="C60" s="1164"/>
      <c r="D60" s="1235"/>
      <c r="E60" s="155"/>
      <c r="F60" s="1160"/>
      <c r="G60" s="470"/>
      <c r="H60" s="157"/>
      <c r="I60" s="470"/>
      <c r="J60" s="157"/>
      <c r="K60" s="158"/>
      <c r="L60" s="1162"/>
    </row>
    <row r="61" spans="1:12" ht="24">
      <c r="A61" s="1493"/>
      <c r="B61" s="1494"/>
      <c r="C61" s="1164"/>
      <c r="D61" s="1235"/>
      <c r="E61" s="155"/>
      <c r="F61" s="1160"/>
      <c r="G61" s="470"/>
      <c r="H61" s="157"/>
      <c r="I61" s="470"/>
      <c r="J61" s="157"/>
      <c r="K61" s="158"/>
      <c r="L61" s="1162"/>
    </row>
    <row r="62" spans="1:12" ht="24">
      <c r="A62" s="1493"/>
      <c r="B62" s="1494"/>
      <c r="C62" s="1164"/>
      <c r="D62" s="1235"/>
      <c r="E62" s="155"/>
      <c r="F62" s="1160"/>
      <c r="G62" s="470"/>
      <c r="H62" s="157"/>
      <c r="I62" s="470"/>
      <c r="J62" s="157"/>
      <c r="K62" s="158"/>
      <c r="L62" s="1162"/>
    </row>
    <row r="63" spans="1:12" ht="24">
      <c r="A63" s="1493"/>
      <c r="B63" s="1494"/>
      <c r="C63" s="1164"/>
      <c r="D63" s="1235"/>
      <c r="E63" s="155"/>
      <c r="F63" s="1160"/>
      <c r="G63" s="470"/>
      <c r="H63" s="157"/>
      <c r="I63" s="470"/>
      <c r="J63" s="157"/>
      <c r="K63" s="158"/>
      <c r="L63" s="1162"/>
    </row>
    <row r="64" spans="1:12" ht="24">
      <c r="A64" s="1493"/>
      <c r="B64" s="1494"/>
      <c r="C64" s="1164"/>
      <c r="D64" s="1235"/>
      <c r="E64" s="155"/>
      <c r="F64" s="1160"/>
      <c r="G64" s="470"/>
      <c r="H64" s="157"/>
      <c r="I64" s="470"/>
      <c r="J64" s="157"/>
      <c r="K64" s="158"/>
      <c r="L64" s="1162"/>
    </row>
    <row r="65" spans="1:12" ht="24">
      <c r="A65" s="1493"/>
      <c r="B65" s="1494"/>
      <c r="C65" s="1164"/>
      <c r="D65" s="1235"/>
      <c r="E65" s="155"/>
      <c r="F65" s="1160"/>
      <c r="G65" s="470"/>
      <c r="H65" s="157"/>
      <c r="I65" s="470"/>
      <c r="J65" s="157"/>
      <c r="K65" s="158"/>
      <c r="L65" s="1162"/>
    </row>
    <row r="66" spans="1:12" ht="24">
      <c r="A66" s="1493"/>
      <c r="B66" s="1494"/>
      <c r="C66" s="1164"/>
      <c r="D66" s="1235"/>
      <c r="E66" s="155"/>
      <c r="F66" s="1160"/>
      <c r="G66" s="470"/>
      <c r="H66" s="157"/>
      <c r="I66" s="470"/>
      <c r="J66" s="157"/>
      <c r="K66" s="158"/>
      <c r="L66" s="1162"/>
    </row>
    <row r="67" spans="1:12" ht="24">
      <c r="A67" s="1493"/>
      <c r="B67" s="1494"/>
      <c r="C67" s="1164"/>
      <c r="D67" s="1235"/>
      <c r="E67" s="155"/>
      <c r="F67" s="1160"/>
      <c r="G67" s="470"/>
      <c r="H67" s="157"/>
      <c r="I67" s="470"/>
      <c r="J67" s="157"/>
      <c r="K67" s="158"/>
      <c r="L67" s="1162"/>
    </row>
    <row r="68" spans="1:12" ht="24">
      <c r="A68" s="1493"/>
      <c r="B68" s="1494"/>
      <c r="C68" s="1164"/>
      <c r="D68" s="1235"/>
      <c r="E68" s="155"/>
      <c r="F68" s="1160"/>
      <c r="G68" s="470"/>
      <c r="H68" s="157"/>
      <c r="I68" s="470"/>
      <c r="J68" s="157"/>
      <c r="K68" s="158"/>
      <c r="L68" s="1162"/>
    </row>
    <row r="69" spans="1:12" ht="24">
      <c r="A69" s="1493"/>
      <c r="B69" s="1494"/>
      <c r="C69" s="1164"/>
      <c r="D69" s="1235"/>
      <c r="E69" s="155"/>
      <c r="F69" s="1160"/>
      <c r="G69" s="470"/>
      <c r="H69" s="157"/>
      <c r="I69" s="470"/>
      <c r="J69" s="157"/>
      <c r="K69" s="158"/>
      <c r="L69" s="1162"/>
    </row>
    <row r="70" spans="1:12" ht="24">
      <c r="A70" s="1493"/>
      <c r="B70" s="2093"/>
      <c r="C70" s="2094"/>
      <c r="D70" s="2095"/>
      <c r="E70" s="155"/>
      <c r="F70" s="1160"/>
      <c r="G70" s="470"/>
      <c r="H70" s="157"/>
      <c r="I70" s="470"/>
      <c r="J70" s="157"/>
      <c r="K70" s="158"/>
      <c r="L70" s="1162"/>
    </row>
    <row r="71" spans="1:12" ht="24">
      <c r="A71" s="1175"/>
      <c r="B71" s="1176"/>
      <c r="C71" s="1177"/>
      <c r="D71" s="1178"/>
      <c r="E71" s="1107"/>
      <c r="F71" s="1179"/>
      <c r="G71" s="1180"/>
      <c r="H71" s="1108"/>
      <c r="I71" s="1180"/>
      <c r="J71" s="1108"/>
      <c r="K71" s="1107"/>
      <c r="L71" s="1181"/>
    </row>
    <row r="72" spans="1:12" ht="23.25">
      <c r="A72" s="1182"/>
      <c r="B72" s="2173" t="s">
        <v>2375</v>
      </c>
      <c r="C72" s="2174"/>
      <c r="D72" s="2175"/>
      <c r="E72" s="1183"/>
      <c r="F72" s="1184"/>
      <c r="G72" s="1185"/>
      <c r="H72" s="1186"/>
      <c r="I72" s="1185"/>
      <c r="J72" s="1186"/>
      <c r="K72" s="1187"/>
      <c r="L72" s="1488"/>
    </row>
    <row r="73" spans="1:12" ht="24">
      <c r="A73" s="1243">
        <v>7.3</v>
      </c>
      <c r="B73" s="2096" t="s">
        <v>2376</v>
      </c>
      <c r="C73" s="2097"/>
      <c r="D73" s="2098"/>
      <c r="E73" s="1248"/>
      <c r="F73" s="1245"/>
      <c r="G73" s="1495"/>
      <c r="H73" s="1247"/>
      <c r="I73" s="1495"/>
      <c r="J73" s="1247"/>
      <c r="K73" s="1248"/>
      <c r="L73" s="1249"/>
    </row>
    <row r="74" spans="1:12" ht="24">
      <c r="A74" s="1163" t="s">
        <v>2377</v>
      </c>
      <c r="B74" s="1496" t="s">
        <v>2378</v>
      </c>
      <c r="C74" s="1497"/>
      <c r="D74" s="1498"/>
      <c r="E74" s="158"/>
      <c r="F74" s="1167" t="s">
        <v>183</v>
      </c>
      <c r="G74" s="470"/>
      <c r="H74" s="157"/>
      <c r="I74" s="470"/>
      <c r="J74" s="157"/>
      <c r="K74" s="158"/>
      <c r="L74" s="1169"/>
    </row>
    <row r="75" spans="1:12" ht="24">
      <c r="A75" s="1225" t="s">
        <v>2379</v>
      </c>
      <c r="B75" s="478" t="s">
        <v>2380</v>
      </c>
      <c r="C75" s="479"/>
      <c r="D75" s="480"/>
      <c r="E75" s="158"/>
      <c r="F75" s="1160" t="s">
        <v>546</v>
      </c>
      <c r="G75" s="470"/>
      <c r="H75" s="157"/>
      <c r="I75" s="470"/>
      <c r="J75" s="157"/>
      <c r="K75" s="158"/>
      <c r="L75" s="1162"/>
    </row>
    <row r="76" spans="1:12" ht="24">
      <c r="A76" s="1163" t="s">
        <v>2381</v>
      </c>
      <c r="B76" s="478" t="s">
        <v>2382</v>
      </c>
      <c r="C76" s="479"/>
      <c r="D76" s="480"/>
      <c r="E76" s="159"/>
      <c r="F76" s="1160" t="s">
        <v>546</v>
      </c>
      <c r="G76" s="1161"/>
      <c r="H76" s="161"/>
      <c r="I76" s="470"/>
      <c r="J76" s="161"/>
      <c r="K76" s="158"/>
      <c r="L76" s="1162"/>
    </row>
    <row r="77" spans="1:12" ht="24">
      <c r="A77" s="1225" t="s">
        <v>2383</v>
      </c>
      <c r="B77" s="2093" t="s">
        <v>2384</v>
      </c>
      <c r="C77" s="2094"/>
      <c r="D77" s="2095"/>
      <c r="E77" s="158"/>
      <c r="F77" s="1160" t="s">
        <v>546</v>
      </c>
      <c r="G77" s="470"/>
      <c r="H77" s="157"/>
      <c r="I77" s="470"/>
      <c r="J77" s="157"/>
      <c r="K77" s="158"/>
      <c r="L77" s="1162"/>
    </row>
    <row r="78" spans="1:12" ht="24">
      <c r="A78" s="1163" t="s">
        <v>2385</v>
      </c>
      <c r="B78" s="1496" t="s">
        <v>2357</v>
      </c>
      <c r="C78" s="1497"/>
      <c r="D78" s="1498"/>
      <c r="E78" s="158"/>
      <c r="F78" s="1160" t="s">
        <v>183</v>
      </c>
      <c r="G78" s="1161"/>
      <c r="H78" s="157"/>
      <c r="I78" s="1161"/>
      <c r="J78" s="157"/>
      <c r="K78" s="158"/>
      <c r="L78" s="1162"/>
    </row>
    <row r="79" spans="1:12" ht="24">
      <c r="A79" s="1163" t="s">
        <v>2386</v>
      </c>
      <c r="B79" s="1496" t="s">
        <v>2359</v>
      </c>
      <c r="C79" s="1497"/>
      <c r="D79" s="1498"/>
      <c r="E79" s="158"/>
      <c r="F79" s="1160" t="s">
        <v>559</v>
      </c>
      <c r="G79" s="1161"/>
      <c r="H79" s="157"/>
      <c r="I79" s="1161"/>
      <c r="J79" s="157"/>
      <c r="K79" s="158"/>
      <c r="L79" s="1162"/>
    </row>
    <row r="80" spans="1:12" ht="24">
      <c r="A80" s="1163" t="s">
        <v>2387</v>
      </c>
      <c r="B80" s="1496" t="s">
        <v>2388</v>
      </c>
      <c r="C80" s="1497"/>
      <c r="D80" s="1498"/>
      <c r="E80" s="158"/>
      <c r="F80" s="1160"/>
      <c r="G80" s="1161"/>
      <c r="H80" s="157"/>
      <c r="I80" s="1161"/>
      <c r="J80" s="157"/>
      <c r="K80" s="158"/>
      <c r="L80" s="1162"/>
    </row>
    <row r="81" spans="1:12" ht="24">
      <c r="A81" s="1163"/>
      <c r="B81" s="2093" t="s">
        <v>2389</v>
      </c>
      <c r="C81" s="2094"/>
      <c r="D81" s="2095"/>
      <c r="E81" s="158"/>
      <c r="F81" s="1160" t="s">
        <v>559</v>
      </c>
      <c r="G81" s="413"/>
      <c r="H81" s="157"/>
      <c r="I81" s="1161"/>
      <c r="J81" s="157"/>
      <c r="K81" s="158"/>
      <c r="L81" s="1162"/>
    </row>
    <row r="82" spans="1:12" ht="24">
      <c r="A82" s="1163"/>
      <c r="B82" s="478" t="s">
        <v>2390</v>
      </c>
      <c r="C82" s="479"/>
      <c r="D82" s="480"/>
      <c r="E82" s="158"/>
      <c r="F82" s="1160" t="s">
        <v>559</v>
      </c>
      <c r="G82" s="413"/>
      <c r="H82" s="157"/>
      <c r="I82" s="1161"/>
      <c r="J82" s="157"/>
      <c r="K82" s="158"/>
      <c r="L82" s="1162"/>
    </row>
    <row r="83" spans="1:12" ht="24">
      <c r="A83" s="1163"/>
      <c r="B83" s="478" t="s">
        <v>2391</v>
      </c>
      <c r="C83" s="479"/>
      <c r="D83" s="480"/>
      <c r="E83" s="158"/>
      <c r="F83" s="1160" t="s">
        <v>559</v>
      </c>
      <c r="G83" s="1161"/>
      <c r="H83" s="157"/>
      <c r="I83" s="1161"/>
      <c r="J83" s="157"/>
      <c r="K83" s="158"/>
      <c r="L83" s="1162"/>
    </row>
    <row r="84" spans="1:12" ht="24">
      <c r="A84" s="1163"/>
      <c r="B84" s="478" t="s">
        <v>2392</v>
      </c>
      <c r="C84" s="479"/>
      <c r="D84" s="480"/>
      <c r="E84" s="158"/>
      <c r="F84" s="1160"/>
      <c r="G84" s="1161"/>
      <c r="H84" s="157"/>
      <c r="I84" s="1161"/>
      <c r="J84" s="157"/>
      <c r="K84" s="158"/>
      <c r="L84" s="1162"/>
    </row>
    <row r="85" spans="1:12" ht="24">
      <c r="A85" s="1163"/>
      <c r="B85" s="1489" t="s">
        <v>2393</v>
      </c>
      <c r="C85" s="1490"/>
      <c r="D85" s="1491"/>
      <c r="E85" s="158"/>
      <c r="F85" s="1160" t="s">
        <v>183</v>
      </c>
      <c r="G85" s="1161"/>
      <c r="H85" s="157"/>
      <c r="I85" s="1161"/>
      <c r="J85" s="157"/>
      <c r="K85" s="158"/>
      <c r="L85" s="1162"/>
    </row>
    <row r="86" spans="1:12" ht="24">
      <c r="A86" s="1163" t="s">
        <v>2394</v>
      </c>
      <c r="B86" s="2093" t="s">
        <v>2363</v>
      </c>
      <c r="C86" s="2094"/>
      <c r="D86" s="2095"/>
      <c r="E86" s="158"/>
      <c r="F86" s="1160" t="s">
        <v>559</v>
      </c>
      <c r="G86" s="1161"/>
      <c r="H86" s="157"/>
      <c r="I86" s="1161"/>
      <c r="J86" s="157"/>
      <c r="K86" s="158"/>
      <c r="L86" s="1162"/>
    </row>
    <row r="87" spans="1:12" ht="24">
      <c r="A87" s="1163" t="s">
        <v>2395</v>
      </c>
      <c r="B87" s="1489" t="s">
        <v>2396</v>
      </c>
      <c r="C87" s="1490"/>
      <c r="D87" s="1491"/>
      <c r="E87" s="158"/>
      <c r="F87" s="1160" t="s">
        <v>183</v>
      </c>
      <c r="G87" s="1161"/>
      <c r="H87" s="157"/>
      <c r="I87" s="1161"/>
      <c r="J87" s="157"/>
      <c r="K87" s="158"/>
      <c r="L87" s="1162"/>
    </row>
    <row r="88" spans="1:12" ht="24">
      <c r="A88" s="1163" t="s">
        <v>2397</v>
      </c>
      <c r="B88" s="478" t="s">
        <v>2398</v>
      </c>
      <c r="C88" s="479"/>
      <c r="D88" s="480"/>
      <c r="E88" s="158"/>
      <c r="F88" s="1160" t="s">
        <v>184</v>
      </c>
      <c r="G88" s="1161"/>
      <c r="H88" s="157"/>
      <c r="I88" s="1161"/>
      <c r="J88" s="157"/>
      <c r="K88" s="158"/>
      <c r="L88" s="1162"/>
    </row>
    <row r="89" spans="1:12" ht="24">
      <c r="A89" s="1225"/>
      <c r="B89" s="479"/>
      <c r="C89" s="479"/>
      <c r="D89" s="480"/>
      <c r="E89" s="159"/>
      <c r="F89" s="1160"/>
      <c r="G89" s="1161"/>
      <c r="H89" s="161"/>
      <c r="I89" s="1161"/>
      <c r="J89" s="161"/>
      <c r="K89" s="159"/>
      <c r="L89" s="1162"/>
    </row>
    <row r="90" spans="1:12" ht="24">
      <c r="A90" s="1225"/>
      <c r="B90" s="479"/>
      <c r="C90" s="479"/>
      <c r="D90" s="480"/>
      <c r="E90" s="159"/>
      <c r="F90" s="1160"/>
      <c r="G90" s="1161"/>
      <c r="H90" s="161"/>
      <c r="I90" s="1161"/>
      <c r="J90" s="161"/>
      <c r="K90" s="159"/>
      <c r="L90" s="1162"/>
    </row>
    <row r="91" spans="1:12" ht="24">
      <c r="A91" s="1499"/>
      <c r="B91" s="1500"/>
      <c r="C91" s="1500"/>
      <c r="D91" s="1501"/>
      <c r="E91" s="232"/>
      <c r="F91" s="1502"/>
      <c r="G91" s="1503"/>
      <c r="H91" s="234"/>
      <c r="I91" s="1503"/>
      <c r="J91" s="234"/>
      <c r="K91" s="232"/>
      <c r="L91" s="1234"/>
    </row>
    <row r="92" spans="1:12" ht="24">
      <c r="A92" s="1175"/>
      <c r="B92" s="1176"/>
      <c r="C92" s="1177"/>
      <c r="D92" s="1178"/>
      <c r="E92" s="1107"/>
      <c r="F92" s="1179"/>
      <c r="G92" s="1180"/>
      <c r="H92" s="1108"/>
      <c r="I92" s="1180"/>
      <c r="J92" s="1108"/>
      <c r="K92" s="1107"/>
      <c r="L92" s="1181"/>
    </row>
    <row r="93" spans="1:12" ht="23.25">
      <c r="A93" s="1182"/>
      <c r="B93" s="2173" t="s">
        <v>2399</v>
      </c>
      <c r="C93" s="2174"/>
      <c r="D93" s="2175"/>
      <c r="E93" s="1183"/>
      <c r="F93" s="1184"/>
      <c r="G93" s="1185"/>
      <c r="H93" s="1186"/>
      <c r="I93" s="1185"/>
      <c r="J93" s="1186"/>
      <c r="K93" s="1187"/>
      <c r="L93" s="1488"/>
    </row>
  </sheetData>
  <mergeCells count="41">
    <mergeCell ref="K4:L4"/>
    <mergeCell ref="D6:F6"/>
    <mergeCell ref="L6:L7"/>
    <mergeCell ref="A8:A9"/>
    <mergeCell ref="B8:D9"/>
    <mergeCell ref="E8:E9"/>
    <mergeCell ref="F8:F9"/>
    <mergeCell ref="G8:H8"/>
    <mergeCell ref="I8:J8"/>
    <mergeCell ref="L8:L9"/>
    <mergeCell ref="B40:D40"/>
    <mergeCell ref="B10:D10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7:D57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93:D93"/>
    <mergeCell ref="B70:D70"/>
    <mergeCell ref="B72:D72"/>
    <mergeCell ref="B73:D73"/>
    <mergeCell ref="B77:D77"/>
    <mergeCell ref="B81:D81"/>
    <mergeCell ref="B86:D86"/>
  </mergeCells>
  <printOptions horizontalCentered="1"/>
  <pageMargins left="0" right="0" top="0.35433070866141736" bottom="0.47244094488188981" header="0.31496062992125984" footer="0.19685039370078741"/>
  <pageSetup paperSize="9" scale="80" orientation="landscape" r:id="rId1"/>
  <headerFooter>
    <oddHeader xml:space="preserve">&amp;Rแผ่นที่ &amp;P ใน &amp;N แผ่น            </oddHeader>
    <oddFooter xml:space="preserve">&amp;Rงานผังบริเวณและสิ่งก่อสร้างประกอบอื่นๆ          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L93"/>
  <sheetViews>
    <sheetView showGridLines="0" view="pageBreakPreview" topLeftCell="D1" zoomScaleNormal="80" zoomScaleSheetLayoutView="100" workbookViewId="0">
      <selection activeCell="K18" sqref="K18"/>
    </sheetView>
  </sheetViews>
  <sheetFormatPr defaultRowHeight="21.75"/>
  <cols>
    <col min="1" max="1" width="8.7109375" style="361" customWidth="1"/>
    <col min="2" max="2" width="7.42578125" style="361" customWidth="1"/>
    <col min="3" max="3" width="7.28515625" style="361" customWidth="1"/>
    <col min="4" max="4" width="51.5703125" style="361" customWidth="1"/>
    <col min="5" max="5" width="9.85546875" style="361" customWidth="1"/>
    <col min="6" max="6" width="9" style="361" customWidth="1"/>
    <col min="7" max="7" width="15.7109375" style="361" customWidth="1"/>
    <col min="8" max="8" width="17.42578125" style="361" customWidth="1"/>
    <col min="9" max="9" width="13.7109375" style="361" customWidth="1"/>
    <col min="10" max="10" width="15.7109375" style="361" customWidth="1"/>
    <col min="11" max="11" width="17.42578125" style="361" customWidth="1"/>
    <col min="12" max="12" width="15" style="361" customWidth="1"/>
    <col min="13" max="16384" width="9.140625" style="361"/>
  </cols>
  <sheetData>
    <row r="1" spans="1:12" ht="36.75" customHeight="1">
      <c r="E1" s="358" t="s">
        <v>62</v>
      </c>
      <c r="J1" s="125" t="s">
        <v>30</v>
      </c>
    </row>
    <row r="2" spans="1:12">
      <c r="A2" s="36" t="s">
        <v>43</v>
      </c>
      <c r="B2" s="369"/>
      <c r="C2" s="38"/>
      <c r="D2" s="38" t="s">
        <v>1907</v>
      </c>
      <c r="E2" s="39"/>
      <c r="F2" s="38"/>
      <c r="G2" s="38"/>
      <c r="H2" s="38"/>
      <c r="I2" s="369"/>
      <c r="J2" s="373"/>
      <c r="K2" s="373"/>
      <c r="L2" s="373"/>
    </row>
    <row r="3" spans="1:12">
      <c r="A3" s="41" t="s">
        <v>1299</v>
      </c>
      <c r="B3" s="374"/>
      <c r="C3" s="43"/>
      <c r="D3" s="43"/>
      <c r="E3" s="44"/>
      <c r="F3" s="43"/>
      <c r="G3" s="43"/>
      <c r="H3" s="43"/>
      <c r="I3" s="43"/>
      <c r="J3" s="364"/>
      <c r="K3" s="362"/>
      <c r="L3" s="363" t="s">
        <v>1993</v>
      </c>
    </row>
    <row r="4" spans="1:12">
      <c r="A4" s="41" t="s">
        <v>44</v>
      </c>
      <c r="B4" s="374"/>
      <c r="C4" s="43"/>
      <c r="D4" s="43" t="s">
        <v>522</v>
      </c>
      <c r="E4" s="44"/>
      <c r="F4" s="46"/>
      <c r="H4" s="47"/>
      <c r="I4" s="43"/>
      <c r="J4" s="364"/>
      <c r="K4" s="2191"/>
      <c r="L4" s="2191"/>
    </row>
    <row r="5" spans="1:12">
      <c r="A5" s="41" t="s">
        <v>523</v>
      </c>
      <c r="B5" s="374"/>
      <c r="C5" s="43"/>
      <c r="D5" s="43"/>
      <c r="E5" s="44"/>
      <c r="F5" s="46"/>
      <c r="G5" s="43"/>
      <c r="H5" s="43"/>
      <c r="I5" s="47" t="s">
        <v>31</v>
      </c>
      <c r="J5" s="43" t="s">
        <v>524</v>
      </c>
      <c r="K5" s="379"/>
      <c r="L5" s="379"/>
    </row>
    <row r="6" spans="1:12">
      <c r="A6" s="41" t="s">
        <v>42</v>
      </c>
      <c r="B6" s="374"/>
      <c r="C6" s="43"/>
      <c r="D6" s="2204" t="s">
        <v>485</v>
      </c>
      <c r="E6" s="2204"/>
      <c r="F6" s="43"/>
      <c r="G6" s="48" t="s">
        <v>32</v>
      </c>
      <c r="H6" s="381">
        <v>15</v>
      </c>
      <c r="I6" s="382" t="s">
        <v>33</v>
      </c>
      <c r="J6" s="383" t="s">
        <v>525</v>
      </c>
      <c r="K6" s="126" t="s">
        <v>526</v>
      </c>
      <c r="L6" s="2131" t="s">
        <v>45</v>
      </c>
    </row>
    <row r="7" spans="1:12" ht="12" customHeight="1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2132"/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8</v>
      </c>
      <c r="B10" s="2025" t="s">
        <v>1908</v>
      </c>
      <c r="C10" s="2026"/>
      <c r="D10" s="2027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40">
        <v>8.1</v>
      </c>
      <c r="B11" s="61" t="s">
        <v>1910</v>
      </c>
      <c r="C11" s="54"/>
      <c r="D11" s="55"/>
      <c r="E11" s="498"/>
      <c r="F11" s="57" t="s">
        <v>10</v>
      </c>
      <c r="G11" s="112"/>
      <c r="H11" s="161"/>
      <c r="I11" s="160"/>
      <c r="J11" s="161"/>
      <c r="K11" s="159"/>
      <c r="L11" s="58"/>
    </row>
    <row r="12" spans="1:12" ht="24">
      <c r="A12" s="132">
        <f>A11+0.1</f>
        <v>8.1999999999999993</v>
      </c>
      <c r="B12" s="134" t="s">
        <v>1911</v>
      </c>
      <c r="C12" s="61"/>
      <c r="D12" s="62"/>
      <c r="E12" s="1081"/>
      <c r="F12" s="64" t="s">
        <v>10</v>
      </c>
      <c r="G12" s="113"/>
      <c r="H12" s="161"/>
      <c r="I12" s="156"/>
      <c r="J12" s="161"/>
      <c r="K12" s="159"/>
      <c r="L12" s="66"/>
    </row>
    <row r="13" spans="1:12" ht="24">
      <c r="A13" s="132"/>
      <c r="B13" s="134"/>
      <c r="C13" s="61"/>
      <c r="D13" s="62"/>
      <c r="E13" s="1081"/>
      <c r="F13" s="64"/>
      <c r="G13" s="113"/>
      <c r="H13" s="161"/>
      <c r="I13" s="156"/>
      <c r="J13" s="161"/>
      <c r="K13" s="159"/>
      <c r="L13" s="66"/>
    </row>
    <row r="14" spans="1:12" ht="24">
      <c r="A14" s="132"/>
      <c r="B14" s="222"/>
      <c r="C14" s="61"/>
      <c r="D14" s="62"/>
      <c r="E14" s="63"/>
      <c r="F14" s="64"/>
      <c r="G14" s="113"/>
      <c r="H14" s="405"/>
      <c r="I14" s="156"/>
      <c r="J14" s="157"/>
      <c r="K14" s="159"/>
      <c r="L14" s="66"/>
    </row>
    <row r="15" spans="1:12" ht="24">
      <c r="A15" s="132"/>
      <c r="B15" s="222"/>
      <c r="C15" s="61"/>
      <c r="D15" s="67"/>
      <c r="E15" s="56"/>
      <c r="F15" s="57"/>
      <c r="G15" s="114"/>
      <c r="H15" s="396"/>
      <c r="I15" s="160"/>
      <c r="J15" s="161"/>
      <c r="K15" s="159"/>
      <c r="L15" s="58"/>
    </row>
    <row r="16" spans="1:12" ht="24">
      <c r="A16" s="132"/>
      <c r="B16" s="222"/>
      <c r="C16" s="61"/>
      <c r="D16" s="67"/>
      <c r="E16" s="56"/>
      <c r="F16" s="57"/>
      <c r="G16" s="114"/>
      <c r="H16" s="161"/>
      <c r="I16" s="160"/>
      <c r="J16" s="161"/>
      <c r="K16" s="159"/>
      <c r="L16" s="58"/>
    </row>
    <row r="17" spans="1:12" ht="24">
      <c r="A17" s="132"/>
      <c r="B17" s="1082"/>
      <c r="C17" s="61"/>
      <c r="D17" s="67"/>
      <c r="E17" s="56"/>
      <c r="F17" s="57"/>
      <c r="G17" s="114"/>
      <c r="H17" s="161"/>
      <c r="I17" s="160"/>
      <c r="J17" s="161"/>
      <c r="K17" s="159"/>
      <c r="L17" s="58"/>
    </row>
    <row r="18" spans="1:12" ht="24">
      <c r="A18" s="132"/>
      <c r="B18" s="60"/>
      <c r="C18" s="61"/>
      <c r="D18" s="67"/>
      <c r="E18" s="56"/>
      <c r="F18" s="57"/>
      <c r="G18" s="114"/>
      <c r="H18" s="161"/>
      <c r="I18" s="160"/>
      <c r="J18" s="161"/>
      <c r="K18" s="159"/>
      <c r="L18" s="58"/>
    </row>
    <row r="19" spans="1:12" ht="24">
      <c r="A19" s="132"/>
      <c r="B19" s="60"/>
      <c r="C19" s="61"/>
      <c r="D19" s="67"/>
      <c r="E19" s="56"/>
      <c r="F19" s="57"/>
      <c r="G19" s="114"/>
      <c r="H19" s="161"/>
      <c r="I19" s="160"/>
      <c r="J19" s="161"/>
      <c r="K19" s="159"/>
      <c r="L19" s="58"/>
    </row>
    <row r="20" spans="1:12" ht="24">
      <c r="A20" s="132"/>
      <c r="B20" s="60"/>
      <c r="C20" s="61"/>
      <c r="D20" s="67"/>
      <c r="E20" s="56"/>
      <c r="F20" s="57"/>
      <c r="G20" s="114"/>
      <c r="H20" s="161"/>
      <c r="I20" s="160"/>
      <c r="J20" s="161"/>
      <c r="K20" s="159"/>
      <c r="L20" s="58"/>
    </row>
    <row r="21" spans="1:12" ht="24">
      <c r="A21" s="132"/>
      <c r="B21" s="60"/>
      <c r="C21" s="61"/>
      <c r="D21" s="67"/>
      <c r="E21" s="56"/>
      <c r="F21" s="57"/>
      <c r="G21" s="114"/>
      <c r="H21" s="161"/>
      <c r="I21" s="160"/>
      <c r="J21" s="161"/>
      <c r="K21" s="159"/>
      <c r="L21" s="58"/>
    </row>
    <row r="22" spans="1:12" ht="24">
      <c r="A22" s="132"/>
      <c r="B22" s="60"/>
      <c r="C22" s="61"/>
      <c r="D22" s="67"/>
      <c r="E22" s="56"/>
      <c r="F22" s="57"/>
      <c r="G22" s="114"/>
      <c r="H22" s="161"/>
      <c r="I22" s="160"/>
      <c r="J22" s="161"/>
      <c r="K22" s="159"/>
      <c r="L22" s="58"/>
    </row>
    <row r="23" spans="1:12" ht="24">
      <c r="A23" s="132"/>
      <c r="B23" s="60"/>
      <c r="C23" s="61"/>
      <c r="D23" s="67"/>
      <c r="E23" s="56"/>
      <c r="F23" s="57"/>
      <c r="G23" s="114"/>
      <c r="H23" s="161"/>
      <c r="I23" s="160"/>
      <c r="J23" s="161"/>
      <c r="K23" s="159"/>
      <c r="L23" s="58"/>
    </row>
    <row r="24" spans="1:12" ht="24">
      <c r="A24" s="132"/>
      <c r="B24" s="60"/>
      <c r="C24" s="61"/>
      <c r="D24" s="67"/>
      <c r="E24" s="56"/>
      <c r="F24" s="57"/>
      <c r="G24" s="114"/>
      <c r="H24" s="161"/>
      <c r="I24" s="160"/>
      <c r="J24" s="161"/>
      <c r="K24" s="159"/>
      <c r="L24" s="58"/>
    </row>
    <row r="25" spans="1:12" ht="24">
      <c r="A25" s="132"/>
      <c r="B25" s="60"/>
      <c r="C25" s="61"/>
      <c r="D25" s="67"/>
      <c r="E25" s="56"/>
      <c r="F25" s="57"/>
      <c r="G25" s="114"/>
      <c r="H25" s="161"/>
      <c r="I25" s="160"/>
      <c r="J25" s="161"/>
      <c r="K25" s="159"/>
      <c r="L25" s="58"/>
    </row>
    <row r="26" spans="1:12" ht="21" customHeight="1">
      <c r="A26" s="132"/>
      <c r="B26" s="60"/>
      <c r="C26" s="61"/>
      <c r="D26" s="67"/>
      <c r="E26" s="56"/>
      <c r="F26" s="57"/>
      <c r="G26" s="114"/>
      <c r="H26" s="161"/>
      <c r="I26" s="160"/>
      <c r="J26" s="161"/>
      <c r="K26" s="159"/>
      <c r="L26" s="58"/>
    </row>
    <row r="27" spans="1:12" ht="21" customHeight="1">
      <c r="A27" s="69"/>
      <c r="B27" s="60"/>
      <c r="C27" s="61"/>
      <c r="D27" s="67"/>
      <c r="E27" s="56"/>
      <c r="F27" s="57"/>
      <c r="G27" s="114"/>
      <c r="H27" s="161"/>
      <c r="I27" s="160"/>
      <c r="J27" s="161"/>
      <c r="K27" s="159"/>
      <c r="L27" s="58"/>
    </row>
    <row r="28" spans="1:12" ht="21.75" customHeight="1">
      <c r="A28" s="69"/>
      <c r="B28" s="60"/>
      <c r="C28" s="61"/>
      <c r="D28" s="67"/>
      <c r="E28" s="56"/>
      <c r="F28" s="57"/>
      <c r="G28" s="114"/>
      <c r="H28" s="161"/>
      <c r="I28" s="160"/>
      <c r="J28" s="161"/>
      <c r="K28" s="159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61"/>
      <c r="I29" s="160"/>
      <c r="J29" s="161"/>
      <c r="K29" s="159"/>
      <c r="L29" s="58"/>
    </row>
    <row r="30" spans="1:12" ht="24.75" thickTop="1">
      <c r="A30" s="501"/>
      <c r="B30" s="2121" t="s">
        <v>69</v>
      </c>
      <c r="C30" s="2122"/>
      <c r="D30" s="2123"/>
      <c r="E30" s="502"/>
      <c r="F30" s="503"/>
      <c r="G30" s="504"/>
      <c r="H30" s="1083"/>
      <c r="I30" s="1084"/>
      <c r="J30" s="1083"/>
      <c r="K30" s="1085"/>
      <c r="L30" s="74"/>
    </row>
    <row r="31" spans="1:12" ht="24">
      <c r="A31" s="1504">
        <v>8.1</v>
      </c>
      <c r="B31" s="1134" t="s">
        <v>1910</v>
      </c>
      <c r="C31" s="1143"/>
      <c r="D31" s="1144"/>
      <c r="E31" s="56"/>
      <c r="F31" s="57"/>
      <c r="G31" s="114"/>
      <c r="H31" s="161"/>
      <c r="I31" s="160"/>
      <c r="J31" s="161"/>
      <c r="K31" s="159"/>
      <c r="L31" s="58"/>
    </row>
    <row r="32" spans="1:12" ht="24">
      <c r="A32" s="59" t="s">
        <v>1912</v>
      </c>
      <c r="B32" s="2205" t="s">
        <v>1092</v>
      </c>
      <c r="C32" s="2206"/>
      <c r="D32" s="2207"/>
      <c r="E32" s="1081"/>
      <c r="F32" s="64"/>
      <c r="G32" s="113"/>
      <c r="H32" s="161"/>
      <c r="I32" s="156"/>
      <c r="J32" s="161"/>
      <c r="K32" s="159"/>
      <c r="L32" s="66"/>
    </row>
    <row r="33" spans="1:12" ht="24">
      <c r="A33" s="132"/>
      <c r="B33" s="2196" t="s">
        <v>1093</v>
      </c>
      <c r="C33" s="2197"/>
      <c r="D33" s="2198"/>
      <c r="E33" s="63"/>
      <c r="F33" s="64"/>
      <c r="G33" s="113"/>
      <c r="H33" s="405"/>
      <c r="I33" s="156"/>
      <c r="J33" s="157"/>
      <c r="K33" s="159"/>
      <c r="L33" s="66"/>
    </row>
    <row r="34" spans="1:12" ht="24">
      <c r="A34" s="132" t="s">
        <v>2400</v>
      </c>
      <c r="B34" s="485" t="s">
        <v>1159</v>
      </c>
      <c r="C34" s="61"/>
      <c r="D34" s="67"/>
      <c r="E34" s="56"/>
      <c r="F34" s="57"/>
      <c r="G34" s="114"/>
      <c r="H34" s="396"/>
      <c r="I34" s="160"/>
      <c r="J34" s="161"/>
      <c r="K34" s="159"/>
      <c r="L34" s="58"/>
    </row>
    <row r="35" spans="1:12" ht="24">
      <c r="A35" s="132"/>
      <c r="B35" s="484" t="s">
        <v>2219</v>
      </c>
      <c r="C35" s="61"/>
      <c r="D35" s="67"/>
      <c r="E35" s="818"/>
      <c r="F35" s="781" t="s">
        <v>185</v>
      </c>
      <c r="G35" s="1395"/>
      <c r="H35" s="744"/>
      <c r="I35" s="160"/>
      <c r="J35" s="161"/>
      <c r="K35" s="159"/>
      <c r="L35" s="57"/>
    </row>
    <row r="36" spans="1:12" ht="24">
      <c r="A36" s="59" t="s">
        <v>1916</v>
      </c>
      <c r="B36" s="1392" t="s">
        <v>2162</v>
      </c>
      <c r="C36" s="61"/>
      <c r="D36" s="67"/>
      <c r="E36" s="56"/>
      <c r="F36" s="57"/>
      <c r="G36" s="114"/>
      <c r="H36" s="161"/>
      <c r="I36" s="160"/>
      <c r="J36" s="161"/>
      <c r="K36" s="159"/>
      <c r="L36" s="58"/>
    </row>
    <row r="37" spans="1:12" ht="24">
      <c r="A37" s="132" t="s">
        <v>2401</v>
      </c>
      <c r="B37" s="484" t="s">
        <v>1214</v>
      </c>
      <c r="C37" s="61"/>
      <c r="D37" s="67"/>
      <c r="E37" s="56"/>
      <c r="F37" s="57"/>
      <c r="G37" s="114"/>
      <c r="H37" s="161"/>
      <c r="I37" s="160"/>
      <c r="J37" s="161"/>
      <c r="K37" s="159"/>
      <c r="L37" s="58"/>
    </row>
    <row r="38" spans="1:12" ht="24">
      <c r="A38" s="132"/>
      <c r="B38" s="484" t="s">
        <v>2163</v>
      </c>
      <c r="C38" s="61"/>
      <c r="D38" s="67"/>
      <c r="E38" s="1393"/>
      <c r="F38" s="742" t="s">
        <v>185</v>
      </c>
      <c r="G38" s="1395"/>
      <c r="H38" s="744"/>
      <c r="I38" s="160"/>
      <c r="J38" s="161"/>
      <c r="K38" s="159"/>
      <c r="L38" s="58"/>
    </row>
    <row r="39" spans="1:12" ht="24">
      <c r="A39" s="132"/>
      <c r="B39" s="60"/>
      <c r="C39" s="61"/>
      <c r="D39" s="67"/>
      <c r="E39" s="56"/>
      <c r="F39" s="57"/>
      <c r="G39" s="114"/>
      <c r="H39" s="161"/>
      <c r="I39" s="160"/>
      <c r="J39" s="161"/>
      <c r="K39" s="159"/>
      <c r="L39" s="58"/>
    </row>
    <row r="40" spans="1:12" ht="24">
      <c r="A40" s="132"/>
      <c r="B40" s="60"/>
      <c r="C40" s="61"/>
      <c r="D40" s="67"/>
      <c r="E40" s="56"/>
      <c r="F40" s="57"/>
      <c r="G40" s="114"/>
      <c r="H40" s="161"/>
      <c r="I40" s="160"/>
      <c r="J40" s="161"/>
      <c r="K40" s="159"/>
      <c r="L40" s="58"/>
    </row>
    <row r="41" spans="1:12" ht="24">
      <c r="A41" s="132"/>
      <c r="B41" s="60"/>
      <c r="C41" s="61"/>
      <c r="D41" s="67"/>
      <c r="E41" s="56"/>
      <c r="F41" s="57"/>
      <c r="G41" s="114"/>
      <c r="H41" s="161"/>
      <c r="I41" s="160"/>
      <c r="J41" s="161"/>
      <c r="K41" s="159"/>
      <c r="L41" s="58"/>
    </row>
    <row r="42" spans="1:12" ht="24">
      <c r="A42" s="132"/>
      <c r="B42" s="60"/>
      <c r="C42" s="61"/>
      <c r="D42" s="67"/>
      <c r="E42" s="56"/>
      <c r="F42" s="57"/>
      <c r="G42" s="114"/>
      <c r="H42" s="161"/>
      <c r="I42" s="160"/>
      <c r="J42" s="161"/>
      <c r="K42" s="159"/>
      <c r="L42" s="58"/>
    </row>
    <row r="43" spans="1:12" ht="24">
      <c r="A43" s="132"/>
      <c r="B43" s="60"/>
      <c r="C43" s="61"/>
      <c r="D43" s="67"/>
      <c r="E43" s="56"/>
      <c r="F43" s="57"/>
      <c r="G43" s="114"/>
      <c r="H43" s="161"/>
      <c r="I43" s="160"/>
      <c r="J43" s="161"/>
      <c r="K43" s="159"/>
      <c r="L43" s="58"/>
    </row>
    <row r="44" spans="1:12" ht="24">
      <c r="A44" s="132"/>
      <c r="B44" s="60"/>
      <c r="C44" s="61"/>
      <c r="D44" s="67"/>
      <c r="E44" s="56"/>
      <c r="F44" s="57"/>
      <c r="G44" s="114"/>
      <c r="H44" s="161"/>
      <c r="I44" s="160"/>
      <c r="J44" s="161"/>
      <c r="K44" s="159"/>
      <c r="L44" s="58"/>
    </row>
    <row r="45" spans="1:12" ht="24">
      <c r="A45" s="132"/>
      <c r="B45" s="134"/>
      <c r="C45" s="61"/>
      <c r="D45" s="62"/>
      <c r="E45" s="1081"/>
      <c r="F45" s="64"/>
      <c r="G45" s="113"/>
      <c r="H45" s="161"/>
      <c r="I45" s="156"/>
      <c r="J45" s="161"/>
      <c r="K45" s="159"/>
      <c r="L45" s="66"/>
    </row>
    <row r="46" spans="1:12" ht="24">
      <c r="A46" s="132"/>
      <c r="B46" s="222"/>
      <c r="C46" s="61"/>
      <c r="D46" s="67"/>
      <c r="E46" s="56"/>
      <c r="F46" s="57"/>
      <c r="G46" s="114"/>
      <c r="H46" s="396"/>
      <c r="I46" s="160"/>
      <c r="J46" s="161"/>
      <c r="K46" s="159"/>
      <c r="L46" s="58"/>
    </row>
    <row r="47" spans="1:12" ht="24">
      <c r="A47" s="132"/>
      <c r="B47" s="222"/>
      <c r="C47" s="61"/>
      <c r="D47" s="67"/>
      <c r="E47" s="56"/>
      <c r="F47" s="57"/>
      <c r="G47" s="114"/>
      <c r="H47" s="161"/>
      <c r="I47" s="160"/>
      <c r="J47" s="161"/>
      <c r="K47" s="159"/>
      <c r="L47" s="58"/>
    </row>
    <row r="48" spans="1:12" ht="24">
      <c r="A48" s="132"/>
      <c r="B48" s="1082"/>
      <c r="C48" s="61"/>
      <c r="D48" s="67"/>
      <c r="E48" s="56"/>
      <c r="F48" s="57"/>
      <c r="G48" s="114"/>
      <c r="H48" s="161"/>
      <c r="I48" s="160"/>
      <c r="J48" s="161"/>
      <c r="K48" s="159"/>
      <c r="L48" s="58"/>
    </row>
    <row r="49" spans="1:12" ht="24">
      <c r="A49" s="132"/>
      <c r="B49" s="60"/>
      <c r="C49" s="61"/>
      <c r="D49" s="67"/>
      <c r="E49" s="56"/>
      <c r="F49" s="57"/>
      <c r="G49" s="114"/>
      <c r="H49" s="161"/>
      <c r="I49" s="160"/>
      <c r="J49" s="161"/>
      <c r="K49" s="159"/>
      <c r="L49" s="58"/>
    </row>
    <row r="50" spans="1:12" ht="24.75" thickBot="1">
      <c r="A50" s="132"/>
      <c r="B50" s="60"/>
      <c r="C50" s="61"/>
      <c r="D50" s="67"/>
      <c r="E50" s="56"/>
      <c r="F50" s="57"/>
      <c r="G50" s="114"/>
      <c r="H50" s="161"/>
      <c r="I50" s="160"/>
      <c r="J50" s="161"/>
      <c r="K50" s="159"/>
      <c r="L50" s="58"/>
    </row>
    <row r="51" spans="1:12" ht="24.75" thickTop="1">
      <c r="A51" s="501"/>
      <c r="B51" s="2121" t="s">
        <v>2402</v>
      </c>
      <c r="C51" s="2122"/>
      <c r="D51" s="2123"/>
      <c r="E51" s="502"/>
      <c r="F51" s="503"/>
      <c r="G51" s="504"/>
      <c r="H51" s="1083"/>
      <c r="I51" s="1084"/>
      <c r="J51" s="1083"/>
      <c r="K51" s="1085"/>
      <c r="L51" s="74"/>
    </row>
    <row r="52" spans="1:12" ht="24">
      <c r="A52" s="1504">
        <v>8.1999999999999993</v>
      </c>
      <c r="B52" s="53" t="s">
        <v>1911</v>
      </c>
      <c r="C52" s="61"/>
      <c r="D52" s="67"/>
      <c r="E52" s="56"/>
      <c r="F52" s="57"/>
      <c r="G52" s="114"/>
      <c r="H52" s="161"/>
      <c r="I52" s="160"/>
      <c r="J52" s="161"/>
      <c r="K52" s="159"/>
      <c r="L52" s="58"/>
    </row>
    <row r="53" spans="1:12" ht="24">
      <c r="A53" s="132" t="s">
        <v>1954</v>
      </c>
      <c r="B53" s="146" t="s">
        <v>1710</v>
      </c>
      <c r="C53" s="61"/>
      <c r="D53" s="67"/>
      <c r="E53" s="56"/>
      <c r="F53" s="57"/>
      <c r="G53" s="114"/>
      <c r="H53" s="161"/>
      <c r="I53" s="160"/>
      <c r="J53" s="161"/>
      <c r="K53" s="159"/>
      <c r="L53" s="58"/>
    </row>
    <row r="54" spans="1:12" ht="24">
      <c r="A54" s="132" t="s">
        <v>1955</v>
      </c>
      <c r="B54" s="943" t="s">
        <v>1749</v>
      </c>
      <c r="C54" s="90"/>
      <c r="D54" s="67"/>
      <c r="E54" s="56"/>
      <c r="F54" s="57"/>
      <c r="G54" s="114"/>
      <c r="H54" s="161"/>
      <c r="I54" s="160"/>
      <c r="J54" s="161"/>
      <c r="K54" s="159"/>
      <c r="L54" s="58"/>
    </row>
    <row r="55" spans="1:12" ht="24">
      <c r="A55" s="132"/>
      <c r="B55" s="1040" t="s">
        <v>134</v>
      </c>
      <c r="C55" s="90" t="s">
        <v>2284</v>
      </c>
      <c r="D55" s="67"/>
      <c r="E55" s="963"/>
      <c r="F55" s="781" t="s">
        <v>185</v>
      </c>
      <c r="G55" s="701"/>
      <c r="H55" s="699"/>
      <c r="I55" s="160"/>
      <c r="J55" s="161"/>
      <c r="K55" s="159"/>
      <c r="L55" s="58"/>
    </row>
    <row r="56" spans="1:12" ht="24">
      <c r="A56" s="132"/>
      <c r="B56" s="1040" t="s">
        <v>134</v>
      </c>
      <c r="C56" s="90" t="s">
        <v>2285</v>
      </c>
      <c r="D56" s="67"/>
      <c r="E56" s="963"/>
      <c r="F56" s="781" t="s">
        <v>185</v>
      </c>
      <c r="G56" s="701"/>
      <c r="H56" s="699"/>
      <c r="I56" s="160"/>
      <c r="J56" s="161"/>
      <c r="K56" s="159"/>
      <c r="L56" s="58"/>
    </row>
    <row r="57" spans="1:12" ht="24">
      <c r="A57" s="132"/>
      <c r="B57" s="1040" t="s">
        <v>134</v>
      </c>
      <c r="C57" s="90" t="s">
        <v>2286</v>
      </c>
      <c r="D57" s="62"/>
      <c r="E57" s="963"/>
      <c r="F57" s="781" t="s">
        <v>185</v>
      </c>
      <c r="G57" s="701"/>
      <c r="H57" s="699"/>
      <c r="I57" s="160"/>
      <c r="J57" s="161"/>
      <c r="K57" s="159"/>
      <c r="L57" s="66"/>
    </row>
    <row r="58" spans="1:12" ht="24">
      <c r="A58" s="132"/>
      <c r="B58" s="1040" t="s">
        <v>134</v>
      </c>
      <c r="C58" s="90" t="s">
        <v>2287</v>
      </c>
      <c r="D58" s="62"/>
      <c r="E58" s="963"/>
      <c r="F58" s="781" t="s">
        <v>185</v>
      </c>
      <c r="G58" s="701"/>
      <c r="H58" s="699"/>
      <c r="I58" s="160"/>
      <c r="J58" s="161"/>
      <c r="K58" s="159"/>
      <c r="L58" s="66"/>
    </row>
    <row r="59" spans="1:12" ht="24">
      <c r="A59" s="132" t="s">
        <v>1956</v>
      </c>
      <c r="B59" s="1054" t="s">
        <v>1796</v>
      </c>
      <c r="C59" s="90"/>
      <c r="D59" s="67"/>
      <c r="E59" s="963"/>
      <c r="F59" s="781"/>
      <c r="G59" s="701"/>
      <c r="H59" s="699"/>
      <c r="I59" s="160"/>
      <c r="J59" s="161"/>
      <c r="K59" s="159"/>
      <c r="L59" s="58"/>
    </row>
    <row r="60" spans="1:12" ht="24">
      <c r="A60" s="132"/>
      <c r="B60" s="1029" t="s">
        <v>134</v>
      </c>
      <c r="C60" s="90" t="s">
        <v>2289</v>
      </c>
      <c r="D60" s="67"/>
      <c r="E60" s="963"/>
      <c r="F60" s="781" t="s">
        <v>185</v>
      </c>
      <c r="G60" s="701"/>
      <c r="H60" s="699"/>
      <c r="I60" s="160"/>
      <c r="J60" s="161"/>
      <c r="K60" s="159"/>
      <c r="L60" s="58"/>
    </row>
    <row r="61" spans="1:12" ht="24">
      <c r="A61" s="132"/>
      <c r="B61" s="1029" t="s">
        <v>134</v>
      </c>
      <c r="C61" s="90" t="s">
        <v>2290</v>
      </c>
      <c r="D61" s="67"/>
      <c r="E61" s="963"/>
      <c r="F61" s="781" t="s">
        <v>185</v>
      </c>
      <c r="G61" s="701"/>
      <c r="H61" s="699"/>
      <c r="I61" s="160"/>
      <c r="J61" s="161"/>
      <c r="K61" s="159"/>
      <c r="L61" s="58"/>
    </row>
    <row r="62" spans="1:12" ht="24">
      <c r="A62" s="132" t="s">
        <v>2403</v>
      </c>
      <c r="B62" s="943" t="s">
        <v>1755</v>
      </c>
      <c r="C62" s="90"/>
      <c r="D62" s="67"/>
      <c r="E62" s="220"/>
      <c r="F62" s="194"/>
      <c r="G62" s="701"/>
      <c r="H62" s="699"/>
      <c r="I62" s="160"/>
      <c r="J62" s="161"/>
      <c r="K62" s="159"/>
      <c r="L62" s="58"/>
    </row>
    <row r="63" spans="1:12" ht="24">
      <c r="A63" s="132"/>
      <c r="B63" s="1029" t="s">
        <v>134</v>
      </c>
      <c r="C63" s="90" t="s">
        <v>2292</v>
      </c>
      <c r="D63" s="67"/>
      <c r="E63" s="963"/>
      <c r="F63" s="781" t="s">
        <v>185</v>
      </c>
      <c r="G63" s="701"/>
      <c r="H63" s="699"/>
      <c r="I63" s="160"/>
      <c r="J63" s="161"/>
      <c r="K63" s="159"/>
      <c r="L63" s="58"/>
    </row>
    <row r="64" spans="1:12" ht="24">
      <c r="A64" s="132"/>
      <c r="B64" s="1029" t="s">
        <v>134</v>
      </c>
      <c r="C64" s="90" t="s">
        <v>2293</v>
      </c>
      <c r="D64" s="67"/>
      <c r="E64" s="963"/>
      <c r="F64" s="781" t="s">
        <v>185</v>
      </c>
      <c r="G64" s="701"/>
      <c r="H64" s="699"/>
      <c r="I64" s="160"/>
      <c r="J64" s="161"/>
      <c r="K64" s="159"/>
      <c r="L64" s="58"/>
    </row>
    <row r="65" spans="1:12" ht="24">
      <c r="A65" s="132" t="s">
        <v>2404</v>
      </c>
      <c r="B65" s="943" t="s">
        <v>1777</v>
      </c>
      <c r="C65" s="90"/>
      <c r="D65" s="67"/>
      <c r="E65" s="220"/>
      <c r="F65" s="194"/>
      <c r="G65" s="701"/>
      <c r="H65" s="699"/>
      <c r="I65" s="160"/>
      <c r="J65" s="161"/>
      <c r="K65" s="159"/>
      <c r="L65" s="58"/>
    </row>
    <row r="66" spans="1:12" ht="24">
      <c r="A66" s="132"/>
      <c r="B66" s="1029" t="s">
        <v>134</v>
      </c>
      <c r="C66" s="90" t="s">
        <v>2295</v>
      </c>
      <c r="D66" s="67"/>
      <c r="E66" s="963"/>
      <c r="F66" s="781" t="s">
        <v>185</v>
      </c>
      <c r="G66" s="701"/>
      <c r="H66" s="699"/>
      <c r="I66" s="160"/>
      <c r="J66" s="161"/>
      <c r="K66" s="159"/>
      <c r="L66" s="58"/>
    </row>
    <row r="67" spans="1:12" ht="24">
      <c r="A67" s="132"/>
      <c r="B67" s="1029" t="s">
        <v>134</v>
      </c>
      <c r="C67" s="90" t="s">
        <v>2296</v>
      </c>
      <c r="D67" s="67"/>
      <c r="E67" s="963"/>
      <c r="F67" s="781" t="s">
        <v>185</v>
      </c>
      <c r="G67" s="701"/>
      <c r="H67" s="699"/>
      <c r="I67" s="160"/>
      <c r="J67" s="161"/>
      <c r="K67" s="159"/>
      <c r="L67" s="58"/>
    </row>
    <row r="68" spans="1:12" ht="24">
      <c r="A68" s="132"/>
      <c r="B68" s="1029" t="s">
        <v>134</v>
      </c>
      <c r="C68" s="90" t="s">
        <v>2297</v>
      </c>
      <c r="D68" s="67"/>
      <c r="E68" s="963"/>
      <c r="F68" s="781" t="s">
        <v>185</v>
      </c>
      <c r="G68" s="701"/>
      <c r="H68" s="699"/>
      <c r="I68" s="160"/>
      <c r="J68" s="161"/>
      <c r="K68" s="159"/>
      <c r="L68" s="58"/>
    </row>
    <row r="69" spans="1:12" ht="24">
      <c r="A69" s="132"/>
      <c r="B69" s="1029" t="s">
        <v>134</v>
      </c>
      <c r="C69" s="90" t="s">
        <v>2298</v>
      </c>
      <c r="D69" s="67"/>
      <c r="E69" s="963"/>
      <c r="F69" s="781" t="s">
        <v>185</v>
      </c>
      <c r="G69" s="701"/>
      <c r="H69" s="699"/>
      <c r="I69" s="160"/>
      <c r="J69" s="161"/>
      <c r="K69" s="159"/>
      <c r="L69" s="58"/>
    </row>
    <row r="70" spans="1:12" ht="24">
      <c r="A70" s="132"/>
      <c r="B70" s="1029" t="s">
        <v>134</v>
      </c>
      <c r="C70" s="90" t="s">
        <v>2299</v>
      </c>
      <c r="D70" s="67"/>
      <c r="E70" s="963"/>
      <c r="F70" s="781" t="s">
        <v>185</v>
      </c>
      <c r="G70" s="701"/>
      <c r="H70" s="699"/>
      <c r="I70" s="160"/>
      <c r="J70" s="161"/>
      <c r="K70" s="159"/>
      <c r="L70" s="58"/>
    </row>
    <row r="71" spans="1:12" ht="24">
      <c r="A71" s="132"/>
      <c r="B71" s="1029" t="s">
        <v>134</v>
      </c>
      <c r="C71" s="90" t="s">
        <v>2300</v>
      </c>
      <c r="D71" s="67"/>
      <c r="E71" s="963"/>
      <c r="F71" s="781" t="s">
        <v>185</v>
      </c>
      <c r="G71" s="701"/>
      <c r="H71" s="699"/>
      <c r="I71" s="160"/>
      <c r="J71" s="161"/>
      <c r="K71" s="159"/>
      <c r="L71" s="58"/>
    </row>
    <row r="72" spans="1:12" ht="24">
      <c r="A72" s="526"/>
      <c r="B72" s="1052" t="s">
        <v>134</v>
      </c>
      <c r="C72" s="528" t="s">
        <v>2301</v>
      </c>
      <c r="D72" s="1282"/>
      <c r="E72" s="961"/>
      <c r="F72" s="961" t="s">
        <v>185</v>
      </c>
      <c r="G72" s="701"/>
      <c r="H72" s="1505"/>
      <c r="I72" s="532"/>
      <c r="J72" s="533"/>
      <c r="K72" s="534"/>
      <c r="L72" s="535"/>
    </row>
    <row r="73" spans="1:12" ht="24">
      <c r="A73" s="132"/>
      <c r="B73" s="1506" t="s">
        <v>134</v>
      </c>
      <c r="C73" s="537" t="s">
        <v>2302</v>
      </c>
      <c r="D73" s="1292"/>
      <c r="E73" s="1507"/>
      <c r="F73" s="963" t="s">
        <v>185</v>
      </c>
      <c r="G73" s="701"/>
      <c r="H73" s="550"/>
      <c r="I73" s="156"/>
      <c r="J73" s="157"/>
      <c r="K73" s="158"/>
      <c r="L73" s="66"/>
    </row>
    <row r="74" spans="1:12" ht="24">
      <c r="A74" s="132"/>
      <c r="B74" s="1473" t="s">
        <v>134</v>
      </c>
      <c r="C74" s="537" t="s">
        <v>2303</v>
      </c>
      <c r="D74" s="67"/>
      <c r="E74" s="963"/>
      <c r="F74" s="963" t="s">
        <v>185</v>
      </c>
      <c r="G74" s="701"/>
      <c r="H74" s="550"/>
      <c r="I74" s="160"/>
      <c r="J74" s="161"/>
      <c r="K74" s="159"/>
      <c r="L74" s="58"/>
    </row>
    <row r="75" spans="1:12" ht="24">
      <c r="A75" s="132"/>
      <c r="B75" s="1029" t="s">
        <v>134</v>
      </c>
      <c r="C75" s="90" t="s">
        <v>2304</v>
      </c>
      <c r="D75" s="67"/>
      <c r="E75" s="963"/>
      <c r="F75" s="781" t="s">
        <v>185</v>
      </c>
      <c r="G75" s="701"/>
      <c r="H75" s="699"/>
      <c r="I75" s="160"/>
      <c r="J75" s="161"/>
      <c r="K75" s="159"/>
      <c r="L75" s="58"/>
    </row>
    <row r="76" spans="1:12" ht="24">
      <c r="A76" s="132"/>
      <c r="B76" s="1029" t="s">
        <v>134</v>
      </c>
      <c r="C76" s="90" t="s">
        <v>2305</v>
      </c>
      <c r="D76" s="67"/>
      <c r="E76" s="963"/>
      <c r="F76" s="781" t="s">
        <v>185</v>
      </c>
      <c r="G76" s="701"/>
      <c r="H76" s="699"/>
      <c r="I76" s="160"/>
      <c r="J76" s="161"/>
      <c r="K76" s="159"/>
      <c r="L76" s="58"/>
    </row>
    <row r="77" spans="1:12" ht="24">
      <c r="A77" s="132"/>
      <c r="B77" s="1029" t="s">
        <v>134</v>
      </c>
      <c r="C77" s="90" t="s">
        <v>2306</v>
      </c>
      <c r="D77" s="67"/>
      <c r="E77" s="963"/>
      <c r="F77" s="781" t="s">
        <v>185</v>
      </c>
      <c r="G77" s="701"/>
      <c r="H77" s="699"/>
      <c r="I77" s="160"/>
      <c r="J77" s="161"/>
      <c r="K77" s="159"/>
      <c r="L77" s="58"/>
    </row>
    <row r="78" spans="1:12" ht="24">
      <c r="A78" s="132"/>
      <c r="B78" s="1029" t="s">
        <v>134</v>
      </c>
      <c r="C78" s="90" t="s">
        <v>2307</v>
      </c>
      <c r="D78" s="67"/>
      <c r="E78" s="963"/>
      <c r="F78" s="781" t="s">
        <v>185</v>
      </c>
      <c r="G78" s="701"/>
      <c r="H78" s="699"/>
      <c r="I78" s="160"/>
      <c r="J78" s="161"/>
      <c r="K78" s="159"/>
      <c r="L78" s="58"/>
    </row>
    <row r="79" spans="1:12" ht="24">
      <c r="A79" s="132"/>
      <c r="B79" s="1029"/>
      <c r="C79" s="90"/>
      <c r="D79" s="1292"/>
      <c r="E79" s="963"/>
      <c r="F79" s="963"/>
      <c r="G79" s="701"/>
      <c r="H79" s="699"/>
      <c r="I79" s="156"/>
      <c r="J79" s="161"/>
      <c r="K79" s="159"/>
      <c r="L79" s="66"/>
    </row>
    <row r="80" spans="1:12" ht="24">
      <c r="A80" s="132"/>
      <c r="B80" s="1029"/>
      <c r="C80" s="90"/>
      <c r="D80" s="1292"/>
      <c r="E80" s="963"/>
      <c r="F80" s="963"/>
      <c r="G80" s="701"/>
      <c r="H80" s="699"/>
      <c r="I80" s="156"/>
      <c r="J80" s="161"/>
      <c r="K80" s="159"/>
      <c r="L80" s="66"/>
    </row>
    <row r="81" spans="1:12" ht="24">
      <c r="A81" s="132"/>
      <c r="B81" s="1029"/>
      <c r="C81" s="90"/>
      <c r="D81" s="1292"/>
      <c r="E81" s="963"/>
      <c r="F81" s="963"/>
      <c r="G81" s="701"/>
      <c r="H81" s="699"/>
      <c r="I81" s="156"/>
      <c r="J81" s="161"/>
      <c r="K81" s="159"/>
      <c r="L81" s="66"/>
    </row>
    <row r="82" spans="1:12" ht="24">
      <c r="A82" s="132"/>
      <c r="B82" s="1029"/>
      <c r="C82" s="90"/>
      <c r="D82" s="1292"/>
      <c r="E82" s="963"/>
      <c r="F82" s="963"/>
      <c r="G82" s="701"/>
      <c r="H82" s="699"/>
      <c r="I82" s="156"/>
      <c r="J82" s="161"/>
      <c r="K82" s="159"/>
      <c r="L82" s="66"/>
    </row>
    <row r="83" spans="1:12" ht="24">
      <c r="A83" s="132"/>
      <c r="B83" s="1029"/>
      <c r="C83" s="90"/>
      <c r="D83" s="1292"/>
      <c r="E83" s="963"/>
      <c r="F83" s="963"/>
      <c r="G83" s="701"/>
      <c r="H83" s="699"/>
      <c r="I83" s="156"/>
      <c r="J83" s="161"/>
      <c r="K83" s="159"/>
      <c r="L83" s="66"/>
    </row>
    <row r="84" spans="1:12" ht="24">
      <c r="A84" s="132"/>
      <c r="B84" s="1029"/>
      <c r="C84" s="90"/>
      <c r="D84" s="1292"/>
      <c r="E84" s="963"/>
      <c r="F84" s="963"/>
      <c r="G84" s="701"/>
      <c r="H84" s="699"/>
      <c r="I84" s="156"/>
      <c r="J84" s="161"/>
      <c r="K84" s="159"/>
      <c r="L84" s="66"/>
    </row>
    <row r="85" spans="1:12" ht="24">
      <c r="A85" s="132"/>
      <c r="B85" s="1029"/>
      <c r="C85" s="90"/>
      <c r="D85" s="1292"/>
      <c r="E85" s="963"/>
      <c r="F85" s="963"/>
      <c r="G85" s="701"/>
      <c r="H85" s="699"/>
      <c r="I85" s="156"/>
      <c r="J85" s="161"/>
      <c r="K85" s="159"/>
      <c r="L85" s="66"/>
    </row>
    <row r="86" spans="1:12" ht="24">
      <c r="A86" s="132"/>
      <c r="B86" s="1029"/>
      <c r="C86" s="90"/>
      <c r="D86" s="1292"/>
      <c r="E86" s="963"/>
      <c r="F86" s="963"/>
      <c r="G86" s="701"/>
      <c r="H86" s="699"/>
      <c r="I86" s="156"/>
      <c r="J86" s="161"/>
      <c r="K86" s="159"/>
      <c r="L86" s="66"/>
    </row>
    <row r="87" spans="1:12" ht="24">
      <c r="A87" s="132"/>
      <c r="B87" s="1029"/>
      <c r="C87" s="90"/>
      <c r="D87" s="1292"/>
      <c r="E87" s="963"/>
      <c r="F87" s="963"/>
      <c r="G87" s="701"/>
      <c r="H87" s="699"/>
      <c r="I87" s="156"/>
      <c r="J87" s="161"/>
      <c r="K87" s="159"/>
      <c r="L87" s="66"/>
    </row>
    <row r="88" spans="1:12" ht="24">
      <c r="A88" s="132"/>
      <c r="B88" s="1029"/>
      <c r="C88" s="90"/>
      <c r="D88" s="1292"/>
      <c r="E88" s="963"/>
      <c r="F88" s="963"/>
      <c r="G88" s="701"/>
      <c r="H88" s="699"/>
      <c r="I88" s="156"/>
      <c r="J88" s="161"/>
      <c r="K88" s="159"/>
      <c r="L88" s="66"/>
    </row>
    <row r="89" spans="1:12" ht="24">
      <c r="A89" s="132"/>
      <c r="B89" s="1029"/>
      <c r="C89" s="90"/>
      <c r="D89" s="1292"/>
      <c r="E89" s="963"/>
      <c r="F89" s="963"/>
      <c r="G89" s="701"/>
      <c r="H89" s="699"/>
      <c r="I89" s="156"/>
      <c r="J89" s="161"/>
      <c r="K89" s="159"/>
      <c r="L89" s="66"/>
    </row>
    <row r="90" spans="1:12" ht="24">
      <c r="A90" s="132"/>
      <c r="B90" s="1029"/>
      <c r="C90" s="90"/>
      <c r="D90" s="1292"/>
      <c r="E90" s="963"/>
      <c r="F90" s="963"/>
      <c r="G90" s="701"/>
      <c r="H90" s="699"/>
      <c r="I90" s="156"/>
      <c r="J90" s="161"/>
      <c r="K90" s="159"/>
      <c r="L90" s="66"/>
    </row>
    <row r="91" spans="1:12" ht="24">
      <c r="A91" s="132"/>
      <c r="B91" s="134"/>
      <c r="C91" s="61"/>
      <c r="D91" s="62"/>
      <c r="E91" s="1081"/>
      <c r="F91" s="64"/>
      <c r="G91" s="113"/>
      <c r="H91" s="161"/>
      <c r="I91" s="156"/>
      <c r="J91" s="161"/>
      <c r="K91" s="159"/>
      <c r="L91" s="66"/>
    </row>
    <row r="92" spans="1:12" ht="24.75" thickBot="1">
      <c r="A92" s="132"/>
      <c r="B92" s="222"/>
      <c r="C92" s="61"/>
      <c r="D92" s="62"/>
      <c r="E92" s="63"/>
      <c r="F92" s="64"/>
      <c r="G92" s="113"/>
      <c r="H92" s="405"/>
      <c r="I92" s="156"/>
      <c r="J92" s="157"/>
      <c r="K92" s="159"/>
      <c r="L92" s="66"/>
    </row>
    <row r="93" spans="1:12" ht="24.75" thickTop="1">
      <c r="A93" s="501"/>
      <c r="B93" s="2121" t="s">
        <v>2405</v>
      </c>
      <c r="C93" s="2122"/>
      <c r="D93" s="2123"/>
      <c r="E93" s="502"/>
      <c r="F93" s="503"/>
      <c r="G93" s="504"/>
      <c r="H93" s="1083"/>
      <c r="I93" s="1084"/>
      <c r="J93" s="1083"/>
      <c r="K93" s="1083"/>
      <c r="L93" s="74"/>
    </row>
  </sheetData>
  <mergeCells count="16">
    <mergeCell ref="B93:D93"/>
    <mergeCell ref="K4:L4"/>
    <mergeCell ref="D6:E6"/>
    <mergeCell ref="L6:L7"/>
    <mergeCell ref="A8:A9"/>
    <mergeCell ref="B8:D9"/>
    <mergeCell ref="E8:E9"/>
    <mergeCell ref="F8:F9"/>
    <mergeCell ref="G8:H8"/>
    <mergeCell ref="I8:J8"/>
    <mergeCell ref="L8:L9"/>
    <mergeCell ref="B10:D10"/>
    <mergeCell ref="B30:D30"/>
    <mergeCell ref="B32:D32"/>
    <mergeCell ref="B33:D33"/>
    <mergeCell ref="B51:D51"/>
  </mergeCells>
  <printOptions horizontalCentered="1"/>
  <pageMargins left="0" right="0" top="0.35433070866141736" bottom="0.39370078740157483" header="0.35433070866141736" footer="0.15748031496062992"/>
  <pageSetup paperSize="9" scale="80" orientation="landscape" r:id="rId1"/>
  <headerFooter>
    <oddHeader xml:space="preserve">&amp;Rแผ่นที่ &amp;P ใน &amp;N แผ่น            </oddHeader>
    <oddFooter xml:space="preserve">&amp;Rครุภัณฑ์จัดซื้อ-อาคารส่วนกีฬาและสระว่ายน้ำ            </oddFooter>
  </headerFooter>
  <rowBreaks count="1" manualBreakCount="1">
    <brk id="3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0"/>
  <sheetViews>
    <sheetView showGridLines="0" view="pageBreakPreview" zoomScaleNormal="90" zoomScaleSheetLayoutView="100" workbookViewId="0">
      <selection activeCell="C19" sqref="C19"/>
    </sheetView>
  </sheetViews>
  <sheetFormatPr defaultRowHeight="21.75"/>
  <cols>
    <col min="1" max="1" width="11.140625" style="1681" customWidth="1"/>
    <col min="2" max="2" width="11.28515625" style="1681" customWidth="1"/>
    <col min="3" max="3" width="16.28515625" style="1681" customWidth="1"/>
    <col min="4" max="4" width="3.5703125" style="1681" customWidth="1"/>
    <col min="5" max="5" width="46.85546875" style="1681" customWidth="1"/>
    <col min="6" max="6" width="23.140625" style="1681" customWidth="1"/>
    <col min="7" max="7" width="16.140625" style="1681" customWidth="1"/>
    <col min="8" max="8" width="31" style="1681" customWidth="1"/>
    <col min="9" max="9" width="20.140625" style="1681" customWidth="1"/>
    <col min="10" max="26" width="0.5703125" style="1681" customWidth="1"/>
    <col min="27" max="27" width="21.7109375" style="1681" customWidth="1"/>
    <col min="28" max="28" width="10" style="1681" customWidth="1"/>
    <col min="29" max="29" width="18.42578125" style="1681" customWidth="1"/>
    <col min="30" max="30" width="16.7109375" style="1681" customWidth="1"/>
    <col min="31" max="31" width="17" style="1681" customWidth="1"/>
    <col min="32" max="32" width="20" style="1681" customWidth="1"/>
    <col min="33" max="16384" width="9.140625" style="1681"/>
  </cols>
  <sheetData>
    <row r="1" spans="1:32">
      <c r="A1" s="1679"/>
      <c r="B1" s="1679"/>
      <c r="C1" s="1679"/>
      <c r="D1" s="1679"/>
      <c r="E1" s="1679"/>
      <c r="F1" s="1679"/>
      <c r="G1" s="1679"/>
      <c r="H1" s="1680" t="s">
        <v>63</v>
      </c>
      <c r="I1" s="1680"/>
    </row>
    <row r="2" spans="1:32" ht="24">
      <c r="A2" s="1943" t="s">
        <v>62</v>
      </c>
      <c r="B2" s="1943"/>
      <c r="C2" s="1943"/>
      <c r="D2" s="1943"/>
      <c r="E2" s="1943"/>
      <c r="F2" s="1943"/>
      <c r="G2" s="1943"/>
      <c r="H2" s="1943"/>
      <c r="I2" s="1943"/>
    </row>
    <row r="3" spans="1:32" ht="24">
      <c r="A3" s="1943" t="s">
        <v>64</v>
      </c>
      <c r="B3" s="1943"/>
      <c r="C3" s="1943"/>
      <c r="D3" s="1943"/>
      <c r="E3" s="1943"/>
      <c r="F3" s="1943"/>
      <c r="G3" s="1943"/>
      <c r="H3" s="1943"/>
      <c r="I3" s="1943"/>
    </row>
    <row r="4" spans="1:32" ht="24">
      <c r="A4" s="1722" t="s">
        <v>459</v>
      </c>
      <c r="B4" s="1722"/>
      <c r="C4" s="1749"/>
      <c r="D4" s="1749" t="s">
        <v>484</v>
      </c>
      <c r="E4" s="1722"/>
      <c r="F4" s="1722"/>
      <c r="G4" s="1722"/>
      <c r="H4" s="1684"/>
      <c r="I4" s="1750"/>
    </row>
    <row r="5" spans="1:32" ht="24">
      <c r="A5" s="1641" t="s">
        <v>458</v>
      </c>
      <c r="B5" s="1641"/>
      <c r="C5" s="1751"/>
      <c r="D5" s="1641" t="s">
        <v>478</v>
      </c>
      <c r="E5" s="1641"/>
      <c r="F5" s="1641"/>
      <c r="G5" s="1752"/>
      <c r="H5" s="1696"/>
      <c r="I5" s="1753"/>
    </row>
    <row r="6" spans="1:32" ht="24">
      <c r="A6" s="1641" t="s">
        <v>457</v>
      </c>
      <c r="B6" s="1641"/>
      <c r="C6" s="1641"/>
      <c r="D6" s="1754" t="s">
        <v>479</v>
      </c>
      <c r="E6" s="1754"/>
      <c r="F6" s="1754"/>
      <c r="G6" s="1752" t="s">
        <v>6</v>
      </c>
      <c r="H6" s="1696" t="s">
        <v>476</v>
      </c>
      <c r="I6" s="1755"/>
    </row>
    <row r="7" spans="1:32" ht="24">
      <c r="A7" s="1756" t="s">
        <v>456</v>
      </c>
      <c r="B7" s="1686"/>
      <c r="C7" s="1944" t="s">
        <v>485</v>
      </c>
      <c r="D7" s="1944"/>
      <c r="E7" s="1944"/>
      <c r="F7" s="1757" t="s">
        <v>487</v>
      </c>
      <c r="G7" s="1757" t="s">
        <v>488</v>
      </c>
      <c r="H7" s="1758" t="s">
        <v>471</v>
      </c>
      <c r="I7" s="1955" t="s">
        <v>45</v>
      </c>
    </row>
    <row r="8" spans="1:32" ht="9.75" customHeight="1" thickBot="1">
      <c r="A8" s="1687"/>
      <c r="B8" s="1688"/>
      <c r="C8" s="1689"/>
      <c r="D8" s="1689"/>
      <c r="E8" s="1690"/>
      <c r="F8" s="1689"/>
      <c r="G8" s="1691"/>
      <c r="H8" s="1691"/>
      <c r="I8" s="1956"/>
    </row>
    <row r="9" spans="1:32" ht="24.75" thickTop="1">
      <c r="A9" s="1945" t="s">
        <v>9</v>
      </c>
      <c r="B9" s="1947" t="s">
        <v>10</v>
      </c>
      <c r="C9" s="1948"/>
      <c r="D9" s="1948"/>
      <c r="E9" s="1949"/>
      <c r="F9" s="1945" t="s">
        <v>34</v>
      </c>
      <c r="G9" s="1945" t="s">
        <v>35</v>
      </c>
      <c r="H9" s="1692" t="s">
        <v>66</v>
      </c>
      <c r="I9" s="1953" t="s">
        <v>13</v>
      </c>
    </row>
    <row r="10" spans="1:32" ht="24.75" thickBot="1">
      <c r="A10" s="1946"/>
      <c r="B10" s="1950"/>
      <c r="C10" s="1951"/>
      <c r="D10" s="1951"/>
      <c r="E10" s="1952"/>
      <c r="F10" s="1946"/>
      <c r="G10" s="1946"/>
      <c r="H10" s="1693" t="s">
        <v>67</v>
      </c>
      <c r="I10" s="1954"/>
      <c r="AA10" s="1694" t="s">
        <v>463</v>
      </c>
    </row>
    <row r="11" spans="1:32" ht="26.25" customHeight="1" thickTop="1">
      <c r="A11" s="1643">
        <v>1</v>
      </c>
      <c r="B11" s="1695" t="s">
        <v>477</v>
      </c>
      <c r="C11" s="1696"/>
      <c r="D11" s="1696"/>
      <c r="E11" s="1523"/>
      <c r="F11" s="1697"/>
      <c r="G11" s="1698" t="s">
        <v>184</v>
      </c>
      <c r="H11" s="1699"/>
      <c r="I11" s="1700" t="s">
        <v>464</v>
      </c>
      <c r="J11" s="1701"/>
      <c r="K11" s="1702"/>
      <c r="L11" s="1702"/>
      <c r="M11" s="1702"/>
      <c r="N11" s="1702"/>
      <c r="O11" s="1702"/>
      <c r="P11" s="1702"/>
      <c r="Q11" s="1702"/>
      <c r="R11" s="1702"/>
      <c r="S11" s="1702"/>
      <c r="T11" s="1702"/>
      <c r="U11" s="1702"/>
      <c r="V11" s="1702"/>
      <c r="W11" s="1702"/>
      <c r="X11" s="1702"/>
      <c r="Y11" s="1702"/>
      <c r="Z11" s="1703"/>
      <c r="AA11" s="1704">
        <f>F11</f>
        <v>0</v>
      </c>
      <c r="AB11" s="1705">
        <v>350</v>
      </c>
      <c r="AC11" s="1706">
        <f>ROUND(AA11*AB11,2)</f>
        <v>0</v>
      </c>
      <c r="AD11" s="1705">
        <v>90</v>
      </c>
      <c r="AE11" s="1706">
        <f>ROUND(AA11*AD11,2)</f>
        <v>0</v>
      </c>
      <c r="AF11" s="1707">
        <f t="shared" ref="AF11:AF16" si="0">AC11+AE11</f>
        <v>0</v>
      </c>
    </row>
    <row r="12" spans="1:32" ht="24">
      <c r="A12" s="1643">
        <v>2</v>
      </c>
      <c r="B12" s="1695" t="s">
        <v>462</v>
      </c>
      <c r="C12" s="1696"/>
      <c r="D12" s="1696"/>
      <c r="E12" s="1708"/>
      <c r="F12" s="1709"/>
      <c r="G12" s="1710" t="s">
        <v>183</v>
      </c>
      <c r="H12" s="1709"/>
      <c r="I12" s="1700"/>
      <c r="J12" s="1701"/>
      <c r="K12" s="1702"/>
      <c r="L12" s="1702"/>
      <c r="M12" s="1702"/>
      <c r="N12" s="1702"/>
      <c r="O12" s="1702"/>
      <c r="P12" s="1702"/>
      <c r="Q12" s="1702"/>
      <c r="R12" s="1702"/>
      <c r="S12" s="1702"/>
      <c r="T12" s="1702"/>
      <c r="U12" s="1702"/>
      <c r="V12" s="1702"/>
      <c r="W12" s="1702"/>
      <c r="X12" s="1702"/>
      <c r="Y12" s="1702"/>
      <c r="Z12" s="1703"/>
      <c r="AA12" s="1711">
        <f>F12</f>
        <v>0</v>
      </c>
      <c r="AB12" s="1712">
        <v>135</v>
      </c>
      <c r="AC12" s="1713">
        <f t="shared" ref="AC12:AC16" si="1">ROUND(AA12*AB12,2)</f>
        <v>0</v>
      </c>
      <c r="AD12" s="1712">
        <v>35</v>
      </c>
      <c r="AE12" s="1713">
        <f t="shared" ref="AE12:AE16" si="2">ROUND(AA12*AD12,2)</f>
        <v>0</v>
      </c>
      <c r="AF12" s="1700">
        <f t="shared" si="0"/>
        <v>0</v>
      </c>
    </row>
    <row r="13" spans="1:32" ht="24">
      <c r="A13" s="1714">
        <f>A12+1</f>
        <v>3</v>
      </c>
      <c r="B13" s="1715" t="s">
        <v>460</v>
      </c>
      <c r="C13" s="1696"/>
      <c r="D13" s="1523"/>
      <c r="E13" s="1523"/>
      <c r="F13" s="1709"/>
      <c r="G13" s="1710" t="s">
        <v>182</v>
      </c>
      <c r="H13" s="1709"/>
      <c r="I13" s="1700"/>
      <c r="J13" s="1701"/>
      <c r="K13" s="1702"/>
      <c r="L13" s="1702"/>
      <c r="M13" s="1702"/>
      <c r="N13" s="1702"/>
      <c r="O13" s="1702"/>
      <c r="P13" s="1702"/>
      <c r="Q13" s="1702"/>
      <c r="R13" s="1702"/>
      <c r="S13" s="1702"/>
      <c r="T13" s="1702"/>
      <c r="U13" s="1702"/>
      <c r="V13" s="1702"/>
      <c r="W13" s="1702"/>
      <c r="X13" s="1702"/>
      <c r="Y13" s="1702"/>
      <c r="Z13" s="1703"/>
      <c r="AA13" s="1711">
        <v>1</v>
      </c>
      <c r="AB13" s="1712">
        <v>80000</v>
      </c>
      <c r="AC13" s="1713">
        <f t="shared" si="1"/>
        <v>80000</v>
      </c>
      <c r="AD13" s="1712">
        <v>0</v>
      </c>
      <c r="AE13" s="1713">
        <f t="shared" si="2"/>
        <v>0</v>
      </c>
      <c r="AF13" s="1700">
        <f t="shared" si="0"/>
        <v>80000</v>
      </c>
    </row>
    <row r="14" spans="1:32" ht="24">
      <c r="A14" s="1714">
        <f t="shared" ref="A14" si="3">A13+1</f>
        <v>4</v>
      </c>
      <c r="B14" s="1715" t="s">
        <v>461</v>
      </c>
      <c r="C14" s="1696"/>
      <c r="D14" s="1523"/>
      <c r="E14" s="1523"/>
      <c r="F14" s="1709"/>
      <c r="G14" s="1710" t="s">
        <v>33</v>
      </c>
      <c r="H14" s="1709"/>
      <c r="I14" s="1700"/>
      <c r="J14" s="1701"/>
      <c r="K14" s="1702"/>
      <c r="L14" s="1702"/>
      <c r="M14" s="1702"/>
      <c r="N14" s="1702"/>
      <c r="O14" s="1702"/>
      <c r="P14" s="1702"/>
      <c r="Q14" s="1702"/>
      <c r="R14" s="1702"/>
      <c r="S14" s="1702"/>
      <c r="T14" s="1702"/>
      <c r="U14" s="1702"/>
      <c r="V14" s="1702"/>
      <c r="W14" s="1702"/>
      <c r="X14" s="1702"/>
      <c r="Y14" s="1702"/>
      <c r="Z14" s="1703"/>
      <c r="AA14" s="1711">
        <v>16</v>
      </c>
      <c r="AB14" s="1712">
        <f>2*1500*30</f>
        <v>90000</v>
      </c>
      <c r="AC14" s="1713">
        <f t="shared" si="1"/>
        <v>1440000</v>
      </c>
      <c r="AD14" s="1712">
        <v>0</v>
      </c>
      <c r="AE14" s="1713">
        <f t="shared" si="2"/>
        <v>0</v>
      </c>
      <c r="AF14" s="1700">
        <f t="shared" si="0"/>
        <v>1440000</v>
      </c>
    </row>
    <row r="15" spans="1:32" ht="24">
      <c r="A15" s="1714">
        <f>A14+1</f>
        <v>5</v>
      </c>
      <c r="B15" s="1716" t="s">
        <v>466</v>
      </c>
      <c r="C15" s="1696"/>
      <c r="D15" s="1523"/>
      <c r="E15" s="1523"/>
      <c r="F15" s="1709"/>
      <c r="G15" s="1710" t="s">
        <v>33</v>
      </c>
      <c r="H15" s="1709"/>
      <c r="I15" s="1700"/>
      <c r="J15" s="1701"/>
      <c r="K15" s="1702"/>
      <c r="L15" s="1702"/>
      <c r="M15" s="1702"/>
      <c r="N15" s="1702"/>
      <c r="O15" s="1702"/>
      <c r="P15" s="1702"/>
      <c r="Q15" s="1702"/>
      <c r="R15" s="1702"/>
      <c r="S15" s="1702"/>
      <c r="T15" s="1702"/>
      <c r="U15" s="1702"/>
      <c r="V15" s="1702"/>
      <c r="W15" s="1702"/>
      <c r="X15" s="1702"/>
      <c r="Y15" s="1702"/>
      <c r="Z15" s="1703"/>
      <c r="AA15" s="1711">
        <f>F15</f>
        <v>0</v>
      </c>
      <c r="AB15" s="1712">
        <v>0</v>
      </c>
      <c r="AC15" s="1713">
        <f t="shared" si="1"/>
        <v>0</v>
      </c>
      <c r="AD15" s="1712">
        <v>120000</v>
      </c>
      <c r="AE15" s="1713">
        <f t="shared" si="2"/>
        <v>0</v>
      </c>
      <c r="AF15" s="1700">
        <f t="shared" si="0"/>
        <v>0</v>
      </c>
    </row>
    <row r="16" spans="1:32" ht="24">
      <c r="A16" s="1714"/>
      <c r="B16" s="1716"/>
      <c r="C16" s="1696"/>
      <c r="D16" s="1523"/>
      <c r="E16" s="1523"/>
      <c r="F16" s="1709"/>
      <c r="G16" s="1710"/>
      <c r="H16" s="1709"/>
      <c r="I16" s="1700"/>
      <c r="J16" s="1701"/>
      <c r="K16" s="1702"/>
      <c r="L16" s="1702"/>
      <c r="M16" s="1702"/>
      <c r="N16" s="1702"/>
      <c r="O16" s="1702"/>
      <c r="P16" s="1702"/>
      <c r="Q16" s="1702"/>
      <c r="R16" s="1702"/>
      <c r="S16" s="1702"/>
      <c r="T16" s="1702"/>
      <c r="U16" s="1702"/>
      <c r="V16" s="1702"/>
      <c r="W16" s="1702"/>
      <c r="X16" s="1702"/>
      <c r="Y16" s="1702"/>
      <c r="Z16" s="1703"/>
      <c r="AA16" s="1717">
        <v>1</v>
      </c>
      <c r="AB16" s="1718">
        <f>978935.24-240945.16</f>
        <v>737990.08</v>
      </c>
      <c r="AC16" s="1719">
        <f t="shared" si="1"/>
        <v>737990.08</v>
      </c>
      <c r="AD16" s="1718">
        <v>0</v>
      </c>
      <c r="AE16" s="1719">
        <f t="shared" si="2"/>
        <v>0</v>
      </c>
      <c r="AF16" s="1720">
        <f t="shared" si="0"/>
        <v>737990.08</v>
      </c>
    </row>
    <row r="17" spans="1:9" ht="24">
      <c r="A17" s="1721"/>
      <c r="B17" s="1722"/>
      <c r="C17" s="1685"/>
      <c r="D17" s="1683"/>
      <c r="E17" s="1683"/>
      <c r="F17" s="1723"/>
      <c r="G17" s="1683"/>
      <c r="H17" s="1724"/>
      <c r="I17" s="1725"/>
    </row>
    <row r="18" spans="1:9">
      <c r="A18" s="1721"/>
      <c r="B18" s="1682"/>
      <c r="C18" s="1685"/>
      <c r="D18" s="1683"/>
      <c r="E18" s="1683"/>
      <c r="F18" s="1723"/>
      <c r="G18" s="1683"/>
      <c r="H18" s="1724"/>
      <c r="I18" s="1725"/>
    </row>
    <row r="19" spans="1:9">
      <c r="A19" s="1721"/>
      <c r="B19" s="1682"/>
      <c r="C19" s="1685"/>
      <c r="D19" s="1683"/>
      <c r="E19" s="1683"/>
      <c r="F19" s="1723"/>
      <c r="G19" s="1683"/>
      <c r="H19" s="1724"/>
      <c r="I19" s="1725"/>
    </row>
    <row r="20" spans="1:9">
      <c r="A20" s="1721"/>
      <c r="B20" s="1682"/>
      <c r="C20" s="1685"/>
      <c r="D20" s="1683"/>
      <c r="E20" s="1683"/>
      <c r="F20" s="1723"/>
      <c r="G20" s="1683"/>
      <c r="H20" s="1724"/>
      <c r="I20" s="1725"/>
    </row>
    <row r="21" spans="1:9">
      <c r="A21" s="1721"/>
      <c r="B21" s="1682"/>
      <c r="C21" s="1685"/>
      <c r="D21" s="1683"/>
      <c r="E21" s="1683"/>
      <c r="F21" s="1723"/>
      <c r="G21" s="1683"/>
      <c r="H21" s="1724"/>
      <c r="I21" s="1725"/>
    </row>
    <row r="22" spans="1:9">
      <c r="A22" s="1721"/>
      <c r="B22" s="1683"/>
      <c r="C22" s="1685"/>
      <c r="D22" s="1682"/>
      <c r="E22" s="1682"/>
      <c r="F22" s="1726"/>
      <c r="G22" s="1682"/>
      <c r="H22" s="1727"/>
      <c r="I22" s="1725"/>
    </row>
    <row r="23" spans="1:9">
      <c r="A23" s="1721"/>
      <c r="B23" s="1683"/>
      <c r="C23" s="1685"/>
      <c r="D23" s="1685"/>
      <c r="E23" s="1682"/>
      <c r="F23" s="1726"/>
      <c r="G23" s="1728"/>
      <c r="H23" s="1724"/>
      <c r="I23" s="1725"/>
    </row>
    <row r="24" spans="1:9">
      <c r="A24" s="1721"/>
      <c r="B24" s="1683"/>
      <c r="C24" s="1685"/>
      <c r="D24" s="1685"/>
      <c r="E24" s="1682"/>
      <c r="F24" s="1726"/>
      <c r="G24" s="1728"/>
      <c r="H24" s="1724"/>
      <c r="I24" s="1725"/>
    </row>
    <row r="25" spans="1:9">
      <c r="A25" s="1729"/>
      <c r="B25" s="1730"/>
      <c r="C25" s="1685"/>
      <c r="D25" s="1685"/>
      <c r="E25" s="1731"/>
      <c r="F25" s="1732"/>
      <c r="G25" s="1731"/>
      <c r="H25" s="1724"/>
      <c r="I25" s="1733"/>
    </row>
    <row r="26" spans="1:9">
      <c r="A26" s="1729"/>
      <c r="B26" s="1730"/>
      <c r="C26" s="1685"/>
      <c r="D26" s="1685"/>
      <c r="E26" s="1731"/>
      <c r="F26" s="1732"/>
      <c r="G26" s="1731"/>
      <c r="H26" s="1724"/>
      <c r="I26" s="1733"/>
    </row>
    <row r="27" spans="1:9">
      <c r="A27" s="1734"/>
      <c r="B27" s="1682"/>
      <c r="C27" s="1682"/>
      <c r="D27" s="1685"/>
      <c r="E27" s="1731"/>
      <c r="F27" s="1735"/>
      <c r="G27" s="1736"/>
      <c r="H27" s="1726"/>
      <c r="I27" s="1725"/>
    </row>
    <row r="28" spans="1:9" ht="22.5" thickBot="1">
      <c r="A28" s="1737"/>
      <c r="B28" s="1738"/>
      <c r="C28" s="1738"/>
      <c r="D28" s="1739"/>
      <c r="E28" s="1739"/>
      <c r="F28" s="1740"/>
      <c r="G28" s="1741"/>
      <c r="H28" s="1742"/>
      <c r="I28" s="1743"/>
    </row>
    <row r="29" spans="1:9" ht="25.5" thickTop="1" thickBot="1">
      <c r="A29" s="1744"/>
      <c r="B29" s="1941" t="s">
        <v>68</v>
      </c>
      <c r="C29" s="1941"/>
      <c r="D29" s="1941"/>
      <c r="E29" s="1941"/>
      <c r="F29" s="1942"/>
      <c r="G29" s="1940"/>
      <c r="H29" s="1745"/>
      <c r="I29" s="1746"/>
    </row>
    <row r="30" spans="1:9" ht="22.5" thickTop="1"/>
  </sheetData>
  <mergeCells count="11">
    <mergeCell ref="B29:E29"/>
    <mergeCell ref="F29:G29"/>
    <mergeCell ref="A2:I2"/>
    <mergeCell ref="A3:I3"/>
    <mergeCell ref="C7:E7"/>
    <mergeCell ref="A9:A10"/>
    <mergeCell ref="B9:E10"/>
    <mergeCell ref="F9:F10"/>
    <mergeCell ref="G9:G10"/>
    <mergeCell ref="I9:I10"/>
    <mergeCell ref="I7:I8"/>
  </mergeCells>
  <printOptions horizontalCentered="1"/>
  <pageMargins left="0" right="0" top="0.35433070866141736" bottom="0.47244094488188981" header="0.35433070866141736" footer="0.19685039370078741"/>
  <pageSetup paperSize="9" scale="85" orientation="landscape" r:id="rId1"/>
  <headerFooter>
    <oddHeader xml:space="preserve">&amp;Rแผ่นที่ &amp;P ใน &amp;N แผ่น           </oddHeader>
    <oddFooter xml:space="preserve">&amp;Rค่าใช้จ่ายพิเศษตามข้อกำหนด - ทั้งโครงการ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showGridLines="0" view="pageBreakPreview" topLeftCell="A22" zoomScale="90" zoomScaleSheetLayoutView="90" workbookViewId="0">
      <selection activeCell="G30" sqref="G30"/>
    </sheetView>
  </sheetViews>
  <sheetFormatPr defaultRowHeight="18" customHeight="1"/>
  <cols>
    <col min="1" max="1" width="12.28515625" style="247" customWidth="1"/>
    <col min="2" max="2" width="6.85546875" style="303" customWidth="1"/>
    <col min="3" max="3" width="22" style="247" customWidth="1"/>
    <col min="4" max="4" width="7.7109375" style="247" customWidth="1"/>
    <col min="5" max="5" width="50.7109375" style="247" customWidth="1"/>
    <col min="6" max="6" width="22" style="247" customWidth="1"/>
    <col min="7" max="7" width="15" style="247" customWidth="1"/>
    <col min="8" max="8" width="19.140625" style="247" customWidth="1"/>
    <col min="9" max="9" width="18.42578125" style="247" customWidth="1"/>
    <col min="10" max="11" width="9.140625" style="247"/>
    <col min="12" max="12" width="17" style="247" bestFit="1" customWidth="1"/>
    <col min="13" max="16384" width="9.140625" style="247"/>
  </cols>
  <sheetData>
    <row r="1" spans="1:13" ht="18" customHeight="1">
      <c r="A1" s="240"/>
      <c r="B1" s="239"/>
      <c r="C1" s="240"/>
      <c r="D1" s="240"/>
      <c r="E1" s="240"/>
      <c r="F1" s="240"/>
      <c r="G1" s="240"/>
      <c r="H1" s="1957" t="s">
        <v>0</v>
      </c>
      <c r="I1" s="1957"/>
    </row>
    <row r="2" spans="1:13" ht="18" customHeight="1">
      <c r="A2" s="1958" t="s">
        <v>1</v>
      </c>
      <c r="B2" s="1958"/>
      <c r="C2" s="1958"/>
      <c r="D2" s="1958"/>
      <c r="E2" s="1958"/>
      <c r="F2" s="1958"/>
      <c r="G2" s="1958"/>
      <c r="H2" s="1958"/>
      <c r="I2" s="1958"/>
      <c r="J2" s="240"/>
    </row>
    <row r="3" spans="1:13" ht="18" customHeight="1">
      <c r="A3" s="243" t="s">
        <v>2</v>
      </c>
      <c r="B3" s="292" t="s">
        <v>70</v>
      </c>
      <c r="C3" s="293"/>
      <c r="D3" s="293"/>
      <c r="E3" s="293"/>
      <c r="F3" s="293"/>
      <c r="G3" s="293"/>
      <c r="H3" s="294"/>
      <c r="I3" s="294"/>
    </row>
    <row r="4" spans="1:13" ht="18" customHeight="1">
      <c r="A4" s="242" t="s">
        <v>3</v>
      </c>
      <c r="B4" s="295" t="s">
        <v>71</v>
      </c>
      <c r="C4" s="296"/>
      <c r="D4" s="296"/>
      <c r="E4" s="296"/>
      <c r="F4" s="296"/>
      <c r="G4" s="296"/>
      <c r="H4" s="297"/>
      <c r="I4" s="297"/>
    </row>
    <row r="5" spans="1:13" ht="18" customHeight="1">
      <c r="A5" s="242" t="s">
        <v>4</v>
      </c>
      <c r="B5" s="298"/>
      <c r="C5" s="243" t="s">
        <v>73</v>
      </c>
      <c r="D5" s="242"/>
      <c r="E5" s="242"/>
      <c r="F5" s="242"/>
      <c r="G5" s="242"/>
      <c r="H5" s="297"/>
      <c r="I5" s="297"/>
    </row>
    <row r="6" spans="1:13" ht="18" customHeight="1">
      <c r="A6" s="242" t="s">
        <v>5</v>
      </c>
      <c r="B6" s="298"/>
      <c r="C6" s="242" t="s">
        <v>74</v>
      </c>
      <c r="D6" s="242"/>
      <c r="E6" s="242"/>
      <c r="F6" s="242"/>
      <c r="G6" s="242"/>
      <c r="H6" s="297"/>
      <c r="I6" s="297"/>
    </row>
    <row r="7" spans="1:13" ht="18" customHeight="1">
      <c r="A7" s="242" t="s">
        <v>6</v>
      </c>
      <c r="B7" s="298"/>
      <c r="C7" s="242"/>
      <c r="D7" s="299"/>
      <c r="E7" s="299"/>
      <c r="F7" s="299"/>
      <c r="G7" s="299"/>
      <c r="H7" s="297"/>
      <c r="I7" s="297"/>
    </row>
    <row r="8" spans="1:13" ht="18" customHeight="1">
      <c r="A8" s="242" t="s">
        <v>7</v>
      </c>
      <c r="B8" s="298"/>
      <c r="C8" s="242"/>
      <c r="D8" s="300" t="s">
        <v>76</v>
      </c>
      <c r="E8" s="300"/>
      <c r="F8" s="300"/>
      <c r="G8" s="300"/>
      <c r="H8" s="297"/>
      <c r="I8" s="297"/>
      <c r="K8" s="247" t="s">
        <v>28</v>
      </c>
    </row>
    <row r="9" spans="1:13" ht="18" customHeight="1">
      <c r="A9" s="242" t="s">
        <v>49</v>
      </c>
      <c r="B9" s="298"/>
      <c r="C9" s="301"/>
      <c r="D9" s="90" t="s">
        <v>50</v>
      </c>
      <c r="E9" s="90"/>
      <c r="F9" s="90"/>
      <c r="G9" s="90"/>
      <c r="H9" s="297"/>
      <c r="I9" s="297"/>
    </row>
    <row r="10" spans="1:13" ht="18" customHeight="1">
      <c r="A10" s="242" t="s">
        <v>454</v>
      </c>
      <c r="B10" s="298"/>
      <c r="C10" s="302"/>
      <c r="D10" s="296"/>
      <c r="E10" s="296"/>
      <c r="F10" s="296"/>
      <c r="G10" s="296"/>
      <c r="H10" s="297"/>
      <c r="I10" s="297"/>
    </row>
    <row r="11" spans="1:13" ht="15" customHeight="1" thickBot="1">
      <c r="C11" s="304"/>
      <c r="D11" s="240"/>
      <c r="E11" s="240"/>
      <c r="F11" s="240"/>
      <c r="G11" s="240"/>
      <c r="H11" s="1959" t="s">
        <v>8</v>
      </c>
      <c r="I11" s="1959"/>
    </row>
    <row r="12" spans="1:13" ht="18" customHeight="1" thickTop="1">
      <c r="A12" s="1960" t="s">
        <v>9</v>
      </c>
      <c r="B12" s="1962" t="s">
        <v>10</v>
      </c>
      <c r="C12" s="1963"/>
      <c r="D12" s="1963"/>
      <c r="E12" s="1964"/>
      <c r="F12" s="1960" t="s">
        <v>11</v>
      </c>
      <c r="G12" s="1960" t="s">
        <v>27</v>
      </c>
      <c r="H12" s="1968" t="s">
        <v>12</v>
      </c>
      <c r="I12" s="1968" t="s">
        <v>13</v>
      </c>
    </row>
    <row r="13" spans="1:13" ht="11.25" customHeight="1" thickBot="1">
      <c r="A13" s="1961"/>
      <c r="B13" s="1965"/>
      <c r="C13" s="1966"/>
      <c r="D13" s="1966"/>
      <c r="E13" s="1967"/>
      <c r="F13" s="1961"/>
      <c r="G13" s="1961"/>
      <c r="H13" s="1969"/>
      <c r="I13" s="1969"/>
    </row>
    <row r="14" spans="1:13" ht="23.25" customHeight="1" thickTop="1">
      <c r="A14" s="305" t="s">
        <v>14</v>
      </c>
      <c r="B14" s="1970" t="s">
        <v>15</v>
      </c>
      <c r="C14" s="1971"/>
      <c r="D14" s="1971"/>
      <c r="E14" s="241"/>
      <c r="F14" s="253"/>
      <c r="G14" s="306"/>
      <c r="H14" s="249"/>
      <c r="I14" s="249"/>
    </row>
    <row r="15" spans="1:13" ht="19.5" customHeight="1">
      <c r="A15" s="250"/>
      <c r="B15" s="307" t="s">
        <v>16</v>
      </c>
      <c r="C15" s="308" t="s">
        <v>17</v>
      </c>
      <c r="D15" s="296"/>
      <c r="E15" s="296"/>
      <c r="F15" s="309"/>
      <c r="G15" s="310"/>
      <c r="H15" s="251"/>
      <c r="I15" s="252"/>
    </row>
    <row r="16" spans="1:13" ht="20.25" customHeight="1">
      <c r="A16" s="253"/>
      <c r="B16" s="311" t="s">
        <v>72</v>
      </c>
      <c r="C16" s="246" t="s">
        <v>413</v>
      </c>
      <c r="D16" s="241"/>
      <c r="E16" s="293"/>
      <c r="F16" s="248">
        <f>'[2]1.2.A-ST+BD'!$L$32</f>
        <v>22967280.640000001</v>
      </c>
      <c r="G16" s="312">
        <v>1.1900999999999999</v>
      </c>
      <c r="H16" s="255">
        <f>+F16*G16</f>
        <v>27333360.689663999</v>
      </c>
      <c r="I16" s="254"/>
      <c r="L16" s="343">
        <f>F16+F25+F34+F43+F52+F61</f>
        <v>47666814.390000001</v>
      </c>
      <c r="M16" s="247" t="s">
        <v>404</v>
      </c>
    </row>
    <row r="17" spans="1:13" ht="20.25" customHeight="1">
      <c r="A17" s="253"/>
      <c r="B17" s="311" t="s">
        <v>72</v>
      </c>
      <c r="C17" s="246" t="s">
        <v>414</v>
      </c>
      <c r="D17" s="241"/>
      <c r="E17" s="293"/>
      <c r="F17" s="248">
        <f>'[3]1.2.A-ST+BD'!$L$31</f>
        <v>25359800.559999995</v>
      </c>
      <c r="G17" s="312">
        <v>1.1900999999999999</v>
      </c>
      <c r="H17" s="255">
        <f t="shared" ref="H17:H22" si="0">+F17*G17</f>
        <v>30180698.646455992</v>
      </c>
      <c r="I17" s="254"/>
      <c r="L17" s="343">
        <f>F17+F26+F35+F44+F53+F62+F67</f>
        <v>62956848.499999993</v>
      </c>
    </row>
    <row r="18" spans="1:13" ht="20.25" customHeight="1">
      <c r="A18" s="253"/>
      <c r="B18" s="311" t="s">
        <v>72</v>
      </c>
      <c r="C18" s="246" t="s">
        <v>415</v>
      </c>
      <c r="D18" s="241"/>
      <c r="E18" s="293"/>
      <c r="F18" s="248">
        <f>'[4]1.2.C-ST+BD'!$L$30</f>
        <v>7472605.0299999993</v>
      </c>
      <c r="G18" s="312">
        <v>1.1900999999999999</v>
      </c>
      <c r="H18" s="255">
        <f t="shared" si="0"/>
        <v>8893147.2462029979</v>
      </c>
      <c r="I18" s="254"/>
      <c r="L18" s="343">
        <f>F18+F27+F36+F45+F54</f>
        <v>14958717.279999999</v>
      </c>
    </row>
    <row r="19" spans="1:13" ht="20.25" customHeight="1">
      <c r="A19" s="253"/>
      <c r="B19" s="311" t="s">
        <v>72</v>
      </c>
      <c r="C19" s="246" t="s">
        <v>416</v>
      </c>
      <c r="D19" s="241"/>
      <c r="E19" s="293"/>
      <c r="F19" s="248">
        <f>'[5]1.2.D-ST+BD'!$L$30</f>
        <v>7472605.0299999993</v>
      </c>
      <c r="G19" s="312">
        <v>1.1900999999999999</v>
      </c>
      <c r="H19" s="255">
        <f t="shared" si="0"/>
        <v>8893147.2462029979</v>
      </c>
      <c r="I19" s="254"/>
      <c r="L19" s="343">
        <f>F19+F28+F37+F46+F55</f>
        <v>13865903.029999999</v>
      </c>
    </row>
    <row r="20" spans="1:13" ht="20.25" customHeight="1">
      <c r="A20" s="253"/>
      <c r="B20" s="311" t="s">
        <v>72</v>
      </c>
      <c r="C20" s="246" t="s">
        <v>417</v>
      </c>
      <c r="D20" s="241"/>
      <c r="E20" s="293"/>
      <c r="F20" s="248">
        <f>'[6]1.2.E-ST+BD'!$L$29</f>
        <v>3848013.4699999997</v>
      </c>
      <c r="G20" s="312">
        <v>1.1900999999999999</v>
      </c>
      <c r="H20" s="255">
        <f t="shared" si="0"/>
        <v>4579520.8306469992</v>
      </c>
      <c r="I20" s="254"/>
      <c r="L20" s="343">
        <f>F20+F29+F38+F47+F56+F63</f>
        <v>7342314.2199999997</v>
      </c>
    </row>
    <row r="21" spans="1:13" ht="20.25" customHeight="1">
      <c r="A21" s="253"/>
      <c r="B21" s="311" t="s">
        <v>72</v>
      </c>
      <c r="C21" s="246" t="s">
        <v>418</v>
      </c>
      <c r="D21" s="241"/>
      <c r="E21" s="293"/>
      <c r="F21" s="248">
        <f>'[7]1.F.A-ST+BD'!$L$30</f>
        <v>202972.59000000003</v>
      </c>
      <c r="G21" s="312">
        <v>1.1900999999999999</v>
      </c>
      <c r="H21" s="255">
        <f t="shared" si="0"/>
        <v>241557.67935900003</v>
      </c>
      <c r="I21" s="254"/>
      <c r="L21" s="343">
        <f>F21+F30+F39+F48+F57</f>
        <v>525196.59000000008</v>
      </c>
    </row>
    <row r="22" spans="1:13" ht="20.25" customHeight="1" thickBot="1">
      <c r="A22" s="253"/>
      <c r="B22" s="311" t="s">
        <v>72</v>
      </c>
      <c r="C22" s="246" t="s">
        <v>419</v>
      </c>
      <c r="D22" s="241"/>
      <c r="E22" s="293"/>
      <c r="F22" s="248">
        <f>'[8]1.2.G-ST+BD'!$L$30</f>
        <v>8719981.540000001</v>
      </c>
      <c r="G22" s="312">
        <v>1.1900999999999999</v>
      </c>
      <c r="H22" s="255">
        <f t="shared" si="0"/>
        <v>10377650.030754</v>
      </c>
      <c r="I22" s="254"/>
      <c r="L22" s="343">
        <f>F22+F31+F40+F49+F58+F64</f>
        <v>45410023.039999999</v>
      </c>
    </row>
    <row r="23" spans="1:13" ht="20.25" customHeight="1" thickTop="1">
      <c r="A23" s="253"/>
      <c r="B23" s="311"/>
      <c r="C23" s="246"/>
      <c r="D23" s="241"/>
      <c r="E23" s="293"/>
      <c r="F23" s="328">
        <f>SUM(F16:F22)</f>
        <v>76043258.860000014</v>
      </c>
      <c r="G23" s="329"/>
      <c r="H23" s="328">
        <f>SUM(H16:H22)</f>
        <v>90499082.369285986</v>
      </c>
      <c r="I23" s="254"/>
      <c r="L23" s="343"/>
    </row>
    <row r="24" spans="1:13" ht="20.25" customHeight="1">
      <c r="A24" s="253"/>
      <c r="B24" s="311"/>
      <c r="C24" s="246"/>
      <c r="D24" s="241"/>
      <c r="E24" s="293"/>
      <c r="F24" s="353"/>
      <c r="G24" s="354"/>
      <c r="H24" s="355"/>
      <c r="I24" s="254"/>
      <c r="L24" s="343"/>
    </row>
    <row r="25" spans="1:13" ht="21" customHeight="1">
      <c r="A25" s="253"/>
      <c r="B25" s="311" t="s">
        <v>72</v>
      </c>
      <c r="C25" s="246" t="s">
        <v>420</v>
      </c>
      <c r="D25" s="242"/>
      <c r="E25" s="293"/>
      <c r="F25" s="251">
        <f>'[2]1.1.A-AR+BD'!$K$29</f>
        <v>19600340.75</v>
      </c>
      <c r="G25" s="312">
        <v>1.1900999999999999</v>
      </c>
      <c r="H25" s="255">
        <f t="shared" ref="H25:H76" si="1">+F25*G25</f>
        <v>23326365.526574999</v>
      </c>
      <c r="I25" s="254"/>
      <c r="L25" s="343">
        <f>'[3]ปร.5(ก)'!$F$27+'[3]ปร.5(ก)'!$F$31</f>
        <v>0</v>
      </c>
      <c r="M25" s="247" t="s">
        <v>405</v>
      </c>
    </row>
    <row r="26" spans="1:13" ht="21" customHeight="1">
      <c r="A26" s="253"/>
      <c r="B26" s="311" t="s">
        <v>72</v>
      </c>
      <c r="C26" s="246" t="s">
        <v>421</v>
      </c>
      <c r="D26" s="243"/>
      <c r="E26" s="293"/>
      <c r="F26" s="251">
        <f>'[3]1.1.B-AR+BD'!$K$33</f>
        <v>28859736.939999998</v>
      </c>
      <c r="G26" s="312">
        <v>1.1900999999999999</v>
      </c>
      <c r="H26" s="255">
        <f t="shared" ref="H26:H31" si="2">+F26*G26</f>
        <v>34345972.932293996</v>
      </c>
      <c r="I26" s="254"/>
      <c r="L26" s="343"/>
    </row>
    <row r="27" spans="1:13" ht="21" customHeight="1">
      <c r="A27" s="253"/>
      <c r="B27" s="311" t="s">
        <v>72</v>
      </c>
      <c r="C27" s="246" t="s">
        <v>422</v>
      </c>
      <c r="D27" s="243"/>
      <c r="E27" s="293"/>
      <c r="F27" s="251">
        <f>'[4]1.1.C-AR+BD'!$K$30</f>
        <v>5151894.25</v>
      </c>
      <c r="G27" s="312">
        <v>1.1900999999999999</v>
      </c>
      <c r="H27" s="255">
        <f t="shared" si="2"/>
        <v>6131269.3469249997</v>
      </c>
      <c r="I27" s="254"/>
      <c r="L27" s="343"/>
    </row>
    <row r="28" spans="1:13" ht="21" customHeight="1">
      <c r="A28" s="253"/>
      <c r="B28" s="311" t="s">
        <v>72</v>
      </c>
      <c r="C28" s="246" t="s">
        <v>423</v>
      </c>
      <c r="D28" s="243"/>
      <c r="E28" s="293"/>
      <c r="F28" s="251">
        <f>'[5]1.1.D-AR+BD'!$K$30</f>
        <v>4636460</v>
      </c>
      <c r="G28" s="312">
        <v>1.1900999999999999</v>
      </c>
      <c r="H28" s="255">
        <f t="shared" si="2"/>
        <v>5517851.0460000001</v>
      </c>
      <c r="I28" s="254"/>
      <c r="L28" s="343"/>
    </row>
    <row r="29" spans="1:13" ht="21" customHeight="1">
      <c r="A29" s="253"/>
      <c r="B29" s="311" t="s">
        <v>72</v>
      </c>
      <c r="C29" s="246" t="s">
        <v>424</v>
      </c>
      <c r="D29" s="243"/>
      <c r="E29" s="293"/>
      <c r="F29" s="251">
        <f>'[6]1.1.E-AR+BD'!$K$30</f>
        <v>2318989.75</v>
      </c>
      <c r="G29" s="312">
        <v>1.1900999999999999</v>
      </c>
      <c r="H29" s="255">
        <f t="shared" si="2"/>
        <v>2759829.701475</v>
      </c>
      <c r="I29" s="254"/>
      <c r="L29" s="343"/>
    </row>
    <row r="30" spans="1:13" ht="21" customHeight="1">
      <c r="A30" s="253"/>
      <c r="B30" s="311" t="s">
        <v>72</v>
      </c>
      <c r="C30" s="246" t="s">
        <v>425</v>
      </c>
      <c r="D30" s="243"/>
      <c r="E30" s="293"/>
      <c r="F30" s="251">
        <f>'[7]1.1.F-AR+BD'!$K$27</f>
        <v>224839</v>
      </c>
      <c r="G30" s="312">
        <v>1.1900999999999999</v>
      </c>
      <c r="H30" s="255">
        <f t="shared" si="2"/>
        <v>267580.89389999997</v>
      </c>
      <c r="I30" s="254"/>
      <c r="L30" s="343"/>
    </row>
    <row r="31" spans="1:13" ht="21" customHeight="1" thickBot="1">
      <c r="A31" s="253"/>
      <c r="B31" s="311" t="s">
        <v>72</v>
      </c>
      <c r="C31" s="246" t="s">
        <v>426</v>
      </c>
      <c r="D31" s="243"/>
      <c r="E31" s="293"/>
      <c r="F31" s="251">
        <f>'[8]1.1.G-AR+BD'!$K$31</f>
        <v>16141041.5</v>
      </c>
      <c r="G31" s="312">
        <v>1.1900999999999999</v>
      </c>
      <c r="H31" s="255">
        <f t="shared" si="2"/>
        <v>19209453.489149999</v>
      </c>
      <c r="I31" s="254"/>
      <c r="L31" s="343"/>
    </row>
    <row r="32" spans="1:13" ht="21" customHeight="1" thickTop="1">
      <c r="A32" s="253"/>
      <c r="B32" s="311"/>
      <c r="C32" s="246"/>
      <c r="D32" s="243"/>
      <c r="E32" s="293"/>
      <c r="F32" s="328">
        <f>SUM(F25:F31)</f>
        <v>76933302.189999998</v>
      </c>
      <c r="G32" s="329"/>
      <c r="H32" s="328">
        <f>SUM(H25:H31)</f>
        <v>91558322.936318994</v>
      </c>
      <c r="I32" s="254"/>
      <c r="L32" s="343"/>
    </row>
    <row r="33" spans="1:13" ht="21" customHeight="1">
      <c r="A33" s="253"/>
      <c r="B33" s="311"/>
      <c r="C33" s="246"/>
      <c r="D33" s="243"/>
      <c r="E33" s="293"/>
      <c r="F33" s="353"/>
      <c r="G33" s="354"/>
      <c r="H33" s="355"/>
      <c r="I33" s="254"/>
      <c r="L33" s="343"/>
    </row>
    <row r="34" spans="1:13" ht="19.5" customHeight="1">
      <c r="A34" s="253"/>
      <c r="B34" s="311" t="s">
        <v>72</v>
      </c>
      <c r="C34" s="246" t="s">
        <v>427</v>
      </c>
      <c r="D34" s="243"/>
      <c r="E34" s="293"/>
      <c r="F34" s="251">
        <f>'[2]1.3.A-EE+BD'!$L$28</f>
        <v>0</v>
      </c>
      <c r="G34" s="312">
        <v>1.1801999999999999</v>
      </c>
      <c r="H34" s="255">
        <f t="shared" si="1"/>
        <v>0</v>
      </c>
      <c r="I34" s="254"/>
      <c r="L34" s="343">
        <f>'[4]ปร.5(ก)'!$F$23</f>
        <v>0</v>
      </c>
      <c r="M34" s="247" t="s">
        <v>406</v>
      </c>
    </row>
    <row r="35" spans="1:13" ht="19.5" customHeight="1">
      <c r="A35" s="253"/>
      <c r="B35" s="311" t="s">
        <v>72</v>
      </c>
      <c r="C35" s="246" t="s">
        <v>428</v>
      </c>
      <c r="D35" s="243"/>
      <c r="E35" s="293"/>
      <c r="F35" s="251">
        <f>'[3]1.3.B-EE+BD'!$L$30</f>
        <v>0</v>
      </c>
      <c r="G35" s="312">
        <v>1.1801999999999999</v>
      </c>
      <c r="H35" s="255">
        <f t="shared" ref="H35:H40" si="3">+F35*G35</f>
        <v>0</v>
      </c>
      <c r="I35" s="254"/>
      <c r="L35" s="343"/>
    </row>
    <row r="36" spans="1:13" ht="19.5" customHeight="1">
      <c r="A36" s="253"/>
      <c r="B36" s="311" t="s">
        <v>72</v>
      </c>
      <c r="C36" s="246" t="s">
        <v>429</v>
      </c>
      <c r="D36" s="243"/>
      <c r="E36" s="293"/>
      <c r="F36" s="251">
        <f>'[4]1.3.C-EE+BD'!$L$20</f>
        <v>1028716</v>
      </c>
      <c r="G36" s="312">
        <v>1.1801999999999999</v>
      </c>
      <c r="H36" s="255">
        <f t="shared" si="3"/>
        <v>1214090.6231999998</v>
      </c>
      <c r="I36" s="254"/>
      <c r="L36" s="343"/>
    </row>
    <row r="37" spans="1:13" ht="19.5" customHeight="1">
      <c r="A37" s="253"/>
      <c r="B37" s="311" t="s">
        <v>72</v>
      </c>
      <c r="C37" s="246" t="s">
        <v>430</v>
      </c>
      <c r="D37" s="243"/>
      <c r="E37" s="293"/>
      <c r="F37" s="251">
        <f>'[5]1.3.D-EE+BD'!$L$29</f>
        <v>724484</v>
      </c>
      <c r="G37" s="312">
        <v>1.1801999999999999</v>
      </c>
      <c r="H37" s="255">
        <f t="shared" si="3"/>
        <v>855036.01679999998</v>
      </c>
      <c r="I37" s="254"/>
      <c r="L37" s="343"/>
    </row>
    <row r="38" spans="1:13" ht="19.5" customHeight="1">
      <c r="A38" s="253"/>
      <c r="B38" s="311" t="s">
        <v>72</v>
      </c>
      <c r="C38" s="246" t="s">
        <v>431</v>
      </c>
      <c r="D38" s="243"/>
      <c r="E38" s="293"/>
      <c r="F38" s="251">
        <f>'[6]1.3.E-EE+BD'!$L$29</f>
        <v>485567</v>
      </c>
      <c r="G38" s="312">
        <v>1.1801999999999999</v>
      </c>
      <c r="H38" s="255">
        <f t="shared" si="3"/>
        <v>573066.17339999997</v>
      </c>
      <c r="I38" s="254"/>
      <c r="L38" s="343"/>
    </row>
    <row r="39" spans="1:13" ht="19.5" customHeight="1">
      <c r="A39" s="253"/>
      <c r="B39" s="311" t="s">
        <v>72</v>
      </c>
      <c r="C39" s="246" t="s">
        <v>432</v>
      </c>
      <c r="D39" s="243"/>
      <c r="E39" s="293"/>
      <c r="F39" s="251">
        <f>'[7]1.3.F-EE+BD'!$L$28</f>
        <v>97385</v>
      </c>
      <c r="G39" s="312">
        <v>1.1801999999999999</v>
      </c>
      <c r="H39" s="255">
        <f t="shared" si="3"/>
        <v>114933.77699999999</v>
      </c>
      <c r="I39" s="254"/>
      <c r="L39" s="343"/>
    </row>
    <row r="40" spans="1:13" ht="19.5" customHeight="1" thickBot="1">
      <c r="A40" s="253"/>
      <c r="B40" s="311" t="s">
        <v>72</v>
      </c>
      <c r="C40" s="246" t="s">
        <v>433</v>
      </c>
      <c r="D40" s="243"/>
      <c r="E40" s="293"/>
      <c r="F40" s="251">
        <f>'[8]1.3.G-EE+BD'!$L$29</f>
        <v>4976881</v>
      </c>
      <c r="G40" s="312">
        <v>1.1801999999999999</v>
      </c>
      <c r="H40" s="255">
        <f t="shared" si="3"/>
        <v>5873714.9561999999</v>
      </c>
      <c r="I40" s="254"/>
      <c r="L40" s="343"/>
    </row>
    <row r="41" spans="1:13" ht="19.5" customHeight="1" thickTop="1">
      <c r="A41" s="253"/>
      <c r="B41" s="313"/>
      <c r="C41" s="345"/>
      <c r="D41" s="243"/>
      <c r="E41" s="293"/>
      <c r="F41" s="328">
        <f>SUM(F34:F40)</f>
        <v>7313033</v>
      </c>
      <c r="G41" s="329"/>
      <c r="H41" s="328">
        <f>SUM(H34:H40)</f>
        <v>8630841.5465999991</v>
      </c>
      <c r="I41" s="254"/>
      <c r="L41" s="343"/>
    </row>
    <row r="42" spans="1:13" ht="19.5" customHeight="1">
      <c r="A42" s="253"/>
      <c r="B42" s="313"/>
      <c r="C42" s="345"/>
      <c r="D42" s="243"/>
      <c r="E42" s="293"/>
      <c r="F42" s="353"/>
      <c r="G42" s="354"/>
      <c r="H42" s="355"/>
      <c r="I42" s="254"/>
      <c r="L42" s="343"/>
    </row>
    <row r="43" spans="1:13" ht="20.25" customHeight="1">
      <c r="A43" s="253"/>
      <c r="B43" s="313" t="s">
        <v>72</v>
      </c>
      <c r="C43" s="342" t="s">
        <v>437</v>
      </c>
      <c r="D43" s="243"/>
      <c r="E43" s="293"/>
      <c r="F43" s="251">
        <f>'[2]1.4.A-COM+BD'!$L$31</f>
        <v>0</v>
      </c>
      <c r="G43" s="312">
        <v>1.1801999999999999</v>
      </c>
      <c r="H43" s="255">
        <f t="shared" si="1"/>
        <v>0</v>
      </c>
      <c r="I43" s="254"/>
      <c r="L43" s="343">
        <f>'[5]ปร.5(ก)'!$F$23</f>
        <v>0</v>
      </c>
      <c r="M43" s="247" t="s">
        <v>407</v>
      </c>
    </row>
    <row r="44" spans="1:13" ht="20.25" customHeight="1">
      <c r="A44" s="253"/>
      <c r="B44" s="313" t="s">
        <v>72</v>
      </c>
      <c r="C44" s="342" t="s">
        <v>434</v>
      </c>
      <c r="D44" s="243"/>
      <c r="E44" s="293"/>
      <c r="F44" s="251">
        <f>'[3]1.4.B-COM+BD'!$L$29</f>
        <v>0</v>
      </c>
      <c r="G44" s="312">
        <v>1.1801999999999999</v>
      </c>
      <c r="H44" s="255">
        <f t="shared" ref="H44:H49" si="4">+F44*G44</f>
        <v>0</v>
      </c>
      <c r="I44" s="254"/>
      <c r="L44" s="343"/>
    </row>
    <row r="45" spans="1:13" ht="20.25" customHeight="1">
      <c r="A45" s="253"/>
      <c r="B45" s="313" t="s">
        <v>72</v>
      </c>
      <c r="C45" s="342" t="s">
        <v>435</v>
      </c>
      <c r="D45" s="243"/>
      <c r="E45" s="293"/>
      <c r="F45" s="251">
        <f>'[4]1.4.C-COM+BD'!$L$29</f>
        <v>613881</v>
      </c>
      <c r="G45" s="312">
        <v>1.1801999999999999</v>
      </c>
      <c r="H45" s="255">
        <f t="shared" si="4"/>
        <v>724502.35619999992</v>
      </c>
      <c r="I45" s="254"/>
      <c r="L45" s="343"/>
    </row>
    <row r="46" spans="1:13" ht="20.25" customHeight="1">
      <c r="A46" s="253"/>
      <c r="B46" s="313" t="s">
        <v>72</v>
      </c>
      <c r="C46" s="342" t="s">
        <v>436</v>
      </c>
      <c r="D46" s="243"/>
      <c r="E46" s="293"/>
      <c r="F46" s="251">
        <f>'[5]1.4.D-COM+BD'!$L$29</f>
        <v>380219</v>
      </c>
      <c r="G46" s="312">
        <v>1.1801999999999999</v>
      </c>
      <c r="H46" s="255">
        <f t="shared" si="4"/>
        <v>448734.46379999997</v>
      </c>
      <c r="I46" s="254"/>
      <c r="L46" s="343"/>
    </row>
    <row r="47" spans="1:13" ht="20.25" customHeight="1">
      <c r="A47" s="253"/>
      <c r="B47" s="313" t="s">
        <v>72</v>
      </c>
      <c r="C47" s="342" t="s">
        <v>438</v>
      </c>
      <c r="D47" s="243"/>
      <c r="E47" s="293"/>
      <c r="F47" s="251">
        <f>'[6]1.4.E-COM+BD'!$L$29</f>
        <v>0</v>
      </c>
      <c r="G47" s="312">
        <v>1.1801999999999999</v>
      </c>
      <c r="H47" s="255">
        <f t="shared" si="4"/>
        <v>0</v>
      </c>
      <c r="I47" s="254"/>
      <c r="L47" s="343"/>
    </row>
    <row r="48" spans="1:13" ht="20.25" customHeight="1">
      <c r="A48" s="253"/>
      <c r="B48" s="313" t="s">
        <v>72</v>
      </c>
      <c r="C48" s="342" t="s">
        <v>439</v>
      </c>
      <c r="D48" s="243"/>
      <c r="E48" s="293"/>
      <c r="F48" s="251">
        <v>0</v>
      </c>
      <c r="G48" s="312">
        <v>1.1801999999999999</v>
      </c>
      <c r="H48" s="255">
        <f t="shared" si="4"/>
        <v>0</v>
      </c>
      <c r="I48" s="254"/>
      <c r="L48" s="343"/>
    </row>
    <row r="49" spans="1:13" ht="20.25" customHeight="1" thickBot="1">
      <c r="A49" s="253"/>
      <c r="B49" s="313" t="s">
        <v>72</v>
      </c>
      <c r="C49" s="342" t="s">
        <v>440</v>
      </c>
      <c r="D49" s="243"/>
      <c r="E49" s="293"/>
      <c r="F49" s="251">
        <f>'[8]1.4.G-COM+BD'!$L$29</f>
        <v>7062498</v>
      </c>
      <c r="G49" s="312">
        <v>1.1801999999999999</v>
      </c>
      <c r="H49" s="255">
        <f t="shared" si="4"/>
        <v>8335160.1395999994</v>
      </c>
      <c r="I49" s="254"/>
      <c r="L49" s="343"/>
    </row>
    <row r="50" spans="1:13" ht="20.25" customHeight="1" thickTop="1">
      <c r="A50" s="253"/>
      <c r="B50" s="257"/>
      <c r="C50" s="342"/>
      <c r="D50" s="243"/>
      <c r="E50" s="293"/>
      <c r="F50" s="328">
        <f>SUM(F43:F49)</f>
        <v>8056598</v>
      </c>
      <c r="G50" s="329"/>
      <c r="H50" s="328">
        <f>SUM(H43:H49)</f>
        <v>9508396.9595999997</v>
      </c>
      <c r="I50" s="254"/>
      <c r="L50" s="343"/>
    </row>
    <row r="51" spans="1:13" ht="20.25" customHeight="1">
      <c r="A51" s="253"/>
      <c r="B51" s="257"/>
      <c r="C51" s="342"/>
      <c r="D51" s="243"/>
      <c r="E51" s="293"/>
      <c r="F51" s="353"/>
      <c r="G51" s="354"/>
      <c r="H51" s="355"/>
      <c r="I51" s="254"/>
      <c r="L51" s="343"/>
    </row>
    <row r="52" spans="1:13" ht="19.5" customHeight="1">
      <c r="A52" s="253"/>
      <c r="B52" s="257" t="s">
        <v>72</v>
      </c>
      <c r="C52" s="342" t="s">
        <v>441</v>
      </c>
      <c r="D52" s="243"/>
      <c r="E52" s="293"/>
      <c r="F52" s="251">
        <f>'[2]1.5.A-FPSN+BD'!$L$29</f>
        <v>2059452</v>
      </c>
      <c r="G52" s="312">
        <v>1.1801999999999999</v>
      </c>
      <c r="H52" s="255">
        <f t="shared" si="1"/>
        <v>2430565.2503999998</v>
      </c>
      <c r="I52" s="254"/>
      <c r="L52" s="343">
        <f>'[6]ปร.5(ก)'!$F$24</f>
        <v>0</v>
      </c>
      <c r="M52" s="247" t="s">
        <v>408</v>
      </c>
    </row>
    <row r="53" spans="1:13" ht="19.5" customHeight="1">
      <c r="A53" s="253"/>
      <c r="B53" s="257" t="s">
        <v>72</v>
      </c>
      <c r="C53" s="342" t="s">
        <v>442</v>
      </c>
      <c r="D53" s="243"/>
      <c r="E53" s="293"/>
      <c r="F53" s="255">
        <f>'[3]1.5.B-FPSN+BD'!$L$30</f>
        <v>2633385</v>
      </c>
      <c r="G53" s="312">
        <v>1.1801999999999999</v>
      </c>
      <c r="H53" s="255">
        <f t="shared" ref="H53:H58" si="5">+F53*G53</f>
        <v>3107920.977</v>
      </c>
      <c r="I53" s="254"/>
      <c r="L53" s="343"/>
    </row>
    <row r="54" spans="1:13" ht="19.5" customHeight="1">
      <c r="A54" s="253"/>
      <c r="B54" s="257" t="s">
        <v>72</v>
      </c>
      <c r="C54" s="342" t="s">
        <v>443</v>
      </c>
      <c r="D54" s="243"/>
      <c r="E54" s="293"/>
      <c r="F54" s="255">
        <f>'[4]1.5.C-FP+BD'!$L$28</f>
        <v>691621</v>
      </c>
      <c r="G54" s="312">
        <v>1.1801999999999999</v>
      </c>
      <c r="H54" s="255">
        <f t="shared" si="5"/>
        <v>816251.10419999994</v>
      </c>
      <c r="I54" s="254"/>
      <c r="L54" s="343"/>
    </row>
    <row r="55" spans="1:13" ht="19.5" customHeight="1">
      <c r="A55" s="253"/>
      <c r="B55" s="257" t="s">
        <v>72</v>
      </c>
      <c r="C55" s="342" t="s">
        <v>444</v>
      </c>
      <c r="D55" s="243"/>
      <c r="E55" s="293"/>
      <c r="F55" s="255">
        <f>'[5]1.5.D-FPSN+BD'!$L$30</f>
        <v>652135</v>
      </c>
      <c r="G55" s="312">
        <v>1.1801999999999999</v>
      </c>
      <c r="H55" s="255">
        <f t="shared" si="5"/>
        <v>769649.72699999996</v>
      </c>
      <c r="I55" s="254"/>
      <c r="L55" s="343"/>
    </row>
    <row r="56" spans="1:13" ht="19.5" customHeight="1">
      <c r="A56" s="253"/>
      <c r="B56" s="257" t="s">
        <v>72</v>
      </c>
      <c r="C56" s="342" t="s">
        <v>445</v>
      </c>
      <c r="D56" s="243"/>
      <c r="E56" s="293"/>
      <c r="F56" s="255">
        <f>'[6]1.5.E-FPSN+BD'!$L$29</f>
        <v>682169</v>
      </c>
      <c r="G56" s="312">
        <v>1.1801999999999999</v>
      </c>
      <c r="H56" s="255">
        <f t="shared" si="5"/>
        <v>805095.85379999992</v>
      </c>
      <c r="I56" s="254"/>
      <c r="L56" s="343"/>
    </row>
    <row r="57" spans="1:13" ht="19.5" customHeight="1">
      <c r="A57" s="253"/>
      <c r="B57" s="257" t="s">
        <v>72</v>
      </c>
      <c r="C57" s="342" t="s">
        <v>453</v>
      </c>
      <c r="D57" s="243"/>
      <c r="E57" s="293"/>
      <c r="F57" s="255">
        <v>0</v>
      </c>
      <c r="G57" s="312"/>
      <c r="H57" s="255">
        <f t="shared" ref="H57" si="6">+F57*G57</f>
        <v>0</v>
      </c>
      <c r="I57" s="254"/>
      <c r="L57" s="343"/>
    </row>
    <row r="58" spans="1:13" ht="19.5" customHeight="1" thickBot="1">
      <c r="A58" s="253"/>
      <c r="B58" s="257" t="s">
        <v>72</v>
      </c>
      <c r="C58" s="342" t="s">
        <v>446</v>
      </c>
      <c r="D58" s="243"/>
      <c r="E58" s="293"/>
      <c r="F58" s="255">
        <f>'[8]1.5.G-FPSN+BD'!$L$30</f>
        <v>2123507</v>
      </c>
      <c r="G58" s="312">
        <v>1.1801999999999999</v>
      </c>
      <c r="H58" s="255">
        <f t="shared" si="5"/>
        <v>2506162.9613999999</v>
      </c>
      <c r="I58" s="254"/>
      <c r="L58" s="343"/>
    </row>
    <row r="59" spans="1:13" ht="19.5" customHeight="1" thickTop="1">
      <c r="A59" s="253"/>
      <c r="B59" s="257"/>
      <c r="C59" s="342"/>
      <c r="D59" s="243"/>
      <c r="E59" s="293"/>
      <c r="F59" s="328">
        <f>SUM(F52:F58)</f>
        <v>8842269</v>
      </c>
      <c r="G59" s="329"/>
      <c r="H59" s="328">
        <f>SUM(H52:H58)</f>
        <v>10435645.873799998</v>
      </c>
      <c r="I59" s="254"/>
      <c r="L59" s="343"/>
    </row>
    <row r="60" spans="1:13" ht="19.5" customHeight="1">
      <c r="A60" s="253"/>
      <c r="B60" s="257"/>
      <c r="C60" s="342"/>
      <c r="D60" s="243"/>
      <c r="E60" s="293"/>
      <c r="F60" s="354"/>
      <c r="G60" s="354"/>
      <c r="H60" s="355"/>
      <c r="I60" s="254"/>
      <c r="L60" s="343"/>
    </row>
    <row r="61" spans="1:13" ht="19.5" customHeight="1">
      <c r="A61" s="253"/>
      <c r="B61" s="257" t="s">
        <v>72</v>
      </c>
      <c r="C61" s="342" t="s">
        <v>447</v>
      </c>
      <c r="D61" s="243"/>
      <c r="E61" s="293"/>
      <c r="F61" s="255">
        <f>'[2]1.6.A-AC+BD'!$L$29</f>
        <v>3039741</v>
      </c>
      <c r="G61" s="312">
        <v>1.1801999999999999</v>
      </c>
      <c r="H61" s="255">
        <f t="shared" si="1"/>
        <v>3587502.3281999999</v>
      </c>
      <c r="I61" s="254"/>
      <c r="L61" s="343">
        <f>'[7]ปร.5(ก)'!$F$21</f>
        <v>0</v>
      </c>
      <c r="M61" s="247" t="s">
        <v>409</v>
      </c>
    </row>
    <row r="62" spans="1:13" ht="19.5" customHeight="1">
      <c r="A62" s="253"/>
      <c r="B62" s="257" t="s">
        <v>72</v>
      </c>
      <c r="C62" s="342" t="s">
        <v>448</v>
      </c>
      <c r="D62" s="243"/>
      <c r="E62" s="293"/>
      <c r="F62" s="255">
        <f>'[3]1.6.B-AC+BD'!$L$29</f>
        <v>4303926</v>
      </c>
      <c r="G62" s="312">
        <v>1.1801999999999999</v>
      </c>
      <c r="H62" s="255">
        <f t="shared" ref="H62:H64" si="7">+F62*G62</f>
        <v>5079493.4651999995</v>
      </c>
      <c r="I62" s="254"/>
      <c r="L62" s="343"/>
    </row>
    <row r="63" spans="1:13" ht="19.5" customHeight="1">
      <c r="A63" s="253"/>
      <c r="B63" s="257" t="s">
        <v>72</v>
      </c>
      <c r="C63" s="342" t="s">
        <v>449</v>
      </c>
      <c r="D63" s="243"/>
      <c r="E63" s="293"/>
      <c r="F63" s="255">
        <f>'[6]1.6.E-AC+BD'!$L$29</f>
        <v>7575</v>
      </c>
      <c r="G63" s="312">
        <v>1.1801999999999999</v>
      </c>
      <c r="H63" s="255">
        <f t="shared" si="7"/>
        <v>8940.0149999999994</v>
      </c>
      <c r="I63" s="254"/>
      <c r="L63" s="343"/>
    </row>
    <row r="64" spans="1:13" ht="19.5" customHeight="1" thickBot="1">
      <c r="A64" s="253"/>
      <c r="B64" s="257" t="s">
        <v>72</v>
      </c>
      <c r="C64" s="342" t="s">
        <v>450</v>
      </c>
      <c r="D64" s="243"/>
      <c r="E64" s="293"/>
      <c r="F64" s="255">
        <f>'[8]1.6.G-AC+BD'!$L$30</f>
        <v>6386114</v>
      </c>
      <c r="G64" s="312">
        <v>1.1801999999999999</v>
      </c>
      <c r="H64" s="255">
        <f t="shared" si="7"/>
        <v>7536891.7427999992</v>
      </c>
      <c r="I64" s="254"/>
      <c r="L64" s="343"/>
    </row>
    <row r="65" spans="1:13" ht="19.5" customHeight="1" thickTop="1">
      <c r="A65" s="253"/>
      <c r="B65" s="257"/>
      <c r="C65" s="342"/>
      <c r="D65" s="243"/>
      <c r="E65" s="293"/>
      <c r="F65" s="328">
        <f>SUM(F61:F64)</f>
        <v>13737356</v>
      </c>
      <c r="G65" s="329"/>
      <c r="H65" s="328">
        <f>SUM(H61:H64)</f>
        <v>16212827.551199999</v>
      </c>
      <c r="I65" s="254"/>
      <c r="L65" s="343"/>
    </row>
    <row r="66" spans="1:13" ht="19.5" customHeight="1">
      <c r="A66" s="253"/>
      <c r="B66" s="257"/>
      <c r="C66" s="342"/>
      <c r="D66" s="243"/>
      <c r="E66" s="293"/>
      <c r="F66" s="256"/>
      <c r="G66" s="243"/>
      <c r="H66" s="315"/>
      <c r="I66" s="254"/>
      <c r="L66" s="343"/>
    </row>
    <row r="67" spans="1:13" ht="20.25" customHeight="1" thickBot="1">
      <c r="A67" s="253"/>
      <c r="B67" s="257" t="s">
        <v>72</v>
      </c>
      <c r="C67" s="342" t="s">
        <v>412</v>
      </c>
      <c r="D67" s="243"/>
      <c r="E67" s="293"/>
      <c r="F67" s="255">
        <f>'[3]1.7.B-LIFT+BD'!$L$19</f>
        <v>1800000</v>
      </c>
      <c r="G67" s="312">
        <v>1.1801999999999999</v>
      </c>
      <c r="H67" s="255">
        <f t="shared" si="1"/>
        <v>2124360</v>
      </c>
      <c r="I67" s="254"/>
      <c r="L67" s="343" t="e">
        <f>'[8]ปร.5(ก)'!$F$24+'[8]ปร.5(ก)'!$F$28</f>
        <v>#REF!</v>
      </c>
      <c r="M67" s="247" t="s">
        <v>410</v>
      </c>
    </row>
    <row r="68" spans="1:13" ht="20.25" customHeight="1" thickTop="1">
      <c r="A68" s="253"/>
      <c r="B68" s="257"/>
      <c r="C68" s="342"/>
      <c r="D68" s="243"/>
      <c r="E68" s="293"/>
      <c r="F68" s="328">
        <f>SUM(F67)</f>
        <v>1800000</v>
      </c>
      <c r="G68" s="329"/>
      <c r="H68" s="328">
        <f>SUM(H67)</f>
        <v>2124360</v>
      </c>
      <c r="I68" s="254"/>
      <c r="L68" s="343"/>
    </row>
    <row r="69" spans="1:13" ht="20.25" customHeight="1">
      <c r="A69" s="253"/>
      <c r="B69" s="257"/>
      <c r="C69" s="342"/>
      <c r="D69" s="243"/>
      <c r="E69" s="293"/>
      <c r="F69" s="256"/>
      <c r="G69" s="243"/>
      <c r="H69" s="315"/>
      <c r="I69" s="254"/>
      <c r="L69" s="343"/>
    </row>
    <row r="70" spans="1:13" ht="20.25" customHeight="1" thickBot="1">
      <c r="A70" s="253"/>
      <c r="B70" s="257" t="s">
        <v>72</v>
      </c>
      <c r="C70" s="292" t="s">
        <v>411</v>
      </c>
      <c r="D70" s="243"/>
      <c r="E70" s="293"/>
      <c r="F70" s="344">
        <f>'[9]ปร.5(ก)'!$F$16+'[9]ปร.5(ก)'!$F$17+'[9]ปร.5(ก)'!$F$18+'[9]ปร.5(ก)'!$F$19</f>
        <v>35709116</v>
      </c>
      <c r="G70" s="312">
        <v>1.1801999999999999</v>
      </c>
      <c r="H70" s="255">
        <f t="shared" si="1"/>
        <v>42143898.703199998</v>
      </c>
      <c r="I70" s="254"/>
      <c r="L70" s="343">
        <f>'[9]ปร.5(ก)'!$F$42</f>
        <v>0</v>
      </c>
    </row>
    <row r="71" spans="1:13" ht="20.25" customHeight="1" thickTop="1">
      <c r="A71" s="253"/>
      <c r="B71" s="258"/>
      <c r="C71" s="346"/>
      <c r="D71" s="259"/>
      <c r="E71" s="347"/>
      <c r="F71" s="351">
        <f>F70</f>
        <v>35709116</v>
      </c>
      <c r="G71" s="348"/>
      <c r="H71" s="351">
        <f>H70</f>
        <v>42143898.703199998</v>
      </c>
      <c r="I71" s="254"/>
    </row>
    <row r="72" spans="1:13" ht="20.25" customHeight="1">
      <c r="A72" s="253"/>
      <c r="B72" s="1977" t="s">
        <v>451</v>
      </c>
      <c r="C72" s="1978"/>
      <c r="D72" s="1978"/>
      <c r="E72" s="1979"/>
      <c r="F72" s="350">
        <f>F71+F68+F65+F59+F50+F41+F32+F23</f>
        <v>228434933.05000001</v>
      </c>
      <c r="G72" s="349"/>
      <c r="H72" s="350">
        <f>H71+H68+H65+H59+H50+H41+H32+H23</f>
        <v>271113375.940005</v>
      </c>
      <c r="I72" s="254"/>
    </row>
    <row r="73" spans="1:13" ht="18" customHeight="1">
      <c r="A73" s="352" t="s">
        <v>452</v>
      </c>
      <c r="B73" s="314" t="s">
        <v>18</v>
      </c>
      <c r="C73" s="293" t="s">
        <v>19</v>
      </c>
      <c r="D73" s="243"/>
      <c r="E73" s="243"/>
      <c r="F73" s="256"/>
      <c r="G73" s="243"/>
      <c r="H73" s="335"/>
      <c r="I73" s="254"/>
    </row>
    <row r="74" spans="1:13" ht="22.5" customHeight="1">
      <c r="A74" s="253"/>
      <c r="B74" s="257" t="s">
        <v>72</v>
      </c>
      <c r="C74" s="242" t="s">
        <v>401</v>
      </c>
      <c r="D74" s="242"/>
      <c r="E74" s="243"/>
      <c r="F74" s="256">
        <f>'[2]2.1.A-Int+BD'!$L$29</f>
        <v>0</v>
      </c>
      <c r="G74" s="312">
        <v>1.1801999999999999</v>
      </c>
      <c r="H74" s="255">
        <f t="shared" si="1"/>
        <v>0</v>
      </c>
      <c r="I74" s="254"/>
      <c r="L74" s="343" t="e">
        <f>SUM(L16:L70)</f>
        <v>#REF!</v>
      </c>
    </row>
    <row r="75" spans="1:13" ht="22.5" customHeight="1">
      <c r="A75" s="253"/>
      <c r="B75" s="257" t="s">
        <v>72</v>
      </c>
      <c r="C75" s="242" t="s">
        <v>402</v>
      </c>
      <c r="D75" s="242"/>
      <c r="E75" s="243"/>
      <c r="F75" s="256">
        <f>'[3]2.1.B-Int+BD'!$L$29</f>
        <v>0</v>
      </c>
      <c r="G75" s="312">
        <v>1.1801999999999999</v>
      </c>
      <c r="H75" s="255">
        <f t="shared" si="1"/>
        <v>0</v>
      </c>
      <c r="I75" s="254"/>
    </row>
    <row r="76" spans="1:13" ht="22.5" customHeight="1" thickBot="1">
      <c r="A76" s="253"/>
      <c r="B76" s="258" t="s">
        <v>72</v>
      </c>
      <c r="C76" s="316" t="s">
        <v>403</v>
      </c>
      <c r="D76" s="316"/>
      <c r="E76" s="259"/>
      <c r="F76" s="260" t="e">
        <f>#REF!</f>
        <v>#REF!</v>
      </c>
      <c r="G76" s="312">
        <v>1.1801999999999999</v>
      </c>
      <c r="H76" s="317" t="e">
        <f t="shared" si="1"/>
        <v>#REF!</v>
      </c>
      <c r="I76" s="254"/>
    </row>
    <row r="77" spans="1:13" ht="22.5" customHeight="1" thickTop="1" thickBot="1">
      <c r="A77" s="253"/>
      <c r="B77" s="338"/>
      <c r="C77" s="339"/>
      <c r="D77" s="340"/>
      <c r="E77" s="341"/>
      <c r="F77" s="332" t="e">
        <f>SUM(F74:F76)</f>
        <v>#REF!</v>
      </c>
      <c r="G77" s="329"/>
      <c r="H77" s="332" t="e">
        <f>SUM(H74:H76)</f>
        <v>#REF!</v>
      </c>
      <c r="I77" s="254"/>
    </row>
    <row r="78" spans="1:13" ht="20.25" customHeight="1">
      <c r="A78" s="250"/>
      <c r="B78" s="318"/>
      <c r="C78" s="319" t="s">
        <v>20</v>
      </c>
      <c r="D78" s="319"/>
      <c r="E78" s="320"/>
      <c r="F78" s="321"/>
      <c r="G78" s="244"/>
      <c r="H78" s="251"/>
      <c r="I78" s="322"/>
    </row>
    <row r="79" spans="1:13" ht="21" customHeight="1">
      <c r="A79" s="250"/>
      <c r="B79" s="298"/>
      <c r="C79" s="242" t="s">
        <v>25</v>
      </c>
      <c r="D79" s="316">
        <v>0</v>
      </c>
      <c r="E79" s="316" t="s">
        <v>21</v>
      </c>
      <c r="F79" s="321"/>
      <c r="G79" s="245"/>
      <c r="H79" s="255"/>
      <c r="I79" s="322"/>
    </row>
    <row r="80" spans="1:13" ht="21" customHeight="1">
      <c r="A80" s="250"/>
      <c r="B80" s="298"/>
      <c r="C80" s="242" t="s">
        <v>26</v>
      </c>
      <c r="D80" s="242">
        <v>0</v>
      </c>
      <c r="E80" s="316" t="s">
        <v>21</v>
      </c>
      <c r="F80" s="309"/>
      <c r="G80" s="310"/>
      <c r="H80" s="255"/>
      <c r="I80" s="323"/>
    </row>
    <row r="81" spans="1:9" ht="22.5" customHeight="1">
      <c r="A81" s="250"/>
      <c r="B81" s="298"/>
      <c r="C81" s="243" t="s">
        <v>22</v>
      </c>
      <c r="D81" s="242">
        <v>7</v>
      </c>
      <c r="E81" s="316" t="s">
        <v>21</v>
      </c>
      <c r="F81" s="324"/>
      <c r="G81" s="325"/>
      <c r="H81" s="255"/>
      <c r="I81" s="254"/>
    </row>
    <row r="82" spans="1:9" ht="19.5" customHeight="1" thickBot="1">
      <c r="A82" s="324"/>
      <c r="B82" s="241"/>
      <c r="C82" s="243" t="s">
        <v>23</v>
      </c>
      <c r="D82" s="242">
        <v>7</v>
      </c>
      <c r="E82" s="245" t="s">
        <v>21</v>
      </c>
      <c r="F82" s="326"/>
      <c r="G82" s="327"/>
      <c r="H82" s="255"/>
      <c r="I82" s="254"/>
    </row>
    <row r="83" spans="1:9" ht="23.25" customHeight="1" thickTop="1">
      <c r="A83" s="1974" t="s">
        <v>24</v>
      </c>
      <c r="B83" s="1975"/>
      <c r="C83" s="1975"/>
      <c r="D83" s="1975"/>
      <c r="E83" s="1976"/>
      <c r="F83" s="332" t="e">
        <f>F72+F77</f>
        <v>#REF!</v>
      </c>
      <c r="G83" s="329"/>
      <c r="H83" s="332" t="e">
        <f>H72+H77</f>
        <v>#REF!</v>
      </c>
      <c r="I83" s="330"/>
    </row>
    <row r="84" spans="1:9" ht="15" customHeight="1">
      <c r="A84" s="1972"/>
      <c r="B84" s="1972"/>
      <c r="C84" s="1972"/>
      <c r="D84" s="1972"/>
      <c r="E84" s="1972"/>
      <c r="F84" s="1972"/>
      <c r="G84" s="1972"/>
      <c r="H84" s="1972"/>
      <c r="I84" s="1972"/>
    </row>
    <row r="85" spans="1:9" ht="18" customHeight="1">
      <c r="A85" s="259"/>
      <c r="B85" s="259"/>
      <c r="C85" s="259"/>
      <c r="D85" s="259"/>
      <c r="E85" s="259"/>
      <c r="F85" s="259"/>
      <c r="G85" s="336"/>
      <c r="H85" s="259"/>
      <c r="I85" s="259"/>
    </row>
    <row r="86" spans="1:9" ht="18" customHeight="1">
      <c r="A86" s="259"/>
      <c r="B86" s="259"/>
      <c r="C86" s="259"/>
      <c r="D86" s="259"/>
      <c r="E86" s="259"/>
      <c r="F86" s="259"/>
      <c r="G86" s="337"/>
      <c r="H86" s="259"/>
      <c r="I86" s="259"/>
    </row>
    <row r="87" spans="1:9" ht="12" customHeight="1">
      <c r="A87" s="259"/>
      <c r="B87" s="331"/>
      <c r="C87" s="259"/>
      <c r="D87" s="259"/>
      <c r="E87" s="259"/>
      <c r="F87" s="259"/>
      <c r="G87" s="1980" t="e">
        <f>H83</f>
        <v>#REF!</v>
      </c>
      <c r="H87" s="1972"/>
      <c r="I87" s="259"/>
    </row>
    <row r="88" spans="1:9" ht="18" customHeight="1">
      <c r="A88" s="259"/>
      <c r="B88" s="331"/>
      <c r="C88" s="259"/>
      <c r="D88" s="259"/>
      <c r="E88" s="259"/>
      <c r="F88" s="259"/>
      <c r="G88" s="1973" t="e">
        <f>#REF!</f>
        <v>#REF!</v>
      </c>
      <c r="H88" s="1972"/>
      <c r="I88" s="259"/>
    </row>
    <row r="89" spans="1:9" ht="18" customHeight="1">
      <c r="A89" s="259"/>
      <c r="B89" s="331"/>
      <c r="C89" s="259"/>
      <c r="D89" s="259"/>
      <c r="E89" s="259"/>
      <c r="F89" s="259"/>
      <c r="G89" s="1972"/>
      <c r="H89" s="1972"/>
      <c r="I89" s="259"/>
    </row>
    <row r="90" spans="1:9" ht="18" customHeight="1">
      <c r="A90" s="1972"/>
      <c r="B90" s="1972"/>
      <c r="C90" s="1972"/>
      <c r="D90" s="1972"/>
      <c r="E90" s="1972"/>
      <c r="F90" s="1972"/>
      <c r="G90" s="1972"/>
      <c r="H90" s="1972"/>
      <c r="I90" s="1972"/>
    </row>
    <row r="91" spans="1:9" ht="18" customHeight="1">
      <c r="H91" s="343" t="e">
        <f>SUM(G87:H88)</f>
        <v>#REF!</v>
      </c>
    </row>
    <row r="92" spans="1:9" ht="18" customHeight="1">
      <c r="A92" s="1972"/>
      <c r="B92" s="1972"/>
      <c r="C92" s="1972"/>
      <c r="D92" s="1972"/>
      <c r="E92" s="1972"/>
      <c r="F92" s="1972"/>
      <c r="G92" s="1972"/>
      <c r="H92" s="1972"/>
      <c r="I92" s="1972"/>
    </row>
    <row r="93" spans="1:9" ht="18" customHeight="1">
      <c r="A93" s="1972"/>
      <c r="B93" s="1972"/>
      <c r="C93" s="1972"/>
      <c r="D93" s="1972"/>
      <c r="E93" s="1972"/>
      <c r="F93" s="1972"/>
      <c r="G93" s="1972"/>
      <c r="H93" s="1972"/>
      <c r="I93" s="1972"/>
    </row>
    <row r="94" spans="1:9" ht="18" customHeight="1">
      <c r="A94" s="1972"/>
      <c r="B94" s="1972"/>
      <c r="C94" s="1972"/>
      <c r="D94" s="1972"/>
      <c r="E94" s="1972"/>
      <c r="F94" s="1972"/>
      <c r="G94" s="1972"/>
      <c r="H94" s="1972"/>
      <c r="I94" s="1972"/>
    </row>
    <row r="95" spans="1:9" ht="18" customHeight="1">
      <c r="A95" s="259"/>
      <c r="B95" s="331"/>
      <c r="C95" s="259"/>
      <c r="D95" s="259"/>
      <c r="E95" s="259"/>
      <c r="F95" s="259"/>
      <c r="G95" s="1972"/>
      <c r="H95" s="1972"/>
      <c r="I95" s="259"/>
    </row>
    <row r="96" spans="1:9" ht="18" customHeight="1">
      <c r="A96" s="259"/>
      <c r="B96" s="331"/>
      <c r="C96" s="259"/>
      <c r="D96" s="259"/>
      <c r="E96" s="259"/>
      <c r="F96" s="259"/>
      <c r="G96" s="1972"/>
      <c r="H96" s="1972"/>
      <c r="I96" s="259"/>
    </row>
    <row r="97" spans="1:9" ht="18" customHeight="1">
      <c r="A97" s="259"/>
      <c r="B97" s="331"/>
      <c r="C97" s="259"/>
      <c r="D97" s="259"/>
      <c r="E97" s="259"/>
      <c r="F97" s="259"/>
      <c r="G97" s="1972"/>
      <c r="H97" s="1972"/>
      <c r="I97" s="259"/>
    </row>
  </sheetData>
  <mergeCells count="23">
    <mergeCell ref="A94:I94"/>
    <mergeCell ref="G95:H95"/>
    <mergeCell ref="G96:H96"/>
    <mergeCell ref="G97:H97"/>
    <mergeCell ref="G87:H87"/>
    <mergeCell ref="B14:D14"/>
    <mergeCell ref="A92:I92"/>
    <mergeCell ref="A93:I93"/>
    <mergeCell ref="A90:I90"/>
    <mergeCell ref="A84:I84"/>
    <mergeCell ref="G89:H89"/>
    <mergeCell ref="G88:H88"/>
    <mergeCell ref="A83:E83"/>
    <mergeCell ref="B72:E72"/>
    <mergeCell ref="H1:I1"/>
    <mergeCell ref="A2:I2"/>
    <mergeCell ref="H11:I11"/>
    <mergeCell ref="A12:A13"/>
    <mergeCell ref="B12:E13"/>
    <mergeCell ref="F12:F13"/>
    <mergeCell ref="G12:G13"/>
    <mergeCell ref="H12:H13"/>
    <mergeCell ref="I12:I13"/>
  </mergeCells>
  <pageMargins left="0.47244094488188981" right="0.23622047244094491" top="0.23622047244094491" bottom="0.15748031496062992" header="0.15748031496062992" footer="0.15748031496062992"/>
  <pageSetup paperSize="9" scale="85" orientation="landscape" horizontalDpi="300" verticalDpi="300" r:id="rId1"/>
  <rowBreaks count="3" manualBreakCount="3">
    <brk id="32" max="8" man="1"/>
    <brk id="50" max="8" man="1"/>
    <brk id="7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0"/>
  <sheetViews>
    <sheetView showGridLines="0" view="pageBreakPreview" zoomScale="80" zoomScaleNormal="80" zoomScaleSheetLayoutView="80" workbookViewId="0">
      <selection activeCell="A8" sqref="A8:A9"/>
    </sheetView>
  </sheetViews>
  <sheetFormatPr defaultRowHeight="21.75"/>
  <cols>
    <col min="1" max="1" width="8.7109375" customWidth="1"/>
    <col min="2" max="2" width="7.42578125" customWidth="1"/>
    <col min="3" max="3" width="7.28515625" customWidth="1"/>
    <col min="4" max="4" width="54.85546875" customWidth="1"/>
    <col min="5" max="5" width="9.85546875" customWidth="1"/>
    <col min="6" max="6" width="7.5703125" bestFit="1" customWidth="1"/>
    <col min="7" max="7" width="15.7109375" customWidth="1"/>
    <col min="8" max="8" width="17.42578125" customWidth="1"/>
    <col min="9" max="9" width="13.7109375" customWidth="1"/>
    <col min="10" max="10" width="15.7109375" customWidth="1"/>
    <col min="11" max="11" width="17.42578125" customWidth="1"/>
    <col min="12" max="12" width="15" customWidth="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7"/>
      <c r="C2" s="38"/>
      <c r="D2" s="38" t="s">
        <v>83</v>
      </c>
      <c r="E2" s="39"/>
      <c r="F2" s="38"/>
      <c r="G2" s="38"/>
      <c r="H2" s="38"/>
      <c r="I2" s="37"/>
      <c r="J2" s="40"/>
      <c r="K2" s="40"/>
      <c r="L2" s="40"/>
    </row>
    <row r="3" spans="1:12">
      <c r="A3" s="41" t="s">
        <v>78</v>
      </c>
      <c r="B3" s="42"/>
      <c r="C3" s="43"/>
      <c r="D3" s="43"/>
      <c r="E3" s="44"/>
      <c r="F3" s="43"/>
      <c r="G3" s="43"/>
      <c r="H3" s="43"/>
      <c r="I3" s="43"/>
      <c r="J3" s="45"/>
      <c r="K3" s="45"/>
      <c r="L3" s="45"/>
    </row>
    <row r="4" spans="1:12">
      <c r="A4" s="41" t="s">
        <v>44</v>
      </c>
      <c r="B4" s="42"/>
      <c r="C4" s="43"/>
      <c r="D4" s="43" t="s">
        <v>79</v>
      </c>
      <c r="E4" s="44"/>
      <c r="F4" s="46"/>
      <c r="I4" s="47" t="s">
        <v>31</v>
      </c>
      <c r="J4" s="45"/>
      <c r="K4" s="45"/>
      <c r="L4" s="45"/>
    </row>
    <row r="5" spans="1:12">
      <c r="A5" s="41" t="s">
        <v>80</v>
      </c>
      <c r="B5" s="42"/>
      <c r="C5" s="43"/>
      <c r="D5" s="43"/>
      <c r="E5" s="44"/>
      <c r="F5" s="46"/>
      <c r="G5" s="43"/>
      <c r="H5" s="43"/>
      <c r="I5" s="43"/>
      <c r="J5" s="45"/>
      <c r="K5" s="45"/>
      <c r="L5" s="45"/>
    </row>
    <row r="6" spans="1:12">
      <c r="A6" s="41" t="s">
        <v>42</v>
      </c>
      <c r="B6" s="42"/>
      <c r="C6" s="43"/>
      <c r="D6" s="43" t="s">
        <v>81</v>
      </c>
      <c r="E6" s="44" t="s">
        <v>28</v>
      </c>
      <c r="F6" s="43"/>
      <c r="G6" s="48" t="s">
        <v>32</v>
      </c>
      <c r="H6" s="49"/>
      <c r="I6" s="48" t="s">
        <v>33</v>
      </c>
      <c r="J6" s="41"/>
      <c r="K6" s="126" t="s">
        <v>65</v>
      </c>
      <c r="L6" s="50"/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51" t="s">
        <v>45</v>
      </c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31">
        <v>1</v>
      </c>
      <c r="B10" s="1994" t="s">
        <v>84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f>A10+0.1</f>
        <v>1.1000000000000001</v>
      </c>
      <c r="B11" s="134" t="s">
        <v>85</v>
      </c>
      <c r="C11" s="54"/>
      <c r="D11" s="55"/>
      <c r="E11" s="56"/>
      <c r="F11" s="57"/>
      <c r="G11" s="112"/>
      <c r="H11" s="118"/>
      <c r="I11" s="123"/>
      <c r="J11" s="124"/>
      <c r="K11" s="57"/>
      <c r="L11" s="58"/>
    </row>
    <row r="12" spans="1:12" ht="24">
      <c r="A12" s="132">
        <f>A11+0.1</f>
        <v>1.2000000000000002</v>
      </c>
      <c r="B12" s="133" t="s">
        <v>169</v>
      </c>
      <c r="C12" s="61"/>
      <c r="D12" s="62"/>
      <c r="E12" s="63"/>
      <c r="F12" s="64"/>
      <c r="G12" s="113"/>
      <c r="H12" s="119"/>
      <c r="I12" s="113"/>
      <c r="J12" s="120"/>
      <c r="K12" s="65"/>
      <c r="L12" s="66"/>
    </row>
    <row r="13" spans="1:12" ht="24">
      <c r="A13" s="132"/>
      <c r="B13" s="133"/>
      <c r="C13" s="61" t="s">
        <v>170</v>
      </c>
      <c r="D13" s="62"/>
      <c r="E13" s="63"/>
      <c r="F13" s="64"/>
      <c r="G13" s="113"/>
      <c r="H13" s="119"/>
      <c r="I13" s="113"/>
      <c r="J13" s="120"/>
      <c r="K13" s="65"/>
      <c r="L13" s="66"/>
    </row>
    <row r="14" spans="1:12" ht="24">
      <c r="A14" s="132">
        <f>A12+0.1</f>
        <v>1.3000000000000003</v>
      </c>
      <c r="B14" s="133" t="s">
        <v>177</v>
      </c>
      <c r="C14" s="61"/>
      <c r="D14" s="62"/>
      <c r="E14" s="63"/>
      <c r="F14" s="64"/>
      <c r="G14" s="113"/>
      <c r="H14" s="120"/>
      <c r="I14" s="113"/>
      <c r="J14" s="120"/>
      <c r="K14" s="65"/>
      <c r="L14" s="66"/>
    </row>
    <row r="15" spans="1:12" ht="24">
      <c r="A15" s="132"/>
      <c r="B15" s="133"/>
      <c r="C15" s="61" t="s">
        <v>178</v>
      </c>
      <c r="D15" s="62"/>
      <c r="E15" s="63"/>
      <c r="F15" s="64"/>
      <c r="G15" s="113"/>
      <c r="H15" s="120"/>
      <c r="I15" s="113"/>
      <c r="J15" s="120"/>
      <c r="K15" s="65"/>
      <c r="L15" s="66"/>
    </row>
    <row r="16" spans="1:12" ht="24">
      <c r="A16" s="132">
        <f>A14+0.1</f>
        <v>1.4000000000000004</v>
      </c>
      <c r="B16" s="133" t="s">
        <v>171</v>
      </c>
      <c r="C16" s="61"/>
      <c r="D16" s="67"/>
      <c r="E16" s="56"/>
      <c r="F16" s="57"/>
      <c r="G16" s="114"/>
      <c r="H16" s="121"/>
      <c r="I16" s="114"/>
      <c r="J16" s="121"/>
      <c r="K16" s="68"/>
      <c r="L16" s="58"/>
    </row>
    <row r="17" spans="1:12" ht="24">
      <c r="A17" s="132"/>
      <c r="B17" s="133"/>
      <c r="C17" s="61" t="s">
        <v>172</v>
      </c>
      <c r="D17" s="67"/>
      <c r="E17" s="56"/>
      <c r="F17" s="57"/>
      <c r="G17" s="114"/>
      <c r="H17" s="121"/>
      <c r="I17" s="114"/>
      <c r="J17" s="121"/>
      <c r="K17" s="68"/>
      <c r="L17" s="58"/>
    </row>
    <row r="18" spans="1:12" ht="24">
      <c r="A18" s="132">
        <f>A16+0.1</f>
        <v>1.5000000000000004</v>
      </c>
      <c r="B18" s="133" t="s">
        <v>173</v>
      </c>
      <c r="C18" s="61"/>
      <c r="D18" s="67"/>
      <c r="E18" s="56"/>
      <c r="F18" s="57"/>
      <c r="G18" s="114"/>
      <c r="H18" s="121"/>
      <c r="I18" s="114"/>
      <c r="J18" s="121"/>
      <c r="K18" s="68"/>
      <c r="L18" s="58"/>
    </row>
    <row r="19" spans="1:12" ht="24">
      <c r="A19" s="132">
        <f t="shared" ref="A19" si="0">A18+0.1</f>
        <v>1.6000000000000005</v>
      </c>
      <c r="B19" s="133" t="s">
        <v>174</v>
      </c>
      <c r="C19" s="61"/>
      <c r="D19" s="67"/>
      <c r="E19" s="56"/>
      <c r="F19" s="57"/>
      <c r="G19" s="114"/>
      <c r="H19" s="121"/>
      <c r="I19" s="114"/>
      <c r="J19" s="121"/>
      <c r="K19" s="68"/>
      <c r="L19" s="58"/>
    </row>
    <row r="20" spans="1:12" ht="24">
      <c r="A20" s="132"/>
      <c r="B20" s="133"/>
      <c r="C20" s="61"/>
      <c r="D20" s="67"/>
      <c r="E20" s="56"/>
      <c r="F20" s="57"/>
      <c r="G20" s="114"/>
      <c r="H20" s="121"/>
      <c r="I20" s="114"/>
      <c r="J20" s="121"/>
      <c r="K20" s="68"/>
      <c r="L20" s="58"/>
    </row>
    <row r="21" spans="1:12" ht="24">
      <c r="A21" s="132"/>
      <c r="B21" s="133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2" ht="24">
      <c r="A22" s="59"/>
      <c r="B22" s="60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2" ht="24">
      <c r="A23" s="59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2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2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2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2" ht="24.75" thickTop="1">
      <c r="A30" s="70"/>
      <c r="B30" s="1981" t="s">
        <v>69</v>
      </c>
      <c r="C30" s="1982"/>
      <c r="D30" s="1983"/>
      <c r="E30" s="71"/>
      <c r="F30" s="72"/>
      <c r="G30" s="115"/>
      <c r="H30" s="122"/>
      <c r="I30" s="115"/>
      <c r="J30" s="122"/>
      <c r="K30" s="73"/>
      <c r="L30" s="74"/>
    </row>
    <row r="31" spans="1:12" ht="24">
      <c r="A31" s="59">
        <v>1.1000000000000001</v>
      </c>
      <c r="B31" s="134" t="s">
        <v>85</v>
      </c>
      <c r="C31" s="136"/>
      <c r="D31" s="137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140" t="s">
        <v>94</v>
      </c>
      <c r="B32" s="61" t="s">
        <v>175</v>
      </c>
      <c r="C32" s="136"/>
      <c r="D32" s="137"/>
      <c r="E32" s="105"/>
      <c r="F32" s="106"/>
      <c r="G32" s="111"/>
      <c r="H32" s="117"/>
      <c r="I32" s="111"/>
      <c r="J32" s="117"/>
      <c r="K32" s="63"/>
      <c r="L32" s="107"/>
    </row>
    <row r="33" spans="1:12" ht="24">
      <c r="A33" s="140"/>
      <c r="B33" s="133" t="s">
        <v>95</v>
      </c>
      <c r="C33" s="54"/>
      <c r="D33" s="55"/>
      <c r="E33" s="56"/>
      <c r="F33" s="57"/>
      <c r="G33" s="112"/>
      <c r="H33" s="118"/>
      <c r="I33" s="123"/>
      <c r="J33" s="124"/>
      <c r="K33" s="57"/>
      <c r="L33" s="58"/>
    </row>
    <row r="34" spans="1:12" ht="24">
      <c r="A34" s="59"/>
      <c r="B34" s="133" t="s">
        <v>96</v>
      </c>
      <c r="C34" s="61"/>
      <c r="D34" s="62"/>
      <c r="E34" s="63"/>
      <c r="F34" s="64"/>
      <c r="G34" s="113"/>
      <c r="H34" s="119"/>
      <c r="I34" s="113"/>
      <c r="J34" s="120"/>
      <c r="K34" s="65"/>
      <c r="L34" s="66"/>
    </row>
    <row r="35" spans="1:12" ht="24">
      <c r="A35" s="59"/>
      <c r="B35" s="133" t="s">
        <v>99</v>
      </c>
      <c r="C35" s="61"/>
      <c r="D35" s="62"/>
      <c r="E35" s="63"/>
      <c r="F35" s="64"/>
      <c r="G35" s="113"/>
      <c r="H35" s="120"/>
      <c r="I35" s="113"/>
      <c r="J35" s="120"/>
      <c r="K35" s="65"/>
      <c r="L35" s="66"/>
    </row>
    <row r="36" spans="1:12" ht="24">
      <c r="A36" s="59"/>
      <c r="B36" s="133" t="s">
        <v>101</v>
      </c>
      <c r="C36" s="61"/>
      <c r="D36" s="67"/>
      <c r="E36" s="56"/>
      <c r="F36" s="57"/>
      <c r="G36" s="114"/>
      <c r="H36" s="121"/>
      <c r="I36" s="114"/>
      <c r="J36" s="121"/>
      <c r="K36" s="68"/>
      <c r="L36" s="58"/>
    </row>
    <row r="37" spans="1:12" ht="24">
      <c r="A37" s="59"/>
      <c r="B37" s="133" t="s">
        <v>102</v>
      </c>
      <c r="C37" s="61"/>
      <c r="D37" s="67"/>
      <c r="E37" s="56"/>
      <c r="F37" s="57"/>
      <c r="G37" s="114"/>
      <c r="H37" s="121"/>
      <c r="I37" s="114"/>
      <c r="J37" s="121"/>
      <c r="K37" s="68"/>
      <c r="L37" s="58"/>
    </row>
    <row r="38" spans="1:12" ht="24">
      <c r="A38" s="59"/>
      <c r="B38" s="133" t="s">
        <v>103</v>
      </c>
      <c r="C38" s="61"/>
      <c r="D38" s="67"/>
      <c r="E38" s="56"/>
      <c r="F38" s="57"/>
      <c r="G38" s="114"/>
      <c r="H38" s="121"/>
      <c r="I38" s="114"/>
      <c r="J38" s="121"/>
      <c r="K38" s="68"/>
      <c r="L38" s="58"/>
    </row>
    <row r="39" spans="1:12" ht="24">
      <c r="A39" s="59"/>
      <c r="B39" s="133" t="s">
        <v>104</v>
      </c>
      <c r="C39" s="61"/>
      <c r="D39" s="67"/>
      <c r="E39" s="56"/>
      <c r="F39" s="57"/>
      <c r="G39" s="114"/>
      <c r="H39" s="121"/>
      <c r="I39" s="114"/>
      <c r="J39" s="121"/>
      <c r="K39" s="68"/>
      <c r="L39" s="58"/>
    </row>
    <row r="40" spans="1:12" ht="24">
      <c r="A40" s="59"/>
      <c r="B40" s="133"/>
      <c r="C40" s="61" t="s">
        <v>105</v>
      </c>
      <c r="D40" s="67"/>
      <c r="E40" s="56"/>
      <c r="F40" s="57"/>
      <c r="G40" s="114"/>
      <c r="H40" s="121"/>
      <c r="I40" s="114"/>
      <c r="J40" s="121"/>
      <c r="K40" s="68"/>
      <c r="L40" s="58"/>
    </row>
    <row r="41" spans="1:12" ht="24">
      <c r="A41" s="59"/>
      <c r="B41" s="60"/>
      <c r="C41" s="61"/>
      <c r="D41" s="67"/>
      <c r="E41" s="56"/>
      <c r="F41" s="57"/>
      <c r="G41" s="114"/>
      <c r="H41" s="121"/>
      <c r="I41" s="114"/>
      <c r="J41" s="121"/>
      <c r="K41" s="68"/>
      <c r="L41" s="58"/>
    </row>
    <row r="42" spans="1:12" ht="24">
      <c r="A42" s="59"/>
      <c r="B42" s="60"/>
      <c r="C42" s="61"/>
      <c r="D42" s="67"/>
      <c r="E42" s="56"/>
      <c r="F42" s="57"/>
      <c r="G42" s="114"/>
      <c r="H42" s="121"/>
      <c r="I42" s="114"/>
      <c r="J42" s="121"/>
      <c r="K42" s="68"/>
      <c r="L42" s="58"/>
    </row>
    <row r="43" spans="1:12" ht="24">
      <c r="A43" s="59"/>
      <c r="B43" s="60"/>
      <c r="C43" s="61"/>
      <c r="D43" s="67"/>
      <c r="E43" s="56"/>
      <c r="F43" s="57"/>
      <c r="G43" s="114"/>
      <c r="H43" s="121"/>
      <c r="I43" s="114"/>
      <c r="J43" s="121"/>
      <c r="K43" s="68"/>
      <c r="L43" s="58"/>
    </row>
    <row r="44" spans="1:12" ht="24">
      <c r="A44" s="59"/>
      <c r="B44" s="60"/>
      <c r="C44" s="61"/>
      <c r="D44" s="67"/>
      <c r="E44" s="56"/>
      <c r="F44" s="57"/>
      <c r="G44" s="114"/>
      <c r="H44" s="121"/>
      <c r="I44" s="114"/>
      <c r="J44" s="121"/>
      <c r="K44" s="68"/>
      <c r="L44" s="58"/>
    </row>
    <row r="45" spans="1:12" ht="24">
      <c r="A45" s="59"/>
      <c r="B45" s="60"/>
      <c r="C45" s="61"/>
      <c r="D45" s="67"/>
      <c r="E45" s="56"/>
      <c r="F45" s="57"/>
      <c r="G45" s="114"/>
      <c r="H45" s="121"/>
      <c r="I45" s="114"/>
      <c r="J45" s="121"/>
      <c r="K45" s="68"/>
      <c r="L45" s="58"/>
    </row>
    <row r="46" spans="1:12" ht="24">
      <c r="A46" s="69"/>
      <c r="B46" s="60"/>
      <c r="C46" s="61"/>
      <c r="D46" s="67"/>
      <c r="E46" s="56"/>
      <c r="F46" s="57"/>
      <c r="G46" s="114"/>
      <c r="H46" s="121"/>
      <c r="I46" s="114"/>
      <c r="J46" s="121"/>
      <c r="K46" s="68"/>
      <c r="L46" s="58"/>
    </row>
    <row r="47" spans="1:12" ht="24">
      <c r="A47" s="69"/>
      <c r="B47" s="60"/>
      <c r="C47" s="61"/>
      <c r="D47" s="67"/>
      <c r="E47" s="56"/>
      <c r="F47" s="57"/>
      <c r="G47" s="114"/>
      <c r="H47" s="121"/>
      <c r="I47" s="114"/>
      <c r="J47" s="121"/>
      <c r="K47" s="68"/>
      <c r="L47" s="58"/>
    </row>
    <row r="48" spans="1:12" ht="24">
      <c r="A48" s="69"/>
      <c r="B48" s="60"/>
      <c r="C48" s="61"/>
      <c r="D48" s="67"/>
      <c r="E48" s="56"/>
      <c r="F48" s="57"/>
      <c r="G48" s="114"/>
      <c r="H48" s="121"/>
      <c r="I48" s="114"/>
      <c r="J48" s="121"/>
      <c r="K48" s="68"/>
      <c r="L48" s="58"/>
    </row>
    <row r="49" spans="1:12" ht="24">
      <c r="A49" s="69"/>
      <c r="B49" s="60"/>
      <c r="C49" s="61"/>
      <c r="D49" s="67"/>
      <c r="E49" s="56"/>
      <c r="F49" s="57"/>
      <c r="G49" s="114"/>
      <c r="H49" s="121"/>
      <c r="I49" s="114"/>
      <c r="J49" s="121"/>
      <c r="K49" s="68"/>
      <c r="L49" s="58"/>
    </row>
    <row r="50" spans="1:12" ht="24.75" thickBot="1">
      <c r="A50" s="69"/>
      <c r="B50" s="60"/>
      <c r="C50" s="61"/>
      <c r="D50" s="67"/>
      <c r="E50" s="56"/>
      <c r="F50" s="57"/>
      <c r="G50" s="114"/>
      <c r="H50" s="121"/>
      <c r="I50" s="114"/>
      <c r="J50" s="121"/>
      <c r="K50" s="68"/>
      <c r="L50" s="58"/>
    </row>
    <row r="51" spans="1:12" ht="24.75" thickTop="1">
      <c r="A51" s="70"/>
      <c r="B51" s="1981" t="s">
        <v>69</v>
      </c>
      <c r="C51" s="1982"/>
      <c r="D51" s="1983"/>
      <c r="E51" s="71"/>
      <c r="F51" s="72"/>
      <c r="G51" s="115"/>
      <c r="H51" s="122"/>
      <c r="I51" s="115"/>
      <c r="J51" s="122"/>
      <c r="K51" s="73"/>
      <c r="L51" s="74"/>
    </row>
    <row r="52" spans="1:12" ht="24">
      <c r="A52" s="141" t="s">
        <v>97</v>
      </c>
      <c r="B52" s="133" t="s">
        <v>179</v>
      </c>
      <c r="C52" s="136"/>
      <c r="D52" s="137"/>
      <c r="E52" s="105"/>
      <c r="F52" s="106"/>
      <c r="G52" s="111"/>
      <c r="H52" s="117"/>
      <c r="I52" s="111"/>
      <c r="J52" s="117"/>
      <c r="K52" s="63"/>
      <c r="L52" s="107"/>
    </row>
    <row r="53" spans="1:12" ht="24">
      <c r="A53" s="52"/>
      <c r="B53" s="133" t="s">
        <v>95</v>
      </c>
      <c r="C53" s="54"/>
      <c r="D53" s="55"/>
      <c r="E53" s="56"/>
      <c r="F53" s="57"/>
      <c r="G53" s="112"/>
      <c r="H53" s="118"/>
      <c r="I53" s="123"/>
      <c r="J53" s="124"/>
      <c r="K53" s="57"/>
      <c r="L53" s="58"/>
    </row>
    <row r="54" spans="1:12" ht="24">
      <c r="A54" s="59"/>
      <c r="B54" s="133" t="s">
        <v>96</v>
      </c>
      <c r="C54" s="61"/>
      <c r="D54" s="62"/>
      <c r="E54" s="63"/>
      <c r="F54" s="64"/>
      <c r="G54" s="113"/>
      <c r="H54" s="119"/>
      <c r="I54" s="113"/>
      <c r="J54" s="120"/>
      <c r="K54" s="65"/>
      <c r="L54" s="66"/>
    </row>
    <row r="55" spans="1:12" ht="24">
      <c r="A55" s="59"/>
      <c r="B55" s="133" t="s">
        <v>99</v>
      </c>
      <c r="C55" s="61"/>
      <c r="D55" s="62"/>
      <c r="E55" s="63"/>
      <c r="F55" s="64"/>
      <c r="G55" s="113"/>
      <c r="H55" s="120"/>
      <c r="I55" s="113"/>
      <c r="J55" s="120"/>
      <c r="K55" s="65"/>
      <c r="L55" s="66"/>
    </row>
    <row r="56" spans="1:12" ht="24">
      <c r="A56" s="59"/>
      <c r="B56" s="133" t="s">
        <v>101</v>
      </c>
      <c r="C56" s="61"/>
      <c r="D56" s="67"/>
      <c r="E56" s="56"/>
      <c r="F56" s="57"/>
      <c r="G56" s="114"/>
      <c r="H56" s="121"/>
      <c r="I56" s="114"/>
      <c r="J56" s="121"/>
      <c r="K56" s="68"/>
      <c r="L56" s="58"/>
    </row>
    <row r="57" spans="1:12" ht="24">
      <c r="A57" s="59"/>
      <c r="B57" s="133" t="s">
        <v>102</v>
      </c>
      <c r="C57" s="61"/>
      <c r="D57" s="67"/>
      <c r="E57" s="56"/>
      <c r="F57" s="57"/>
      <c r="G57" s="114"/>
      <c r="H57" s="121"/>
      <c r="I57" s="114"/>
      <c r="J57" s="121"/>
      <c r="K57" s="68"/>
      <c r="L57" s="58"/>
    </row>
    <row r="58" spans="1:12" ht="24">
      <c r="A58" s="59"/>
      <c r="B58" s="133" t="s">
        <v>103</v>
      </c>
      <c r="C58" s="61"/>
      <c r="D58" s="67"/>
      <c r="E58" s="56"/>
      <c r="F58" s="57"/>
      <c r="G58" s="114"/>
      <c r="H58" s="121"/>
      <c r="I58" s="114"/>
      <c r="J58" s="121"/>
      <c r="K58" s="68"/>
      <c r="L58" s="58"/>
    </row>
    <row r="59" spans="1:12" ht="24">
      <c r="A59" s="59"/>
      <c r="B59" s="133" t="s">
        <v>104</v>
      </c>
      <c r="C59" s="61"/>
      <c r="D59" s="67"/>
      <c r="E59" s="56"/>
      <c r="F59" s="57"/>
      <c r="G59" s="114"/>
      <c r="H59" s="121"/>
      <c r="I59" s="114"/>
      <c r="J59" s="121"/>
      <c r="K59" s="68"/>
      <c r="L59" s="58"/>
    </row>
    <row r="60" spans="1:12" ht="24">
      <c r="A60" s="59"/>
      <c r="B60" s="133"/>
      <c r="C60" s="61" t="s">
        <v>105</v>
      </c>
      <c r="D60" s="67"/>
      <c r="E60" s="56"/>
      <c r="F60" s="57"/>
      <c r="G60" s="114"/>
      <c r="H60" s="121"/>
      <c r="I60" s="114"/>
      <c r="J60" s="121"/>
      <c r="K60" s="68"/>
      <c r="L60" s="58"/>
    </row>
    <row r="61" spans="1:12" ht="24">
      <c r="A61" s="59"/>
      <c r="B61" s="60"/>
      <c r="C61" s="61"/>
      <c r="D61" s="67"/>
      <c r="E61" s="56"/>
      <c r="F61" s="57"/>
      <c r="G61" s="114"/>
      <c r="H61" s="121"/>
      <c r="I61" s="114"/>
      <c r="J61" s="121"/>
      <c r="K61" s="68"/>
      <c r="L61" s="58"/>
    </row>
    <row r="62" spans="1:12" ht="24">
      <c r="A62" s="59"/>
      <c r="B62" s="60"/>
      <c r="C62" s="61"/>
      <c r="D62" s="67"/>
      <c r="E62" s="56"/>
      <c r="F62" s="57"/>
      <c r="G62" s="114"/>
      <c r="H62" s="121"/>
      <c r="I62" s="114"/>
      <c r="J62" s="121"/>
      <c r="K62" s="68"/>
      <c r="L62" s="58"/>
    </row>
    <row r="63" spans="1:12" ht="24">
      <c r="A63" s="59"/>
      <c r="B63" s="60"/>
      <c r="C63" s="61"/>
      <c r="D63" s="67"/>
      <c r="E63" s="56"/>
      <c r="F63" s="57"/>
      <c r="G63" s="114"/>
      <c r="H63" s="121"/>
      <c r="I63" s="114"/>
      <c r="J63" s="121"/>
      <c r="K63" s="68"/>
      <c r="L63" s="58"/>
    </row>
    <row r="64" spans="1:12" ht="24">
      <c r="A64" s="59"/>
      <c r="B64" s="60"/>
      <c r="C64" s="61"/>
      <c r="D64" s="67"/>
      <c r="E64" s="56"/>
      <c r="F64" s="57"/>
      <c r="G64" s="114"/>
      <c r="H64" s="121"/>
      <c r="I64" s="114"/>
      <c r="J64" s="121"/>
      <c r="K64" s="68"/>
      <c r="L64" s="58"/>
    </row>
    <row r="65" spans="1:12" ht="24">
      <c r="A65" s="59"/>
      <c r="B65" s="60"/>
      <c r="C65" s="61"/>
      <c r="D65" s="67"/>
      <c r="E65" s="56"/>
      <c r="F65" s="57"/>
      <c r="G65" s="114"/>
      <c r="H65" s="121"/>
      <c r="I65" s="114"/>
      <c r="J65" s="121"/>
      <c r="K65" s="68"/>
      <c r="L65" s="58"/>
    </row>
    <row r="66" spans="1:12" ht="24">
      <c r="A66" s="59"/>
      <c r="B66" s="60"/>
      <c r="C66" s="61"/>
      <c r="D66" s="67"/>
      <c r="E66" s="56"/>
      <c r="F66" s="57"/>
      <c r="G66" s="114"/>
      <c r="H66" s="121"/>
      <c r="I66" s="114"/>
      <c r="J66" s="121"/>
      <c r="K66" s="68"/>
      <c r="L66" s="58"/>
    </row>
    <row r="67" spans="1:12" ht="24">
      <c r="A67" s="69"/>
      <c r="B67" s="60"/>
      <c r="C67" s="61"/>
      <c r="D67" s="67"/>
      <c r="E67" s="56"/>
      <c r="F67" s="57"/>
      <c r="G67" s="114"/>
      <c r="H67" s="121"/>
      <c r="I67" s="114"/>
      <c r="J67" s="121"/>
      <c r="K67" s="68"/>
      <c r="L67" s="58"/>
    </row>
    <row r="68" spans="1:12" ht="24">
      <c r="A68" s="69"/>
      <c r="B68" s="60"/>
      <c r="C68" s="61"/>
      <c r="D68" s="67"/>
      <c r="E68" s="56"/>
      <c r="F68" s="57"/>
      <c r="G68" s="114"/>
      <c r="H68" s="121"/>
      <c r="I68" s="114"/>
      <c r="J68" s="121"/>
      <c r="K68" s="68"/>
      <c r="L68" s="58"/>
    </row>
    <row r="69" spans="1:12" ht="24">
      <c r="A69" s="69"/>
      <c r="B69" s="60"/>
      <c r="C69" s="61"/>
      <c r="D69" s="67"/>
      <c r="E69" s="56"/>
      <c r="F69" s="57"/>
      <c r="G69" s="114"/>
      <c r="H69" s="121"/>
      <c r="I69" s="114"/>
      <c r="J69" s="121"/>
      <c r="K69" s="68"/>
      <c r="L69" s="58"/>
    </row>
    <row r="70" spans="1:12" ht="24">
      <c r="A70" s="69"/>
      <c r="B70" s="60"/>
      <c r="C70" s="61"/>
      <c r="D70" s="67"/>
      <c r="E70" s="56"/>
      <c r="F70" s="57"/>
      <c r="G70" s="114"/>
      <c r="H70" s="121"/>
      <c r="I70" s="114"/>
      <c r="J70" s="121"/>
      <c r="K70" s="68"/>
      <c r="L70" s="58"/>
    </row>
    <row r="71" spans="1:12" ht="24.75" thickBot="1">
      <c r="A71" s="69"/>
      <c r="B71" s="60"/>
      <c r="C71" s="61"/>
      <c r="D71" s="67"/>
      <c r="E71" s="56"/>
      <c r="F71" s="57"/>
      <c r="G71" s="114"/>
      <c r="H71" s="121"/>
      <c r="I71" s="114"/>
      <c r="J71" s="121"/>
      <c r="K71" s="68"/>
      <c r="L71" s="58"/>
    </row>
    <row r="72" spans="1:12" ht="24.75" thickTop="1">
      <c r="A72" s="70"/>
      <c r="B72" s="1981" t="s">
        <v>69</v>
      </c>
      <c r="C72" s="1982"/>
      <c r="D72" s="1983"/>
      <c r="E72" s="71"/>
      <c r="F72" s="72"/>
      <c r="G72" s="115"/>
      <c r="H72" s="122"/>
      <c r="I72" s="115"/>
      <c r="J72" s="122"/>
      <c r="K72" s="73"/>
      <c r="L72" s="74"/>
    </row>
    <row r="73" spans="1:12" ht="24">
      <c r="A73" s="141" t="s">
        <v>98</v>
      </c>
      <c r="B73" s="133" t="s">
        <v>166</v>
      </c>
      <c r="C73" s="136"/>
      <c r="D73" s="137"/>
      <c r="E73" s="105"/>
      <c r="F73" s="106"/>
      <c r="G73" s="111"/>
      <c r="H73" s="117"/>
      <c r="I73" s="111"/>
      <c r="J73" s="117"/>
      <c r="K73" s="63"/>
      <c r="L73" s="107"/>
    </row>
    <row r="74" spans="1:12" ht="24">
      <c r="A74" s="52"/>
      <c r="B74" s="133" t="s">
        <v>95</v>
      </c>
      <c r="C74" s="54"/>
      <c r="D74" s="55"/>
      <c r="E74" s="56"/>
      <c r="F74" s="57"/>
      <c r="G74" s="112"/>
      <c r="H74" s="118"/>
      <c r="I74" s="123"/>
      <c r="J74" s="124"/>
      <c r="K74" s="57"/>
      <c r="L74" s="58"/>
    </row>
    <row r="75" spans="1:12" ht="24">
      <c r="A75" s="59"/>
      <c r="B75" s="133" t="s">
        <v>96</v>
      </c>
      <c r="C75" s="61"/>
      <c r="D75" s="62"/>
      <c r="E75" s="63"/>
      <c r="F75" s="64"/>
      <c r="G75" s="113"/>
      <c r="H75" s="119"/>
      <c r="I75" s="113"/>
      <c r="J75" s="120"/>
      <c r="K75" s="65"/>
      <c r="L75" s="66"/>
    </row>
    <row r="76" spans="1:12" ht="24">
      <c r="A76" s="59"/>
      <c r="B76" s="133" t="s">
        <v>99</v>
      </c>
      <c r="C76" s="61"/>
      <c r="D76" s="62"/>
      <c r="E76" s="63"/>
      <c r="F76" s="64"/>
      <c r="G76" s="113"/>
      <c r="H76" s="120"/>
      <c r="I76" s="113"/>
      <c r="J76" s="120"/>
      <c r="K76" s="65"/>
      <c r="L76" s="66"/>
    </row>
    <row r="77" spans="1:12" ht="24">
      <c r="A77" s="59"/>
      <c r="B77" s="133" t="s">
        <v>101</v>
      </c>
      <c r="C77" s="61"/>
      <c r="D77" s="67"/>
      <c r="E77" s="56"/>
      <c r="F77" s="57"/>
      <c r="G77" s="114"/>
      <c r="H77" s="121"/>
      <c r="I77" s="114"/>
      <c r="J77" s="121"/>
      <c r="K77" s="68"/>
      <c r="L77" s="58"/>
    </row>
    <row r="78" spans="1:12" ht="24">
      <c r="A78" s="59"/>
      <c r="B78" s="133" t="s">
        <v>102</v>
      </c>
      <c r="C78" s="61"/>
      <c r="D78" s="67"/>
      <c r="E78" s="56"/>
      <c r="F78" s="57"/>
      <c r="G78" s="114"/>
      <c r="H78" s="121"/>
      <c r="I78" s="114"/>
      <c r="J78" s="121"/>
      <c r="K78" s="68"/>
      <c r="L78" s="58"/>
    </row>
    <row r="79" spans="1:12" ht="24">
      <c r="A79" s="59"/>
      <c r="B79" s="133" t="s">
        <v>103</v>
      </c>
      <c r="C79" s="61"/>
      <c r="D79" s="67"/>
      <c r="E79" s="56"/>
      <c r="F79" s="57"/>
      <c r="G79" s="114"/>
      <c r="H79" s="121"/>
      <c r="I79" s="114"/>
      <c r="J79" s="121"/>
      <c r="K79" s="68"/>
      <c r="L79" s="58"/>
    </row>
    <row r="80" spans="1:12" ht="24">
      <c r="A80" s="59"/>
      <c r="B80" s="133" t="s">
        <v>104</v>
      </c>
      <c r="C80" s="61"/>
      <c r="D80" s="67"/>
      <c r="E80" s="56"/>
      <c r="F80" s="57"/>
      <c r="G80" s="114"/>
      <c r="H80" s="121"/>
      <c r="I80" s="114"/>
      <c r="J80" s="121"/>
      <c r="K80" s="68"/>
      <c r="L80" s="58"/>
    </row>
    <row r="81" spans="1:12" ht="24">
      <c r="A81" s="59"/>
      <c r="B81" s="133"/>
      <c r="C81" s="61" t="s">
        <v>105</v>
      </c>
      <c r="D81" s="67"/>
      <c r="E81" s="56"/>
      <c r="F81" s="57"/>
      <c r="G81" s="114"/>
      <c r="H81" s="121"/>
      <c r="I81" s="114"/>
      <c r="J81" s="121"/>
      <c r="K81" s="68"/>
      <c r="L81" s="58"/>
    </row>
    <row r="82" spans="1:12" ht="24">
      <c r="A82" s="59"/>
      <c r="B82" s="60"/>
      <c r="C82" s="61"/>
      <c r="D82" s="67"/>
      <c r="E82" s="56"/>
      <c r="F82" s="57"/>
      <c r="G82" s="114"/>
      <c r="H82" s="121"/>
      <c r="I82" s="114"/>
      <c r="J82" s="121"/>
      <c r="K82" s="68"/>
      <c r="L82" s="58"/>
    </row>
    <row r="83" spans="1:12" ht="24">
      <c r="A83" s="59"/>
      <c r="B83" s="60"/>
      <c r="C83" s="61"/>
      <c r="D83" s="67"/>
      <c r="E83" s="56"/>
      <c r="F83" s="57"/>
      <c r="G83" s="114"/>
      <c r="H83" s="121"/>
      <c r="I83" s="114"/>
      <c r="J83" s="121"/>
      <c r="K83" s="68"/>
      <c r="L83" s="58"/>
    </row>
    <row r="84" spans="1:12" ht="24">
      <c r="A84" s="59"/>
      <c r="B84" s="60"/>
      <c r="C84" s="61"/>
      <c r="D84" s="67"/>
      <c r="E84" s="56"/>
      <c r="F84" s="57"/>
      <c r="G84" s="114"/>
      <c r="H84" s="121"/>
      <c r="I84" s="114"/>
      <c r="J84" s="121"/>
      <c r="K84" s="68"/>
      <c r="L84" s="58"/>
    </row>
    <row r="85" spans="1:12" ht="24">
      <c r="A85" s="59"/>
      <c r="B85" s="60"/>
      <c r="C85" s="61"/>
      <c r="D85" s="67"/>
      <c r="E85" s="56"/>
      <c r="F85" s="57"/>
      <c r="G85" s="114"/>
      <c r="H85" s="121"/>
      <c r="I85" s="114"/>
      <c r="J85" s="121"/>
      <c r="K85" s="68"/>
      <c r="L85" s="58"/>
    </row>
    <row r="86" spans="1:12" ht="24">
      <c r="A86" s="59"/>
      <c r="B86" s="60"/>
      <c r="C86" s="61"/>
      <c r="D86" s="67"/>
      <c r="E86" s="56"/>
      <c r="F86" s="57"/>
      <c r="G86" s="114"/>
      <c r="H86" s="121"/>
      <c r="I86" s="114"/>
      <c r="J86" s="121"/>
      <c r="K86" s="68"/>
      <c r="L86" s="58"/>
    </row>
    <row r="87" spans="1:12" ht="24">
      <c r="A87" s="59"/>
      <c r="B87" s="60"/>
      <c r="C87" s="61"/>
      <c r="D87" s="67"/>
      <c r="E87" s="56"/>
      <c r="F87" s="57"/>
      <c r="G87" s="114"/>
      <c r="H87" s="121"/>
      <c r="I87" s="114"/>
      <c r="J87" s="121"/>
      <c r="K87" s="68"/>
      <c r="L87" s="58"/>
    </row>
    <row r="88" spans="1:12" ht="24">
      <c r="A88" s="69"/>
      <c r="B88" s="60"/>
      <c r="C88" s="61"/>
      <c r="D88" s="67"/>
      <c r="E88" s="56"/>
      <c r="F88" s="57"/>
      <c r="G88" s="114"/>
      <c r="H88" s="121"/>
      <c r="I88" s="114"/>
      <c r="J88" s="121"/>
      <c r="K88" s="68"/>
      <c r="L88" s="58"/>
    </row>
    <row r="89" spans="1:12" ht="24">
      <c r="A89" s="69"/>
      <c r="B89" s="60"/>
      <c r="C89" s="61"/>
      <c r="D89" s="67"/>
      <c r="E89" s="56"/>
      <c r="F89" s="57"/>
      <c r="G89" s="114"/>
      <c r="H89" s="121"/>
      <c r="I89" s="114"/>
      <c r="J89" s="121"/>
      <c r="K89" s="68"/>
      <c r="L89" s="58"/>
    </row>
    <row r="90" spans="1:12" ht="24">
      <c r="A90" s="69"/>
      <c r="B90" s="60"/>
      <c r="C90" s="61"/>
      <c r="D90" s="67"/>
      <c r="E90" s="56"/>
      <c r="F90" s="57"/>
      <c r="G90" s="114"/>
      <c r="H90" s="121"/>
      <c r="I90" s="114"/>
      <c r="J90" s="121"/>
      <c r="K90" s="68"/>
      <c r="L90" s="58"/>
    </row>
    <row r="91" spans="1:12" ht="24">
      <c r="A91" s="69"/>
      <c r="B91" s="60"/>
      <c r="C91" s="61"/>
      <c r="D91" s="67"/>
      <c r="E91" s="56"/>
      <c r="F91" s="57"/>
      <c r="G91" s="114"/>
      <c r="H91" s="121"/>
      <c r="I91" s="114"/>
      <c r="J91" s="121"/>
      <c r="K91" s="68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70"/>
      <c r="B93" s="1981" t="s">
        <v>69</v>
      </c>
      <c r="C93" s="1982"/>
      <c r="D93" s="1983"/>
      <c r="E93" s="71"/>
      <c r="F93" s="72"/>
      <c r="G93" s="115"/>
      <c r="H93" s="122"/>
      <c r="I93" s="115"/>
      <c r="J93" s="122"/>
      <c r="K93" s="73"/>
      <c r="L93" s="74"/>
    </row>
    <row r="94" spans="1:12" ht="24">
      <c r="A94" s="141" t="s">
        <v>100</v>
      </c>
      <c r="B94" s="133" t="s">
        <v>167</v>
      </c>
      <c r="C94" s="136"/>
      <c r="D94" s="137"/>
      <c r="E94" s="105"/>
      <c r="F94" s="106"/>
      <c r="G94" s="111"/>
      <c r="H94" s="117"/>
      <c r="I94" s="111"/>
      <c r="J94" s="117"/>
      <c r="K94" s="63"/>
      <c r="L94" s="107"/>
    </row>
    <row r="95" spans="1:12" ht="24">
      <c r="A95" s="52"/>
      <c r="B95" s="133" t="s">
        <v>95</v>
      </c>
      <c r="C95" s="54"/>
      <c r="D95" s="55"/>
      <c r="E95" s="56"/>
      <c r="F95" s="57"/>
      <c r="G95" s="112"/>
      <c r="H95" s="118"/>
      <c r="I95" s="123"/>
      <c r="J95" s="124"/>
      <c r="K95" s="57"/>
      <c r="L95" s="58"/>
    </row>
    <row r="96" spans="1:12" ht="24">
      <c r="A96" s="59"/>
      <c r="B96" s="133" t="s">
        <v>96</v>
      </c>
      <c r="C96" s="61"/>
      <c r="D96" s="62"/>
      <c r="E96" s="63"/>
      <c r="F96" s="64"/>
      <c r="G96" s="113"/>
      <c r="H96" s="119"/>
      <c r="I96" s="113"/>
      <c r="J96" s="120"/>
      <c r="K96" s="65"/>
      <c r="L96" s="66"/>
    </row>
    <row r="97" spans="1:12" ht="24">
      <c r="A97" s="59"/>
      <c r="B97" s="133" t="s">
        <v>99</v>
      </c>
      <c r="C97" s="61"/>
      <c r="D97" s="62"/>
      <c r="E97" s="63"/>
      <c r="F97" s="64"/>
      <c r="G97" s="113"/>
      <c r="H97" s="120"/>
      <c r="I97" s="113"/>
      <c r="J97" s="120"/>
      <c r="K97" s="65"/>
      <c r="L97" s="66"/>
    </row>
    <row r="98" spans="1:12" ht="24">
      <c r="A98" s="59"/>
      <c r="B98" s="133" t="s">
        <v>101</v>
      </c>
      <c r="C98" s="61"/>
      <c r="D98" s="67"/>
      <c r="E98" s="56"/>
      <c r="F98" s="57"/>
      <c r="G98" s="114"/>
      <c r="H98" s="121"/>
      <c r="I98" s="114"/>
      <c r="J98" s="121"/>
      <c r="K98" s="68"/>
      <c r="L98" s="58"/>
    </row>
    <row r="99" spans="1:12" ht="24">
      <c r="A99" s="59"/>
      <c r="B99" s="133" t="s">
        <v>102</v>
      </c>
      <c r="C99" s="61"/>
      <c r="D99" s="67"/>
      <c r="E99" s="56"/>
      <c r="F99" s="57"/>
      <c r="G99" s="114"/>
      <c r="H99" s="121"/>
      <c r="I99" s="114"/>
      <c r="J99" s="121"/>
      <c r="K99" s="68"/>
      <c r="L99" s="58"/>
    </row>
    <row r="100" spans="1:12" ht="24">
      <c r="A100" s="59"/>
      <c r="B100" s="133" t="s">
        <v>103</v>
      </c>
      <c r="C100" s="61"/>
      <c r="D100" s="67"/>
      <c r="E100" s="56"/>
      <c r="F100" s="57"/>
      <c r="G100" s="114"/>
      <c r="H100" s="121"/>
      <c r="I100" s="114"/>
      <c r="J100" s="121"/>
      <c r="K100" s="68"/>
      <c r="L100" s="58"/>
    </row>
    <row r="101" spans="1:12" ht="24">
      <c r="A101" s="59"/>
      <c r="B101" s="133" t="s">
        <v>104</v>
      </c>
      <c r="C101" s="61"/>
      <c r="D101" s="67"/>
      <c r="E101" s="56"/>
      <c r="F101" s="57"/>
      <c r="G101" s="114"/>
      <c r="H101" s="121"/>
      <c r="I101" s="114"/>
      <c r="J101" s="121"/>
      <c r="K101" s="68"/>
      <c r="L101" s="58"/>
    </row>
    <row r="102" spans="1:12" ht="24">
      <c r="A102" s="59"/>
      <c r="B102" s="133"/>
      <c r="C102" s="61" t="s">
        <v>105</v>
      </c>
      <c r="D102" s="67"/>
      <c r="E102" s="56"/>
      <c r="F102" s="57"/>
      <c r="G102" s="114"/>
      <c r="H102" s="121"/>
      <c r="I102" s="114"/>
      <c r="J102" s="121"/>
      <c r="K102" s="68"/>
      <c r="L102" s="58"/>
    </row>
    <row r="103" spans="1:12" ht="24">
      <c r="A103" s="59"/>
      <c r="B103" s="133"/>
      <c r="C103" s="61"/>
      <c r="D103" s="67"/>
      <c r="E103" s="56"/>
      <c r="F103" s="57"/>
      <c r="G103" s="114"/>
      <c r="H103" s="121"/>
      <c r="I103" s="114"/>
      <c r="J103" s="121"/>
      <c r="K103" s="68"/>
      <c r="L103" s="58"/>
    </row>
    <row r="104" spans="1:12" ht="24">
      <c r="A104" s="59"/>
      <c r="B104" s="133"/>
      <c r="C104" s="61"/>
      <c r="D104" s="67"/>
      <c r="E104" s="56"/>
      <c r="F104" s="57"/>
      <c r="G104" s="114"/>
      <c r="H104" s="121"/>
      <c r="I104" s="114"/>
      <c r="J104" s="121"/>
      <c r="K104" s="68"/>
      <c r="L104" s="58"/>
    </row>
    <row r="105" spans="1:12" ht="24">
      <c r="A105" s="59"/>
      <c r="B105" s="133"/>
      <c r="C105" s="61"/>
      <c r="D105" s="67"/>
      <c r="E105" s="56"/>
      <c r="F105" s="57"/>
      <c r="G105" s="114"/>
      <c r="H105" s="121"/>
      <c r="I105" s="114"/>
      <c r="J105" s="121"/>
      <c r="K105" s="68"/>
      <c r="L105" s="58"/>
    </row>
    <row r="106" spans="1:12" ht="24">
      <c r="A106" s="59"/>
      <c r="B106" s="133"/>
      <c r="C106" s="61"/>
      <c r="D106" s="67"/>
      <c r="E106" s="56"/>
      <c r="F106" s="57"/>
      <c r="G106" s="114"/>
      <c r="H106" s="121"/>
      <c r="I106" s="114"/>
      <c r="J106" s="121"/>
      <c r="K106" s="68"/>
      <c r="L106" s="58"/>
    </row>
    <row r="107" spans="1:12" ht="24">
      <c r="A107" s="59"/>
      <c r="B107" s="133"/>
      <c r="C107" s="61"/>
      <c r="D107" s="67"/>
      <c r="E107" s="56"/>
      <c r="F107" s="57"/>
      <c r="G107" s="114"/>
      <c r="H107" s="121"/>
      <c r="I107" s="114"/>
      <c r="J107" s="121"/>
      <c r="K107" s="68"/>
      <c r="L107" s="58"/>
    </row>
    <row r="108" spans="1:12" ht="24">
      <c r="A108" s="59"/>
      <c r="B108" s="133"/>
      <c r="C108" s="61"/>
      <c r="D108" s="67"/>
      <c r="E108" s="56"/>
      <c r="F108" s="57"/>
      <c r="G108" s="114"/>
      <c r="H108" s="121"/>
      <c r="I108" s="114"/>
      <c r="J108" s="121"/>
      <c r="K108" s="68"/>
      <c r="L108" s="58"/>
    </row>
    <row r="109" spans="1:12" ht="24">
      <c r="A109" s="69"/>
      <c r="B109" s="60"/>
      <c r="C109" s="61"/>
      <c r="D109" s="67"/>
      <c r="E109" s="56"/>
      <c r="F109" s="57"/>
      <c r="G109" s="114"/>
      <c r="H109" s="121"/>
      <c r="I109" s="114"/>
      <c r="J109" s="121"/>
      <c r="K109" s="68"/>
      <c r="L109" s="58"/>
    </row>
    <row r="110" spans="1:12" ht="24">
      <c r="A110" s="69"/>
      <c r="B110" s="60"/>
      <c r="C110" s="61"/>
      <c r="D110" s="67"/>
      <c r="E110" s="56"/>
      <c r="F110" s="57"/>
      <c r="G110" s="114"/>
      <c r="H110" s="121"/>
      <c r="I110" s="114"/>
      <c r="J110" s="121"/>
      <c r="K110" s="68"/>
      <c r="L110" s="58"/>
    </row>
    <row r="111" spans="1:12" ht="24">
      <c r="A111" s="69"/>
      <c r="B111" s="60"/>
      <c r="C111" s="61"/>
      <c r="D111" s="67"/>
      <c r="E111" s="56"/>
      <c r="F111" s="57"/>
      <c r="G111" s="114"/>
      <c r="H111" s="121"/>
      <c r="I111" s="114"/>
      <c r="J111" s="121"/>
      <c r="K111" s="68"/>
      <c r="L111" s="58"/>
    </row>
    <row r="112" spans="1:12" ht="24">
      <c r="A112" s="69"/>
      <c r="B112" s="60"/>
      <c r="C112" s="61"/>
      <c r="D112" s="67"/>
      <c r="E112" s="56"/>
      <c r="F112" s="57"/>
      <c r="G112" s="114"/>
      <c r="H112" s="121"/>
      <c r="I112" s="114"/>
      <c r="J112" s="121"/>
      <c r="K112" s="68"/>
      <c r="L112" s="58"/>
    </row>
    <row r="113" spans="1:12" ht="24.75" thickBot="1">
      <c r="A113" s="69"/>
      <c r="B113" s="60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12" ht="24.75" thickTop="1">
      <c r="A114" s="70"/>
      <c r="B114" s="1981" t="s">
        <v>69</v>
      </c>
      <c r="C114" s="1982"/>
      <c r="D114" s="1983"/>
      <c r="E114" s="71"/>
      <c r="F114" s="72"/>
      <c r="G114" s="115"/>
      <c r="H114" s="122"/>
      <c r="I114" s="115"/>
      <c r="J114" s="122"/>
      <c r="K114" s="73"/>
      <c r="L114" s="74"/>
    </row>
    <row r="115" spans="1:12" ht="24">
      <c r="A115" s="141" t="s">
        <v>106</v>
      </c>
      <c r="B115" s="133" t="s">
        <v>168</v>
      </c>
      <c r="C115" s="136"/>
      <c r="D115" s="137"/>
      <c r="E115" s="105"/>
      <c r="F115" s="106"/>
      <c r="G115" s="111"/>
      <c r="H115" s="117"/>
      <c r="I115" s="111"/>
      <c r="J115" s="117"/>
      <c r="K115" s="63"/>
      <c r="L115" s="107"/>
    </row>
    <row r="116" spans="1:12" ht="24">
      <c r="A116" s="52"/>
      <c r="B116" s="133" t="s">
        <v>95</v>
      </c>
      <c r="C116" s="54"/>
      <c r="D116" s="55"/>
      <c r="E116" s="56"/>
      <c r="F116" s="57"/>
      <c r="G116" s="112"/>
      <c r="H116" s="118"/>
      <c r="I116" s="123"/>
      <c r="J116" s="124"/>
      <c r="K116" s="57"/>
      <c r="L116" s="58"/>
    </row>
    <row r="117" spans="1:12" ht="24">
      <c r="A117" s="59"/>
      <c r="B117" s="133" t="s">
        <v>96</v>
      </c>
      <c r="C117" s="61"/>
      <c r="D117" s="62"/>
      <c r="E117" s="63"/>
      <c r="F117" s="64"/>
      <c r="G117" s="113"/>
      <c r="H117" s="119"/>
      <c r="I117" s="113"/>
      <c r="J117" s="120"/>
      <c r="K117" s="65"/>
      <c r="L117" s="66"/>
    </row>
    <row r="118" spans="1:12" ht="24">
      <c r="A118" s="59"/>
      <c r="B118" s="133" t="s">
        <v>99</v>
      </c>
      <c r="C118" s="61"/>
      <c r="D118" s="62"/>
      <c r="E118" s="63"/>
      <c r="F118" s="64"/>
      <c r="G118" s="113"/>
      <c r="H118" s="120"/>
      <c r="I118" s="113"/>
      <c r="J118" s="120"/>
      <c r="K118" s="65"/>
      <c r="L118" s="66"/>
    </row>
    <row r="119" spans="1:12" ht="24">
      <c r="A119" s="59"/>
      <c r="B119" s="133" t="s">
        <v>101</v>
      </c>
      <c r="C119" s="61"/>
      <c r="D119" s="67"/>
      <c r="E119" s="56"/>
      <c r="F119" s="57"/>
      <c r="G119" s="114"/>
      <c r="H119" s="121"/>
      <c r="I119" s="114"/>
      <c r="J119" s="121"/>
      <c r="K119" s="68"/>
      <c r="L119" s="58"/>
    </row>
    <row r="120" spans="1:12" ht="24">
      <c r="A120" s="59"/>
      <c r="B120" s="133" t="s">
        <v>102</v>
      </c>
      <c r="C120" s="61"/>
      <c r="D120" s="67"/>
      <c r="E120" s="56"/>
      <c r="F120" s="57"/>
      <c r="G120" s="114"/>
      <c r="H120" s="121"/>
      <c r="I120" s="114"/>
      <c r="J120" s="121"/>
      <c r="K120" s="68"/>
      <c r="L120" s="58"/>
    </row>
    <row r="121" spans="1:12" ht="24">
      <c r="A121" s="59"/>
      <c r="B121" s="133" t="s">
        <v>103</v>
      </c>
      <c r="C121" s="61"/>
      <c r="D121" s="67"/>
      <c r="E121" s="56"/>
      <c r="F121" s="57"/>
      <c r="G121" s="114"/>
      <c r="H121" s="121"/>
      <c r="I121" s="114"/>
      <c r="J121" s="121"/>
      <c r="K121" s="68"/>
      <c r="L121" s="58"/>
    </row>
    <row r="122" spans="1:12" ht="24">
      <c r="A122" s="59"/>
      <c r="B122" s="133" t="s">
        <v>107</v>
      </c>
      <c r="C122" s="61"/>
      <c r="D122" s="67"/>
      <c r="E122" s="56"/>
      <c r="F122" s="57"/>
      <c r="G122" s="114"/>
      <c r="H122" s="121"/>
      <c r="I122" s="114"/>
      <c r="J122" s="121"/>
      <c r="K122" s="68"/>
      <c r="L122" s="58"/>
    </row>
    <row r="123" spans="1:12" ht="24">
      <c r="A123" s="59"/>
      <c r="B123" s="133" t="s">
        <v>104</v>
      </c>
      <c r="C123" s="61"/>
      <c r="D123" s="67"/>
      <c r="E123" s="56"/>
      <c r="F123" s="57"/>
      <c r="G123" s="114"/>
      <c r="H123" s="121"/>
      <c r="I123" s="114"/>
      <c r="J123" s="121"/>
      <c r="K123" s="68"/>
      <c r="L123" s="58"/>
    </row>
    <row r="124" spans="1:12" ht="24">
      <c r="A124" s="59"/>
      <c r="B124" s="133"/>
      <c r="C124" s="61" t="s">
        <v>105</v>
      </c>
      <c r="D124" s="67"/>
      <c r="E124" s="56"/>
      <c r="F124" s="57"/>
      <c r="G124" s="114"/>
      <c r="H124" s="121"/>
      <c r="I124" s="114"/>
      <c r="J124" s="121"/>
      <c r="K124" s="68"/>
      <c r="L124" s="58"/>
    </row>
    <row r="125" spans="1:12" ht="24">
      <c r="A125" s="59"/>
      <c r="B125" s="60"/>
      <c r="C125" s="61"/>
      <c r="D125" s="67"/>
      <c r="E125" s="56"/>
      <c r="F125" s="57"/>
      <c r="G125" s="114"/>
      <c r="H125" s="121"/>
      <c r="I125" s="114"/>
      <c r="J125" s="121"/>
      <c r="K125" s="68"/>
      <c r="L125" s="58"/>
    </row>
    <row r="126" spans="1:12" ht="24">
      <c r="A126" s="59"/>
      <c r="B126" s="60"/>
      <c r="C126" s="61"/>
      <c r="D126" s="67"/>
      <c r="E126" s="56"/>
      <c r="F126" s="57"/>
      <c r="G126" s="114"/>
      <c r="H126" s="121"/>
      <c r="I126" s="114"/>
      <c r="J126" s="121"/>
      <c r="K126" s="68"/>
      <c r="L126" s="58"/>
    </row>
    <row r="127" spans="1:12" ht="24">
      <c r="A127" s="59"/>
      <c r="B127" s="60"/>
      <c r="C127" s="61"/>
      <c r="D127" s="67"/>
      <c r="E127" s="56"/>
      <c r="F127" s="57"/>
      <c r="G127" s="114"/>
      <c r="H127" s="121"/>
      <c r="I127" s="114"/>
      <c r="J127" s="121"/>
      <c r="K127" s="68"/>
      <c r="L127" s="58"/>
    </row>
    <row r="128" spans="1:12" ht="24">
      <c r="A128" s="59"/>
      <c r="B128" s="60"/>
      <c r="C128" s="61"/>
      <c r="D128" s="67"/>
      <c r="E128" s="56"/>
      <c r="F128" s="57"/>
      <c r="G128" s="114"/>
      <c r="H128" s="121"/>
      <c r="I128" s="114"/>
      <c r="J128" s="121"/>
      <c r="K128" s="68"/>
      <c r="L128" s="58"/>
    </row>
    <row r="129" spans="1:12" ht="24">
      <c r="A129" s="59"/>
      <c r="B129" s="60"/>
      <c r="C129" s="61"/>
      <c r="D129" s="67"/>
      <c r="E129" s="56"/>
      <c r="F129" s="57"/>
      <c r="G129" s="114"/>
      <c r="H129" s="121"/>
      <c r="I129" s="114"/>
      <c r="J129" s="121"/>
      <c r="K129" s="68"/>
      <c r="L129" s="58"/>
    </row>
    <row r="130" spans="1:12" ht="24">
      <c r="A130" s="59"/>
      <c r="B130" s="60"/>
      <c r="C130" s="61"/>
      <c r="D130" s="67"/>
      <c r="E130" s="56"/>
      <c r="F130" s="57"/>
      <c r="G130" s="114"/>
      <c r="H130" s="121"/>
      <c r="I130" s="114"/>
      <c r="J130" s="121"/>
      <c r="K130" s="68"/>
      <c r="L130" s="58"/>
    </row>
    <row r="131" spans="1:12" ht="24">
      <c r="A131" s="69"/>
      <c r="B131" s="60"/>
      <c r="C131" s="61"/>
      <c r="D131" s="67"/>
      <c r="E131" s="56"/>
      <c r="F131" s="57"/>
      <c r="G131" s="114"/>
      <c r="H131" s="121"/>
      <c r="I131" s="114"/>
      <c r="J131" s="121"/>
      <c r="K131" s="68"/>
      <c r="L131" s="58"/>
    </row>
    <row r="132" spans="1:12" ht="24">
      <c r="A132" s="69"/>
      <c r="B132" s="60"/>
      <c r="C132" s="61"/>
      <c r="D132" s="67"/>
      <c r="E132" s="56"/>
      <c r="F132" s="57"/>
      <c r="G132" s="114"/>
      <c r="H132" s="121"/>
      <c r="I132" s="114"/>
      <c r="J132" s="121"/>
      <c r="K132" s="68"/>
      <c r="L132" s="58"/>
    </row>
    <row r="133" spans="1:12" ht="24">
      <c r="A133" s="69"/>
      <c r="B133" s="60"/>
      <c r="C133" s="61"/>
      <c r="D133" s="67"/>
      <c r="E133" s="56"/>
      <c r="F133" s="57"/>
      <c r="G133" s="114"/>
      <c r="H133" s="121"/>
      <c r="I133" s="114"/>
      <c r="J133" s="121"/>
      <c r="K133" s="68"/>
      <c r="L133" s="58"/>
    </row>
    <row r="134" spans="1:12" ht="24.75" thickBot="1">
      <c r="A134" s="69"/>
      <c r="B134" s="60"/>
      <c r="C134" s="61"/>
      <c r="D134" s="67"/>
      <c r="E134" s="56"/>
      <c r="F134" s="57"/>
      <c r="G134" s="114"/>
      <c r="H134" s="121"/>
      <c r="I134" s="114"/>
      <c r="J134" s="121"/>
      <c r="K134" s="68"/>
      <c r="L134" s="58"/>
    </row>
    <row r="135" spans="1:12" ht="24.75" thickTop="1">
      <c r="A135" s="70"/>
      <c r="B135" s="1981" t="s">
        <v>69</v>
      </c>
      <c r="C135" s="1982"/>
      <c r="D135" s="1983"/>
      <c r="E135" s="71"/>
      <c r="F135" s="72"/>
      <c r="G135" s="115"/>
      <c r="H135" s="122"/>
      <c r="I135" s="115"/>
      <c r="J135" s="122"/>
      <c r="K135" s="73"/>
      <c r="L135" s="74"/>
    </row>
    <row r="136" spans="1:12" ht="24">
      <c r="A136" s="104">
        <v>1.2</v>
      </c>
      <c r="B136" s="133" t="s">
        <v>176</v>
      </c>
      <c r="C136" s="136"/>
      <c r="D136" s="137"/>
      <c r="E136" s="105"/>
      <c r="F136" s="106"/>
      <c r="G136" s="111"/>
      <c r="H136" s="117"/>
      <c r="I136" s="111"/>
      <c r="J136" s="117"/>
      <c r="K136" s="63"/>
      <c r="L136" s="107"/>
    </row>
    <row r="137" spans="1:12" ht="24">
      <c r="A137" s="52"/>
      <c r="B137" s="133" t="s">
        <v>103</v>
      </c>
      <c r="C137" s="61"/>
      <c r="D137" s="55"/>
      <c r="E137" s="56"/>
      <c r="F137" s="57"/>
      <c r="G137" s="112"/>
      <c r="H137" s="118"/>
      <c r="I137" s="123"/>
      <c r="J137" s="124"/>
      <c r="K137" s="57"/>
      <c r="L137" s="58"/>
    </row>
    <row r="138" spans="1:12" ht="24">
      <c r="A138" s="59"/>
      <c r="B138" s="133" t="s">
        <v>107</v>
      </c>
      <c r="C138" s="61"/>
      <c r="D138" s="62"/>
      <c r="E138" s="63"/>
      <c r="F138" s="64"/>
      <c r="G138" s="113"/>
      <c r="H138" s="119"/>
      <c r="I138" s="113"/>
      <c r="J138" s="120"/>
      <c r="K138" s="65"/>
      <c r="L138" s="66"/>
    </row>
    <row r="139" spans="1:12" ht="24">
      <c r="A139" s="59"/>
      <c r="B139" s="133" t="s">
        <v>104</v>
      </c>
      <c r="C139" s="61"/>
      <c r="D139" s="62"/>
      <c r="E139" s="63"/>
      <c r="F139" s="64"/>
      <c r="G139" s="113"/>
      <c r="H139" s="120"/>
      <c r="I139" s="113"/>
      <c r="J139" s="120"/>
      <c r="K139" s="65"/>
      <c r="L139" s="66"/>
    </row>
    <row r="140" spans="1:12" ht="24">
      <c r="A140" s="59"/>
      <c r="B140" s="133"/>
      <c r="C140" s="61" t="s">
        <v>105</v>
      </c>
      <c r="D140" s="67"/>
      <c r="E140" s="56"/>
      <c r="F140" s="57"/>
      <c r="G140" s="114"/>
      <c r="H140" s="121"/>
      <c r="I140" s="114"/>
      <c r="J140" s="121"/>
      <c r="K140" s="68"/>
      <c r="L140" s="58"/>
    </row>
    <row r="141" spans="1:12" ht="24">
      <c r="A141" s="59"/>
      <c r="B141" s="60"/>
      <c r="C141" s="61"/>
      <c r="D141" s="67"/>
      <c r="E141" s="56"/>
      <c r="F141" s="57"/>
      <c r="G141" s="114"/>
      <c r="H141" s="121"/>
      <c r="I141" s="114"/>
      <c r="J141" s="121"/>
      <c r="K141" s="68"/>
      <c r="L141" s="58"/>
    </row>
    <row r="142" spans="1:12" ht="24">
      <c r="A142" s="59"/>
      <c r="B142" s="60"/>
      <c r="C142" s="61"/>
      <c r="D142" s="67"/>
      <c r="E142" s="56"/>
      <c r="F142" s="57"/>
      <c r="G142" s="114"/>
      <c r="H142" s="121"/>
      <c r="I142" s="114"/>
      <c r="J142" s="121"/>
      <c r="K142" s="68"/>
      <c r="L142" s="58"/>
    </row>
    <row r="143" spans="1:12" ht="24">
      <c r="A143" s="59"/>
      <c r="B143" s="60"/>
      <c r="C143" s="61"/>
      <c r="D143" s="67"/>
      <c r="E143" s="56"/>
      <c r="F143" s="57"/>
      <c r="G143" s="114"/>
      <c r="H143" s="121"/>
      <c r="I143" s="114"/>
      <c r="J143" s="121"/>
      <c r="K143" s="68"/>
      <c r="L143" s="58"/>
    </row>
    <row r="144" spans="1:12" ht="24">
      <c r="A144" s="59"/>
      <c r="B144" s="60"/>
      <c r="C144" s="61"/>
      <c r="D144" s="67"/>
      <c r="E144" s="56"/>
      <c r="F144" s="57"/>
      <c r="G144" s="114"/>
      <c r="H144" s="121"/>
      <c r="I144" s="114"/>
      <c r="J144" s="121"/>
      <c r="K144" s="68"/>
      <c r="L144" s="58"/>
    </row>
    <row r="145" spans="1:12" ht="24">
      <c r="A145" s="59"/>
      <c r="B145" s="60"/>
      <c r="C145" s="61"/>
      <c r="D145" s="67"/>
      <c r="E145" s="56"/>
      <c r="F145" s="57"/>
      <c r="G145" s="114"/>
      <c r="H145" s="121"/>
      <c r="I145" s="114"/>
      <c r="J145" s="121"/>
      <c r="K145" s="68"/>
      <c r="L145" s="58"/>
    </row>
    <row r="146" spans="1:12" ht="24">
      <c r="A146" s="59"/>
      <c r="B146" s="60"/>
      <c r="C146" s="61"/>
      <c r="D146" s="67"/>
      <c r="E146" s="56"/>
      <c r="F146" s="57"/>
      <c r="G146" s="114"/>
      <c r="H146" s="121"/>
      <c r="I146" s="114"/>
      <c r="J146" s="121"/>
      <c r="K146" s="68"/>
      <c r="L146" s="58"/>
    </row>
    <row r="147" spans="1:12" ht="24">
      <c r="A147" s="59"/>
      <c r="B147" s="60"/>
      <c r="C147" s="61"/>
      <c r="D147" s="67"/>
      <c r="E147" s="56"/>
      <c r="F147" s="57"/>
      <c r="G147" s="114"/>
      <c r="H147" s="121"/>
      <c r="I147" s="114"/>
      <c r="J147" s="121"/>
      <c r="K147" s="68"/>
      <c r="L147" s="58"/>
    </row>
    <row r="148" spans="1:12" ht="24">
      <c r="A148" s="59"/>
      <c r="B148" s="60"/>
      <c r="C148" s="61"/>
      <c r="D148" s="67"/>
      <c r="E148" s="56"/>
      <c r="F148" s="57"/>
      <c r="G148" s="114"/>
      <c r="H148" s="121"/>
      <c r="I148" s="114"/>
      <c r="J148" s="121"/>
      <c r="K148" s="68"/>
      <c r="L148" s="58"/>
    </row>
    <row r="149" spans="1:12" ht="24">
      <c r="A149" s="59"/>
      <c r="B149" s="60"/>
      <c r="C149" s="61"/>
      <c r="D149" s="67"/>
      <c r="E149" s="56"/>
      <c r="F149" s="57"/>
      <c r="G149" s="114"/>
      <c r="H149" s="121"/>
      <c r="I149" s="114"/>
      <c r="J149" s="121"/>
      <c r="K149" s="68"/>
      <c r="L149" s="58"/>
    </row>
    <row r="150" spans="1:12" ht="24">
      <c r="A150" s="59"/>
      <c r="B150" s="60"/>
      <c r="C150" s="61"/>
      <c r="D150" s="67"/>
      <c r="E150" s="56"/>
      <c r="F150" s="57"/>
      <c r="G150" s="114"/>
      <c r="H150" s="121"/>
      <c r="I150" s="114"/>
      <c r="J150" s="121"/>
      <c r="K150" s="68"/>
      <c r="L150" s="58"/>
    </row>
    <row r="151" spans="1:12" ht="24">
      <c r="A151" s="69"/>
      <c r="B151" s="60"/>
      <c r="C151" s="61"/>
      <c r="D151" s="67"/>
      <c r="E151" s="56"/>
      <c r="F151" s="57"/>
      <c r="G151" s="114"/>
      <c r="H151" s="121"/>
      <c r="I151" s="114"/>
      <c r="J151" s="121"/>
      <c r="K151" s="68"/>
      <c r="L151" s="58"/>
    </row>
    <row r="152" spans="1:12" ht="24">
      <c r="A152" s="69"/>
      <c r="B152" s="60"/>
      <c r="C152" s="61"/>
      <c r="D152" s="67"/>
      <c r="E152" s="56"/>
      <c r="F152" s="57"/>
      <c r="G152" s="114"/>
      <c r="H152" s="121"/>
      <c r="I152" s="114"/>
      <c r="J152" s="121"/>
      <c r="K152" s="68"/>
      <c r="L152" s="58"/>
    </row>
    <row r="153" spans="1:12" ht="24">
      <c r="A153" s="69"/>
      <c r="B153" s="60"/>
      <c r="C153" s="61"/>
      <c r="D153" s="67"/>
      <c r="E153" s="56"/>
      <c r="F153" s="57"/>
      <c r="G153" s="114"/>
      <c r="H153" s="121"/>
      <c r="I153" s="114"/>
      <c r="J153" s="121"/>
      <c r="K153" s="68"/>
      <c r="L153" s="58"/>
    </row>
    <row r="154" spans="1:12" ht="24">
      <c r="A154" s="69"/>
      <c r="B154" s="60"/>
      <c r="C154" s="61"/>
      <c r="D154" s="67"/>
      <c r="E154" s="56"/>
      <c r="F154" s="57"/>
      <c r="G154" s="114"/>
      <c r="H154" s="121"/>
      <c r="I154" s="114"/>
      <c r="J154" s="121"/>
      <c r="K154" s="68"/>
      <c r="L154" s="58"/>
    </row>
    <row r="155" spans="1:12" ht="24.75" thickBot="1">
      <c r="A155" s="69"/>
      <c r="B155" s="60"/>
      <c r="C155" s="61"/>
      <c r="D155" s="67"/>
      <c r="E155" s="56"/>
      <c r="F155" s="57"/>
      <c r="G155" s="114"/>
      <c r="H155" s="121"/>
      <c r="I155" s="114"/>
      <c r="J155" s="121"/>
      <c r="K155" s="68"/>
      <c r="L155" s="58"/>
    </row>
    <row r="156" spans="1:12" ht="24.75" thickTop="1">
      <c r="A156" s="70"/>
      <c r="B156" s="1981" t="s">
        <v>69</v>
      </c>
      <c r="C156" s="1982"/>
      <c r="D156" s="1983"/>
      <c r="E156" s="71"/>
      <c r="F156" s="72"/>
      <c r="G156" s="115"/>
      <c r="H156" s="122"/>
      <c r="I156" s="115"/>
      <c r="J156" s="122"/>
      <c r="K156" s="73"/>
      <c r="L156" s="74"/>
    </row>
    <row r="157" spans="1:12" ht="24">
      <c r="A157" s="104">
        <v>1.3</v>
      </c>
      <c r="B157" s="133" t="s">
        <v>180</v>
      </c>
      <c r="C157" s="136"/>
      <c r="D157" s="137"/>
      <c r="E157" s="105"/>
      <c r="F157" s="106"/>
      <c r="G157" s="111"/>
      <c r="H157" s="117"/>
      <c r="I157" s="111"/>
      <c r="J157" s="117"/>
      <c r="K157" s="63"/>
      <c r="L157" s="107"/>
    </row>
    <row r="158" spans="1:12" ht="24">
      <c r="A158" s="52"/>
      <c r="B158" s="133" t="s">
        <v>103</v>
      </c>
      <c r="C158" s="61"/>
      <c r="D158" s="55"/>
      <c r="E158" s="56"/>
      <c r="F158" s="57"/>
      <c r="G158" s="112"/>
      <c r="H158" s="118"/>
      <c r="I158" s="123"/>
      <c r="J158" s="124"/>
      <c r="K158" s="57"/>
      <c r="L158" s="58"/>
    </row>
    <row r="159" spans="1:12" ht="24">
      <c r="A159" s="59"/>
      <c r="B159" s="133" t="s">
        <v>107</v>
      </c>
      <c r="C159" s="61"/>
      <c r="D159" s="62"/>
      <c r="E159" s="63"/>
      <c r="F159" s="64"/>
      <c r="G159" s="113"/>
      <c r="H159" s="119"/>
      <c r="I159" s="113"/>
      <c r="J159" s="120"/>
      <c r="K159" s="65"/>
      <c r="L159" s="66"/>
    </row>
    <row r="160" spans="1:12" ht="24">
      <c r="A160" s="59"/>
      <c r="B160" s="133" t="s">
        <v>104</v>
      </c>
      <c r="C160" s="61"/>
      <c r="D160" s="62"/>
      <c r="E160" s="63"/>
      <c r="F160" s="64"/>
      <c r="G160" s="113"/>
      <c r="H160" s="120"/>
      <c r="I160" s="113"/>
      <c r="J160" s="120"/>
      <c r="K160" s="65"/>
      <c r="L160" s="66"/>
    </row>
    <row r="161" spans="1:12" ht="24">
      <c r="A161" s="59"/>
      <c r="B161" s="133"/>
      <c r="C161" s="61" t="s">
        <v>105</v>
      </c>
      <c r="D161" s="67"/>
      <c r="E161" s="56"/>
      <c r="F161" s="57"/>
      <c r="G161" s="114"/>
      <c r="H161" s="121"/>
      <c r="I161" s="114"/>
      <c r="J161" s="121"/>
      <c r="K161" s="68"/>
      <c r="L161" s="58"/>
    </row>
    <row r="162" spans="1:12" ht="24">
      <c r="A162" s="59"/>
      <c r="B162" s="60"/>
      <c r="C162" s="61"/>
      <c r="D162" s="67"/>
      <c r="E162" s="56"/>
      <c r="F162" s="57"/>
      <c r="G162" s="114"/>
      <c r="H162" s="121"/>
      <c r="I162" s="114"/>
      <c r="J162" s="121"/>
      <c r="K162" s="68"/>
      <c r="L162" s="58"/>
    </row>
    <row r="163" spans="1:12" ht="24">
      <c r="A163" s="59"/>
      <c r="B163" s="60"/>
      <c r="C163" s="61"/>
      <c r="D163" s="67"/>
      <c r="E163" s="56"/>
      <c r="F163" s="57"/>
      <c r="G163" s="114"/>
      <c r="H163" s="121"/>
      <c r="I163" s="114"/>
      <c r="J163" s="121"/>
      <c r="K163" s="68"/>
      <c r="L163" s="58"/>
    </row>
    <row r="164" spans="1:12" ht="24">
      <c r="A164" s="59"/>
      <c r="B164" s="60"/>
      <c r="C164" s="61"/>
      <c r="D164" s="67"/>
      <c r="E164" s="56"/>
      <c r="F164" s="57"/>
      <c r="G164" s="114"/>
      <c r="H164" s="121"/>
      <c r="I164" s="114"/>
      <c r="J164" s="121"/>
      <c r="K164" s="68"/>
      <c r="L164" s="58"/>
    </row>
    <row r="165" spans="1:12" ht="24">
      <c r="A165" s="59"/>
      <c r="B165" s="60"/>
      <c r="C165" s="61"/>
      <c r="D165" s="67"/>
      <c r="E165" s="56"/>
      <c r="F165" s="57"/>
      <c r="G165" s="114"/>
      <c r="H165" s="121"/>
      <c r="I165" s="114"/>
      <c r="J165" s="121"/>
      <c r="K165" s="68"/>
      <c r="L165" s="58"/>
    </row>
    <row r="166" spans="1:12" ht="24">
      <c r="A166" s="59"/>
      <c r="B166" s="60"/>
      <c r="C166" s="61"/>
      <c r="D166" s="67"/>
      <c r="E166" s="56"/>
      <c r="F166" s="57"/>
      <c r="G166" s="114"/>
      <c r="H166" s="121"/>
      <c r="I166" s="114"/>
      <c r="J166" s="121"/>
      <c r="K166" s="68"/>
      <c r="L166" s="58"/>
    </row>
    <row r="167" spans="1:12" ht="24">
      <c r="A167" s="59"/>
      <c r="B167" s="60"/>
      <c r="C167" s="61"/>
      <c r="D167" s="67"/>
      <c r="E167" s="56"/>
      <c r="F167" s="57"/>
      <c r="G167" s="114"/>
      <c r="H167" s="121"/>
      <c r="I167" s="114"/>
      <c r="J167" s="121"/>
      <c r="K167" s="68"/>
      <c r="L167" s="58"/>
    </row>
    <row r="168" spans="1:12" ht="24">
      <c r="A168" s="59"/>
      <c r="B168" s="60"/>
      <c r="C168" s="61"/>
      <c r="D168" s="67"/>
      <c r="E168" s="56"/>
      <c r="F168" s="57"/>
      <c r="G168" s="114"/>
      <c r="H168" s="121"/>
      <c r="I168" s="114"/>
      <c r="J168" s="121"/>
      <c r="K168" s="68"/>
      <c r="L168" s="58"/>
    </row>
    <row r="169" spans="1:12" ht="24">
      <c r="A169" s="59"/>
      <c r="B169" s="60"/>
      <c r="C169" s="61"/>
      <c r="D169" s="67"/>
      <c r="E169" s="56"/>
      <c r="F169" s="57"/>
      <c r="G169" s="114"/>
      <c r="H169" s="121"/>
      <c r="I169" s="114"/>
      <c r="J169" s="121"/>
      <c r="K169" s="68"/>
      <c r="L169" s="58"/>
    </row>
    <row r="170" spans="1:12" ht="24">
      <c r="A170" s="59"/>
      <c r="B170" s="60"/>
      <c r="C170" s="61"/>
      <c r="D170" s="67"/>
      <c r="E170" s="56"/>
      <c r="F170" s="57"/>
      <c r="G170" s="114"/>
      <c r="H170" s="121"/>
      <c r="I170" s="114"/>
      <c r="J170" s="121"/>
      <c r="K170" s="68"/>
      <c r="L170" s="58"/>
    </row>
    <row r="171" spans="1:12" ht="24">
      <c r="A171" s="59"/>
      <c r="B171" s="60"/>
      <c r="C171" s="61"/>
      <c r="D171" s="67"/>
      <c r="E171" s="56"/>
      <c r="F171" s="57"/>
      <c r="G171" s="114"/>
      <c r="H171" s="121"/>
      <c r="I171" s="114"/>
      <c r="J171" s="121"/>
      <c r="K171" s="68"/>
      <c r="L171" s="58"/>
    </row>
    <row r="172" spans="1:12" ht="24">
      <c r="A172" s="69"/>
      <c r="B172" s="60"/>
      <c r="C172" s="61"/>
      <c r="D172" s="67"/>
      <c r="E172" s="56"/>
      <c r="F172" s="57"/>
      <c r="G172" s="114"/>
      <c r="H172" s="121"/>
      <c r="I172" s="114"/>
      <c r="J172" s="121"/>
      <c r="K172" s="68"/>
      <c r="L172" s="58"/>
    </row>
    <row r="173" spans="1:12" ht="24">
      <c r="A173" s="69"/>
      <c r="B173" s="60"/>
      <c r="C173" s="61"/>
      <c r="D173" s="67"/>
      <c r="E173" s="56"/>
      <c r="F173" s="57"/>
      <c r="G173" s="114"/>
      <c r="H173" s="121"/>
      <c r="I173" s="114"/>
      <c r="J173" s="121"/>
      <c r="K173" s="68"/>
      <c r="L173" s="58"/>
    </row>
    <row r="174" spans="1:12" ht="24">
      <c r="A174" s="69"/>
      <c r="B174" s="60"/>
      <c r="C174" s="61"/>
      <c r="D174" s="67"/>
      <c r="E174" s="56"/>
      <c r="F174" s="57"/>
      <c r="G174" s="114"/>
      <c r="H174" s="121"/>
      <c r="I174" s="114"/>
      <c r="J174" s="121"/>
      <c r="K174" s="68"/>
      <c r="L174" s="58"/>
    </row>
    <row r="175" spans="1:12" ht="24">
      <c r="A175" s="69"/>
      <c r="B175" s="60"/>
      <c r="C175" s="61"/>
      <c r="D175" s="67"/>
      <c r="E175" s="56"/>
      <c r="F175" s="57"/>
      <c r="G175" s="114"/>
      <c r="H175" s="121"/>
      <c r="I175" s="114"/>
      <c r="J175" s="121"/>
      <c r="K175" s="68"/>
      <c r="L175" s="58"/>
    </row>
    <row r="176" spans="1:12" ht="24.75" thickBot="1">
      <c r="A176" s="69"/>
      <c r="B176" s="60"/>
      <c r="C176" s="61"/>
      <c r="D176" s="67"/>
      <c r="E176" s="56"/>
      <c r="F176" s="57"/>
      <c r="G176" s="114"/>
      <c r="H176" s="121"/>
      <c r="I176" s="114"/>
      <c r="J176" s="121"/>
      <c r="K176" s="68"/>
      <c r="L176" s="58"/>
    </row>
    <row r="177" spans="1:12" ht="24.75" thickTop="1">
      <c r="A177" s="70"/>
      <c r="B177" s="1981" t="s">
        <v>69</v>
      </c>
      <c r="C177" s="1982"/>
      <c r="D177" s="1983"/>
      <c r="E177" s="71"/>
      <c r="F177" s="72"/>
      <c r="G177" s="115"/>
      <c r="H177" s="122"/>
      <c r="I177" s="115"/>
      <c r="J177" s="122"/>
      <c r="K177" s="73"/>
      <c r="L177" s="74"/>
    </row>
    <row r="178" spans="1:12" ht="24">
      <c r="A178" s="104">
        <v>1.4</v>
      </c>
      <c r="B178" s="133" t="s">
        <v>181</v>
      </c>
      <c r="C178" s="136"/>
      <c r="D178" s="137"/>
      <c r="E178" s="105"/>
      <c r="F178" s="106"/>
      <c r="G178" s="111"/>
      <c r="H178" s="117"/>
      <c r="I178" s="111"/>
      <c r="J178" s="117"/>
      <c r="K178" s="63"/>
      <c r="L178" s="107"/>
    </row>
    <row r="179" spans="1:12" ht="24">
      <c r="A179" s="52"/>
      <c r="B179" s="133" t="s">
        <v>103</v>
      </c>
      <c r="C179" s="61"/>
      <c r="D179" s="55"/>
      <c r="E179" s="56"/>
      <c r="F179" s="57"/>
      <c r="G179" s="112"/>
      <c r="H179" s="118"/>
      <c r="I179" s="123"/>
      <c r="J179" s="124"/>
      <c r="K179" s="57"/>
      <c r="L179" s="58"/>
    </row>
    <row r="180" spans="1:12" ht="24">
      <c r="A180" s="59"/>
      <c r="B180" s="133" t="s">
        <v>107</v>
      </c>
      <c r="C180" s="61"/>
      <c r="D180" s="62"/>
      <c r="E180" s="63"/>
      <c r="F180" s="64"/>
      <c r="G180" s="113"/>
      <c r="H180" s="119"/>
      <c r="I180" s="113"/>
      <c r="J180" s="120"/>
      <c r="K180" s="65"/>
      <c r="L180" s="66"/>
    </row>
    <row r="181" spans="1:12" ht="24">
      <c r="A181" s="59"/>
      <c r="B181" s="133" t="s">
        <v>104</v>
      </c>
      <c r="C181" s="61"/>
      <c r="D181" s="62"/>
      <c r="E181" s="63"/>
      <c r="F181" s="64"/>
      <c r="G181" s="113"/>
      <c r="H181" s="120"/>
      <c r="I181" s="113"/>
      <c r="J181" s="120"/>
      <c r="K181" s="65"/>
      <c r="L181" s="66"/>
    </row>
    <row r="182" spans="1:12" ht="24">
      <c r="A182" s="59"/>
      <c r="B182" s="133"/>
      <c r="C182" s="61" t="s">
        <v>105</v>
      </c>
      <c r="D182" s="67"/>
      <c r="E182" s="56"/>
      <c r="F182" s="57"/>
      <c r="G182" s="114"/>
      <c r="H182" s="121"/>
      <c r="I182" s="114"/>
      <c r="J182" s="121"/>
      <c r="K182" s="68"/>
      <c r="L182" s="58"/>
    </row>
    <row r="183" spans="1:12" ht="24">
      <c r="A183" s="59"/>
      <c r="B183" s="60"/>
      <c r="C183" s="61"/>
      <c r="D183" s="67"/>
      <c r="E183" s="56"/>
      <c r="F183" s="57"/>
      <c r="G183" s="114"/>
      <c r="H183" s="121"/>
      <c r="I183" s="114"/>
      <c r="J183" s="121"/>
      <c r="K183" s="68"/>
      <c r="L183" s="58"/>
    </row>
    <row r="184" spans="1:12" ht="24">
      <c r="A184" s="59"/>
      <c r="B184" s="60"/>
      <c r="C184" s="61"/>
      <c r="D184" s="67"/>
      <c r="E184" s="56"/>
      <c r="F184" s="57"/>
      <c r="G184" s="114"/>
      <c r="H184" s="121"/>
      <c r="I184" s="114"/>
      <c r="J184" s="121"/>
      <c r="K184" s="68"/>
      <c r="L184" s="58"/>
    </row>
    <row r="185" spans="1:12" ht="24">
      <c r="A185" s="59"/>
      <c r="B185" s="60"/>
      <c r="C185" s="61"/>
      <c r="D185" s="67"/>
      <c r="E185" s="56"/>
      <c r="F185" s="57"/>
      <c r="G185" s="114"/>
      <c r="H185" s="121"/>
      <c r="I185" s="114"/>
      <c r="J185" s="121"/>
      <c r="K185" s="68"/>
      <c r="L185" s="58"/>
    </row>
    <row r="186" spans="1:12" ht="24">
      <c r="A186" s="59"/>
      <c r="B186" s="60"/>
      <c r="C186" s="61"/>
      <c r="D186" s="67"/>
      <c r="E186" s="56"/>
      <c r="F186" s="57"/>
      <c r="G186" s="114"/>
      <c r="H186" s="121"/>
      <c r="I186" s="114"/>
      <c r="J186" s="121"/>
      <c r="K186" s="68"/>
      <c r="L186" s="58"/>
    </row>
    <row r="187" spans="1:12" ht="24">
      <c r="A187" s="59"/>
      <c r="B187" s="60"/>
      <c r="C187" s="61"/>
      <c r="D187" s="67"/>
      <c r="E187" s="56"/>
      <c r="F187" s="57"/>
      <c r="G187" s="114"/>
      <c r="H187" s="121"/>
      <c r="I187" s="114"/>
      <c r="J187" s="121"/>
      <c r="K187" s="68"/>
      <c r="L187" s="58"/>
    </row>
    <row r="188" spans="1:12" ht="24">
      <c r="A188" s="59"/>
      <c r="B188" s="60"/>
      <c r="C188" s="61"/>
      <c r="D188" s="67"/>
      <c r="E188" s="56"/>
      <c r="F188" s="57"/>
      <c r="G188" s="114"/>
      <c r="H188" s="121"/>
      <c r="I188" s="114"/>
      <c r="J188" s="121"/>
      <c r="K188" s="68"/>
      <c r="L188" s="58"/>
    </row>
    <row r="189" spans="1:12" ht="24">
      <c r="A189" s="59"/>
      <c r="B189" s="60"/>
      <c r="C189" s="61"/>
      <c r="D189" s="67"/>
      <c r="E189" s="56"/>
      <c r="F189" s="57"/>
      <c r="G189" s="114"/>
      <c r="H189" s="121"/>
      <c r="I189" s="114"/>
      <c r="J189" s="121"/>
      <c r="K189" s="68"/>
      <c r="L189" s="58"/>
    </row>
    <row r="190" spans="1:12" ht="24">
      <c r="A190" s="59"/>
      <c r="B190" s="60"/>
      <c r="C190" s="61"/>
      <c r="D190" s="67"/>
      <c r="E190" s="56"/>
      <c r="F190" s="57"/>
      <c r="G190" s="114"/>
      <c r="H190" s="121"/>
      <c r="I190" s="114"/>
      <c r="J190" s="121"/>
      <c r="K190" s="68"/>
      <c r="L190" s="58"/>
    </row>
    <row r="191" spans="1:12" ht="24">
      <c r="A191" s="59"/>
      <c r="B191" s="60"/>
      <c r="C191" s="61"/>
      <c r="D191" s="67"/>
      <c r="E191" s="56"/>
      <c r="F191" s="57"/>
      <c r="G191" s="114"/>
      <c r="H191" s="121"/>
      <c r="I191" s="114"/>
      <c r="J191" s="121"/>
      <c r="K191" s="68"/>
      <c r="L191" s="58"/>
    </row>
    <row r="192" spans="1:12" ht="24">
      <c r="A192" s="59"/>
      <c r="B192" s="60"/>
      <c r="C192" s="61"/>
      <c r="D192" s="67"/>
      <c r="E192" s="56"/>
      <c r="F192" s="57"/>
      <c r="G192" s="114"/>
      <c r="H192" s="121"/>
      <c r="I192" s="114"/>
      <c r="J192" s="121"/>
      <c r="K192" s="68"/>
      <c r="L192" s="58"/>
    </row>
    <row r="193" spans="1:12" ht="24">
      <c r="A193" s="69"/>
      <c r="B193" s="60"/>
      <c r="C193" s="61"/>
      <c r="D193" s="67"/>
      <c r="E193" s="56"/>
      <c r="F193" s="57"/>
      <c r="G193" s="114"/>
      <c r="H193" s="121"/>
      <c r="I193" s="114"/>
      <c r="J193" s="121"/>
      <c r="K193" s="68"/>
      <c r="L193" s="58"/>
    </row>
    <row r="194" spans="1:12" ht="24">
      <c r="A194" s="69"/>
      <c r="B194" s="60"/>
      <c r="C194" s="61"/>
      <c r="D194" s="67"/>
      <c r="E194" s="56"/>
      <c r="F194" s="57"/>
      <c r="G194" s="114"/>
      <c r="H194" s="121"/>
      <c r="I194" s="114"/>
      <c r="J194" s="121"/>
      <c r="K194" s="68"/>
      <c r="L194" s="58"/>
    </row>
    <row r="195" spans="1:12" ht="24">
      <c r="A195" s="69"/>
      <c r="B195" s="60"/>
      <c r="C195" s="61"/>
      <c r="D195" s="67"/>
      <c r="E195" s="56"/>
      <c r="F195" s="57"/>
      <c r="G195" s="114"/>
      <c r="H195" s="121"/>
      <c r="I195" s="114"/>
      <c r="J195" s="121"/>
      <c r="K195" s="68"/>
      <c r="L195" s="58"/>
    </row>
    <row r="196" spans="1:12" ht="24">
      <c r="A196" s="69"/>
      <c r="B196" s="60"/>
      <c r="C196" s="61"/>
      <c r="D196" s="67"/>
      <c r="E196" s="56"/>
      <c r="F196" s="57"/>
      <c r="G196" s="114"/>
      <c r="H196" s="121"/>
      <c r="I196" s="114"/>
      <c r="J196" s="121"/>
      <c r="K196" s="68"/>
      <c r="L196" s="58"/>
    </row>
    <row r="197" spans="1:12" ht="24.75" thickBot="1">
      <c r="A197" s="69"/>
      <c r="B197" s="60"/>
      <c r="C197" s="61"/>
      <c r="D197" s="67"/>
      <c r="E197" s="56"/>
      <c r="F197" s="57"/>
      <c r="G197" s="114"/>
      <c r="H197" s="121"/>
      <c r="I197" s="114"/>
      <c r="J197" s="121"/>
      <c r="K197" s="68"/>
      <c r="L197" s="58"/>
    </row>
    <row r="198" spans="1:12" ht="24.75" thickTop="1">
      <c r="A198" s="70"/>
      <c r="B198" s="1981" t="s">
        <v>69</v>
      </c>
      <c r="C198" s="1982"/>
      <c r="D198" s="1983"/>
      <c r="E198" s="71"/>
      <c r="F198" s="72"/>
      <c r="G198" s="115"/>
      <c r="H198" s="122"/>
      <c r="I198" s="115"/>
      <c r="J198" s="122"/>
      <c r="K198" s="73"/>
      <c r="L198" s="74"/>
    </row>
    <row r="199" spans="1:12" ht="24">
      <c r="A199" s="104">
        <v>1.5</v>
      </c>
      <c r="B199" s="133" t="s">
        <v>173</v>
      </c>
      <c r="C199" s="136"/>
      <c r="D199" s="137"/>
      <c r="E199" s="105"/>
      <c r="F199" s="106"/>
      <c r="G199" s="111"/>
      <c r="H199" s="117"/>
      <c r="I199" s="111"/>
      <c r="J199" s="117"/>
      <c r="K199" s="63"/>
      <c r="L199" s="107"/>
    </row>
    <row r="200" spans="1:12" ht="24">
      <c r="A200" s="52"/>
      <c r="B200" s="133" t="s">
        <v>103</v>
      </c>
      <c r="C200" s="61"/>
      <c r="D200" s="55"/>
      <c r="E200" s="56"/>
      <c r="F200" s="57"/>
      <c r="G200" s="112"/>
      <c r="H200" s="118"/>
      <c r="I200" s="123"/>
      <c r="J200" s="124"/>
      <c r="K200" s="57"/>
      <c r="L200" s="58"/>
    </row>
    <row r="201" spans="1:12" ht="24">
      <c r="A201" s="59"/>
      <c r="B201" s="133" t="s">
        <v>107</v>
      </c>
      <c r="C201" s="61"/>
      <c r="D201" s="62"/>
      <c r="E201" s="63"/>
      <c r="F201" s="64"/>
      <c r="G201" s="113"/>
      <c r="H201" s="119"/>
      <c r="I201" s="113"/>
      <c r="J201" s="120"/>
      <c r="K201" s="65"/>
      <c r="L201" s="66"/>
    </row>
    <row r="202" spans="1:12" ht="24">
      <c r="A202" s="59"/>
      <c r="B202" s="133" t="s">
        <v>104</v>
      </c>
      <c r="C202" s="61"/>
      <c r="D202" s="62"/>
      <c r="E202" s="63"/>
      <c r="F202" s="64"/>
      <c r="G202" s="113"/>
      <c r="H202" s="120"/>
      <c r="I202" s="113"/>
      <c r="J202" s="120"/>
      <c r="K202" s="65"/>
      <c r="L202" s="66"/>
    </row>
    <row r="203" spans="1:12" ht="24">
      <c r="A203" s="59"/>
      <c r="B203" s="133"/>
      <c r="C203" s="61" t="s">
        <v>105</v>
      </c>
      <c r="D203" s="67"/>
      <c r="E203" s="56"/>
      <c r="F203" s="57"/>
      <c r="G203" s="114"/>
      <c r="H203" s="121"/>
      <c r="I203" s="114"/>
      <c r="J203" s="121"/>
      <c r="K203" s="68"/>
      <c r="L203" s="58"/>
    </row>
    <row r="204" spans="1:12" ht="24">
      <c r="A204" s="59"/>
      <c r="B204" s="60"/>
      <c r="C204" s="61"/>
      <c r="D204" s="67"/>
      <c r="E204" s="56"/>
      <c r="F204" s="57"/>
      <c r="G204" s="114"/>
      <c r="H204" s="121"/>
      <c r="I204" s="114"/>
      <c r="J204" s="121"/>
      <c r="K204" s="68"/>
      <c r="L204" s="58"/>
    </row>
    <row r="205" spans="1:12" ht="24">
      <c r="A205" s="59"/>
      <c r="B205" s="60"/>
      <c r="C205" s="61"/>
      <c r="D205" s="67"/>
      <c r="E205" s="56"/>
      <c r="F205" s="57"/>
      <c r="G205" s="114"/>
      <c r="H205" s="121"/>
      <c r="I205" s="114"/>
      <c r="J205" s="121"/>
      <c r="K205" s="68"/>
      <c r="L205" s="58"/>
    </row>
    <row r="206" spans="1:12" ht="24">
      <c r="A206" s="59"/>
      <c r="B206" s="60"/>
      <c r="C206" s="61"/>
      <c r="D206" s="67"/>
      <c r="E206" s="56"/>
      <c r="F206" s="57"/>
      <c r="G206" s="114"/>
      <c r="H206" s="121"/>
      <c r="I206" s="114"/>
      <c r="J206" s="121"/>
      <c r="K206" s="68"/>
      <c r="L206" s="58"/>
    </row>
    <row r="207" spans="1:12" ht="24">
      <c r="A207" s="59"/>
      <c r="B207" s="60"/>
      <c r="C207" s="61"/>
      <c r="D207" s="67"/>
      <c r="E207" s="56"/>
      <c r="F207" s="57"/>
      <c r="G207" s="114"/>
      <c r="H207" s="121"/>
      <c r="I207" s="114"/>
      <c r="J207" s="121"/>
      <c r="K207" s="68"/>
      <c r="L207" s="58"/>
    </row>
    <row r="208" spans="1:12" ht="24">
      <c r="A208" s="59"/>
      <c r="B208" s="60"/>
      <c r="C208" s="61"/>
      <c r="D208" s="67"/>
      <c r="E208" s="56"/>
      <c r="F208" s="57"/>
      <c r="G208" s="114"/>
      <c r="H208" s="121"/>
      <c r="I208" s="114"/>
      <c r="J208" s="121"/>
      <c r="K208" s="68"/>
      <c r="L208" s="58"/>
    </row>
    <row r="209" spans="1:12" ht="24">
      <c r="A209" s="59"/>
      <c r="B209" s="60"/>
      <c r="C209" s="61"/>
      <c r="D209" s="67"/>
      <c r="E209" s="56"/>
      <c r="F209" s="57"/>
      <c r="G209" s="114"/>
      <c r="H209" s="121"/>
      <c r="I209" s="114"/>
      <c r="J209" s="121"/>
      <c r="K209" s="68"/>
      <c r="L209" s="58"/>
    </row>
    <row r="210" spans="1:12" ht="24">
      <c r="A210" s="59"/>
      <c r="B210" s="60"/>
      <c r="C210" s="61"/>
      <c r="D210" s="67"/>
      <c r="E210" s="56"/>
      <c r="F210" s="57"/>
      <c r="G210" s="114"/>
      <c r="H210" s="121"/>
      <c r="I210" s="114"/>
      <c r="J210" s="121"/>
      <c r="K210" s="68"/>
      <c r="L210" s="58"/>
    </row>
    <row r="211" spans="1:12" ht="24">
      <c r="A211" s="59"/>
      <c r="B211" s="60"/>
      <c r="C211" s="61"/>
      <c r="D211" s="67"/>
      <c r="E211" s="56"/>
      <c r="F211" s="57"/>
      <c r="G211" s="114"/>
      <c r="H211" s="121"/>
      <c r="I211" s="114"/>
      <c r="J211" s="121"/>
      <c r="K211" s="68"/>
      <c r="L211" s="58"/>
    </row>
    <row r="212" spans="1:12" ht="24">
      <c r="A212" s="59"/>
      <c r="B212" s="60"/>
      <c r="C212" s="61"/>
      <c r="D212" s="67"/>
      <c r="E212" s="56"/>
      <c r="F212" s="57"/>
      <c r="G212" s="114"/>
      <c r="H212" s="121"/>
      <c r="I212" s="114"/>
      <c r="J212" s="121"/>
      <c r="K212" s="68"/>
      <c r="L212" s="58"/>
    </row>
    <row r="213" spans="1:12" ht="24">
      <c r="A213" s="59"/>
      <c r="B213" s="60"/>
      <c r="C213" s="61"/>
      <c r="D213" s="67"/>
      <c r="E213" s="56"/>
      <c r="F213" s="57"/>
      <c r="G213" s="114"/>
      <c r="H213" s="121"/>
      <c r="I213" s="114"/>
      <c r="J213" s="121"/>
      <c r="K213" s="68"/>
      <c r="L213" s="58"/>
    </row>
    <row r="214" spans="1:12" ht="24">
      <c r="A214" s="69"/>
      <c r="B214" s="60"/>
      <c r="C214" s="61"/>
      <c r="D214" s="67"/>
      <c r="E214" s="56"/>
      <c r="F214" s="57"/>
      <c r="G214" s="114"/>
      <c r="H214" s="121"/>
      <c r="I214" s="114"/>
      <c r="J214" s="121"/>
      <c r="K214" s="68"/>
      <c r="L214" s="58"/>
    </row>
    <row r="215" spans="1:12" ht="24">
      <c r="A215" s="69"/>
      <c r="B215" s="60"/>
      <c r="C215" s="61"/>
      <c r="D215" s="67"/>
      <c r="E215" s="56"/>
      <c r="F215" s="57"/>
      <c r="G215" s="114"/>
      <c r="H215" s="121"/>
      <c r="I215" s="114"/>
      <c r="J215" s="121"/>
      <c r="K215" s="68"/>
      <c r="L215" s="58"/>
    </row>
    <row r="216" spans="1:12" ht="24">
      <c r="A216" s="69"/>
      <c r="B216" s="60"/>
      <c r="C216" s="61"/>
      <c r="D216" s="67"/>
      <c r="E216" s="56"/>
      <c r="F216" s="57"/>
      <c r="G216" s="114"/>
      <c r="H216" s="121"/>
      <c r="I216" s="114"/>
      <c r="J216" s="121"/>
      <c r="K216" s="68"/>
      <c r="L216" s="58"/>
    </row>
    <row r="217" spans="1:12" ht="24">
      <c r="A217" s="69"/>
      <c r="B217" s="60"/>
      <c r="C217" s="61"/>
      <c r="D217" s="67"/>
      <c r="E217" s="56"/>
      <c r="F217" s="57"/>
      <c r="G217" s="114"/>
      <c r="H217" s="121"/>
      <c r="I217" s="114"/>
      <c r="J217" s="121"/>
      <c r="K217" s="68"/>
      <c r="L217" s="58"/>
    </row>
    <row r="218" spans="1:12" ht="24.75" thickBot="1">
      <c r="A218" s="69"/>
      <c r="B218" s="60"/>
      <c r="C218" s="61"/>
      <c r="D218" s="67"/>
      <c r="E218" s="56"/>
      <c r="F218" s="57"/>
      <c r="G218" s="114"/>
      <c r="H218" s="121"/>
      <c r="I218" s="114"/>
      <c r="J218" s="121"/>
      <c r="K218" s="68"/>
      <c r="L218" s="58"/>
    </row>
    <row r="219" spans="1:12" ht="24.75" thickTop="1">
      <c r="A219" s="70"/>
      <c r="B219" s="1981" t="s">
        <v>69</v>
      </c>
      <c r="C219" s="1982"/>
      <c r="D219" s="1983"/>
      <c r="E219" s="71"/>
      <c r="F219" s="72"/>
      <c r="G219" s="115"/>
      <c r="H219" s="122"/>
      <c r="I219" s="115"/>
      <c r="J219" s="122"/>
      <c r="K219" s="73"/>
      <c r="L219" s="74"/>
    </row>
    <row r="220" spans="1:12" ht="24">
      <c r="A220" s="104">
        <v>1.6</v>
      </c>
      <c r="B220" s="133" t="s">
        <v>174</v>
      </c>
      <c r="C220" s="136"/>
      <c r="D220" s="137"/>
      <c r="E220" s="105"/>
      <c r="F220" s="106"/>
      <c r="G220" s="111"/>
      <c r="H220" s="117"/>
      <c r="I220" s="111"/>
      <c r="J220" s="117"/>
      <c r="K220" s="63"/>
      <c r="L220" s="107"/>
    </row>
    <row r="221" spans="1:12" ht="24">
      <c r="A221" s="52"/>
      <c r="B221" s="133" t="s">
        <v>103</v>
      </c>
      <c r="C221" s="61"/>
      <c r="D221" s="55"/>
      <c r="E221" s="56"/>
      <c r="F221" s="57"/>
      <c r="G221" s="112"/>
      <c r="H221" s="118"/>
      <c r="I221" s="123"/>
      <c r="J221" s="124"/>
      <c r="K221" s="57"/>
      <c r="L221" s="58"/>
    </row>
    <row r="222" spans="1:12" ht="24">
      <c r="A222" s="59"/>
      <c r="B222" s="133" t="s">
        <v>107</v>
      </c>
      <c r="C222" s="61"/>
      <c r="D222" s="62"/>
      <c r="E222" s="63"/>
      <c r="F222" s="64"/>
      <c r="G222" s="113"/>
      <c r="H222" s="119"/>
      <c r="I222" s="113"/>
      <c r="J222" s="120"/>
      <c r="K222" s="65"/>
      <c r="L222" s="66"/>
    </row>
    <row r="223" spans="1:12" ht="24">
      <c r="A223" s="59"/>
      <c r="B223" s="133" t="s">
        <v>104</v>
      </c>
      <c r="C223" s="61"/>
      <c r="D223" s="62"/>
      <c r="E223" s="63"/>
      <c r="F223" s="64"/>
      <c r="G223" s="113"/>
      <c r="H223" s="120"/>
      <c r="I223" s="113"/>
      <c r="J223" s="120"/>
      <c r="K223" s="65"/>
      <c r="L223" s="66"/>
    </row>
    <row r="224" spans="1:12" ht="24">
      <c r="A224" s="59"/>
      <c r="B224" s="133"/>
      <c r="C224" s="61" t="s">
        <v>105</v>
      </c>
      <c r="D224" s="67"/>
      <c r="E224" s="56"/>
      <c r="F224" s="57"/>
      <c r="G224" s="114"/>
      <c r="H224" s="121"/>
      <c r="I224" s="114"/>
      <c r="J224" s="121"/>
      <c r="K224" s="68"/>
      <c r="L224" s="58"/>
    </row>
    <row r="225" spans="1:12" ht="24">
      <c r="A225" s="59"/>
      <c r="B225" s="60"/>
      <c r="C225" s="61"/>
      <c r="D225" s="67"/>
      <c r="E225" s="56"/>
      <c r="F225" s="57"/>
      <c r="G225" s="114"/>
      <c r="H225" s="121"/>
      <c r="I225" s="114"/>
      <c r="J225" s="121"/>
      <c r="K225" s="68"/>
      <c r="L225" s="58"/>
    </row>
    <row r="226" spans="1:12" ht="24">
      <c r="A226" s="59"/>
      <c r="B226" s="60"/>
      <c r="C226" s="61"/>
      <c r="D226" s="67"/>
      <c r="E226" s="56"/>
      <c r="F226" s="57"/>
      <c r="G226" s="114"/>
      <c r="H226" s="121"/>
      <c r="I226" s="114"/>
      <c r="J226" s="121"/>
      <c r="K226" s="68"/>
      <c r="L226" s="58"/>
    </row>
    <row r="227" spans="1:12" ht="24">
      <c r="A227" s="59"/>
      <c r="B227" s="60"/>
      <c r="C227" s="61"/>
      <c r="D227" s="67"/>
      <c r="E227" s="56"/>
      <c r="F227" s="57"/>
      <c r="G227" s="114"/>
      <c r="H227" s="121"/>
      <c r="I227" s="114"/>
      <c r="J227" s="121"/>
      <c r="K227" s="68"/>
      <c r="L227" s="58"/>
    </row>
    <row r="228" spans="1:12" ht="24">
      <c r="A228" s="59"/>
      <c r="B228" s="60"/>
      <c r="C228" s="61"/>
      <c r="D228" s="67"/>
      <c r="E228" s="56"/>
      <c r="F228" s="57"/>
      <c r="G228" s="114"/>
      <c r="H228" s="121"/>
      <c r="I228" s="114"/>
      <c r="J228" s="121"/>
      <c r="K228" s="68"/>
      <c r="L228" s="58"/>
    </row>
    <row r="229" spans="1:12" ht="24">
      <c r="A229" s="59"/>
      <c r="B229" s="60"/>
      <c r="C229" s="61"/>
      <c r="D229" s="67"/>
      <c r="E229" s="56"/>
      <c r="F229" s="57"/>
      <c r="G229" s="114"/>
      <c r="H229" s="121"/>
      <c r="I229" s="114"/>
      <c r="J229" s="121"/>
      <c r="K229" s="68"/>
      <c r="L229" s="58"/>
    </row>
    <row r="230" spans="1:12" ht="24">
      <c r="A230" s="59"/>
      <c r="B230" s="60"/>
      <c r="C230" s="61"/>
      <c r="D230" s="67"/>
      <c r="E230" s="56"/>
      <c r="F230" s="57"/>
      <c r="G230" s="114"/>
      <c r="H230" s="121"/>
      <c r="I230" s="114"/>
      <c r="J230" s="121"/>
      <c r="K230" s="68"/>
      <c r="L230" s="58"/>
    </row>
    <row r="231" spans="1:12" ht="24">
      <c r="A231" s="59"/>
      <c r="B231" s="60"/>
      <c r="C231" s="61"/>
      <c r="D231" s="67"/>
      <c r="E231" s="56"/>
      <c r="F231" s="57"/>
      <c r="G231" s="114"/>
      <c r="H231" s="121"/>
      <c r="I231" s="114"/>
      <c r="J231" s="121"/>
      <c r="K231" s="68"/>
      <c r="L231" s="58"/>
    </row>
    <row r="232" spans="1:12" ht="24">
      <c r="A232" s="59"/>
      <c r="B232" s="60"/>
      <c r="C232" s="61"/>
      <c r="D232" s="67"/>
      <c r="E232" s="56"/>
      <c r="F232" s="57"/>
      <c r="G232" s="114"/>
      <c r="H232" s="121"/>
      <c r="I232" s="114"/>
      <c r="J232" s="121"/>
      <c r="K232" s="68"/>
      <c r="L232" s="58"/>
    </row>
    <row r="233" spans="1:12" ht="24">
      <c r="A233" s="59"/>
      <c r="B233" s="60"/>
      <c r="C233" s="61"/>
      <c r="D233" s="67"/>
      <c r="E233" s="56"/>
      <c r="F233" s="57"/>
      <c r="G233" s="114"/>
      <c r="H233" s="121"/>
      <c r="I233" s="114"/>
      <c r="J233" s="121"/>
      <c r="K233" s="68"/>
      <c r="L233" s="58"/>
    </row>
    <row r="234" spans="1:12" ht="24">
      <c r="A234" s="59"/>
      <c r="B234" s="60"/>
      <c r="C234" s="61"/>
      <c r="D234" s="67"/>
      <c r="E234" s="56"/>
      <c r="F234" s="57"/>
      <c r="G234" s="114"/>
      <c r="H234" s="121"/>
      <c r="I234" s="114"/>
      <c r="J234" s="121"/>
      <c r="K234" s="68"/>
      <c r="L234" s="58"/>
    </row>
    <row r="235" spans="1:12" ht="24">
      <c r="A235" s="69"/>
      <c r="B235" s="60"/>
      <c r="C235" s="61"/>
      <c r="D235" s="67"/>
      <c r="E235" s="56"/>
      <c r="F235" s="57"/>
      <c r="G235" s="114"/>
      <c r="H235" s="121"/>
      <c r="I235" s="114"/>
      <c r="J235" s="121"/>
      <c r="K235" s="68"/>
      <c r="L235" s="58"/>
    </row>
    <row r="236" spans="1:12" ht="24">
      <c r="A236" s="69"/>
      <c r="B236" s="60"/>
      <c r="C236" s="61"/>
      <c r="D236" s="67"/>
      <c r="E236" s="56"/>
      <c r="F236" s="57"/>
      <c r="G236" s="114"/>
      <c r="H236" s="121"/>
      <c r="I236" s="114"/>
      <c r="J236" s="121"/>
      <c r="K236" s="68"/>
      <c r="L236" s="58"/>
    </row>
    <row r="237" spans="1:12" ht="24">
      <c r="A237" s="69"/>
      <c r="B237" s="60"/>
      <c r="C237" s="61"/>
      <c r="D237" s="67"/>
      <c r="E237" s="56"/>
      <c r="F237" s="57"/>
      <c r="G237" s="114"/>
      <c r="H237" s="121"/>
      <c r="I237" s="114"/>
      <c r="J237" s="121"/>
      <c r="K237" s="68"/>
      <c r="L237" s="58"/>
    </row>
    <row r="238" spans="1:12" ht="24">
      <c r="A238" s="69"/>
      <c r="B238" s="60"/>
      <c r="C238" s="61"/>
      <c r="D238" s="67"/>
      <c r="E238" s="56"/>
      <c r="F238" s="57"/>
      <c r="G238" s="114"/>
      <c r="H238" s="121"/>
      <c r="I238" s="114"/>
      <c r="J238" s="121"/>
      <c r="K238" s="68"/>
      <c r="L238" s="58"/>
    </row>
    <row r="239" spans="1:12" ht="24.75" thickBot="1">
      <c r="A239" s="69"/>
      <c r="B239" s="60"/>
      <c r="C239" s="61"/>
      <c r="D239" s="67"/>
      <c r="E239" s="56"/>
      <c r="F239" s="57"/>
      <c r="G239" s="114"/>
      <c r="H239" s="121"/>
      <c r="I239" s="114"/>
      <c r="J239" s="121"/>
      <c r="K239" s="68"/>
      <c r="L239" s="58"/>
    </row>
    <row r="240" spans="1:12" ht="24.75" thickTop="1">
      <c r="A240" s="70"/>
      <c r="B240" s="1981" t="s">
        <v>69</v>
      </c>
      <c r="C240" s="1982"/>
      <c r="D240" s="1983"/>
      <c r="E240" s="71"/>
      <c r="F240" s="72"/>
      <c r="G240" s="115"/>
      <c r="H240" s="122"/>
      <c r="I240" s="115"/>
      <c r="J240" s="122"/>
      <c r="K240" s="73"/>
      <c r="L240" s="74"/>
    </row>
  </sheetData>
  <mergeCells count="19">
    <mergeCell ref="B240:D240"/>
    <mergeCell ref="B198:D198"/>
    <mergeCell ref="B219:D219"/>
    <mergeCell ref="B135:D135"/>
    <mergeCell ref="B156:D156"/>
    <mergeCell ref="B177:D177"/>
    <mergeCell ref="L8:L9"/>
    <mergeCell ref="B10:D10"/>
    <mergeCell ref="B30:D30"/>
    <mergeCell ref="B51:D51"/>
    <mergeCell ref="I8:J8"/>
    <mergeCell ref="E8:E9"/>
    <mergeCell ref="F8:F9"/>
    <mergeCell ref="G8:H8"/>
    <mergeCell ref="B72:D72"/>
    <mergeCell ref="B93:D93"/>
    <mergeCell ref="B114:D114"/>
    <mergeCell ref="A8:A9"/>
    <mergeCell ref="B8:D9"/>
  </mergeCells>
  <pageMargins left="0.35433070866141736" right="0.15748031496062992" top="0.39370078740157483" bottom="0.39" header="0.35433070866141736" footer="0.16"/>
  <pageSetup paperSize="9" scale="80" orientation="landscape" r:id="rId1"/>
  <headerFooter>
    <oddHeader xml:space="preserve">&amp;Rแผ่นที่ &amp;P ใน &amp;N แผ่น          </oddHeader>
    <oddFooter xml:space="preserve">&amp;Rงานวิศวกรรมโครงสร้าง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05"/>
  <sheetViews>
    <sheetView showGridLines="0" view="pageBreakPreview" topLeftCell="A7" zoomScale="80" zoomScaleNormal="80" zoomScaleSheetLayoutView="80" workbookViewId="0">
      <pane ySplit="3" topLeftCell="A709" activePane="bottomLeft" state="frozen"/>
      <selection activeCell="A7" sqref="A7"/>
      <selection pane="bottomLeft" activeCell="E781" sqref="E781"/>
    </sheetView>
  </sheetViews>
  <sheetFormatPr defaultRowHeight="21.75"/>
  <cols>
    <col min="1" max="1" width="8.7109375" style="197" customWidth="1"/>
    <col min="2" max="2" width="7.42578125" customWidth="1"/>
    <col min="3" max="3" width="7.28515625" customWidth="1"/>
    <col min="4" max="4" width="66.140625" customWidth="1"/>
    <col min="5" max="5" width="12.140625" style="150" customWidth="1"/>
    <col min="6" max="6" width="7.5703125" style="150" bestFit="1" customWidth="1"/>
    <col min="7" max="7" width="13.5703125" style="150" customWidth="1"/>
    <col min="8" max="8" width="16" style="150" customWidth="1"/>
    <col min="9" max="9" width="13.7109375" style="150" customWidth="1"/>
    <col min="10" max="10" width="14.5703125" style="150" customWidth="1"/>
    <col min="11" max="11" width="17.42578125" style="150" customWidth="1"/>
    <col min="12" max="12" width="13.7109375" style="150" customWidth="1"/>
    <col min="14" max="18" width="0" hidden="1" customWidth="1"/>
  </cols>
  <sheetData>
    <row r="1" spans="1:12" ht="36.75" customHeight="1">
      <c r="E1" s="172" t="s">
        <v>62</v>
      </c>
      <c r="F1" s="173"/>
      <c r="G1" s="173"/>
      <c r="H1" s="173"/>
      <c r="I1" s="173"/>
      <c r="J1" s="174" t="s">
        <v>30</v>
      </c>
      <c r="K1" s="173"/>
      <c r="L1" s="173"/>
    </row>
    <row r="2" spans="1:12">
      <c r="A2" s="36" t="s">
        <v>43</v>
      </c>
      <c r="B2" s="37"/>
      <c r="C2" s="38"/>
      <c r="D2" s="38" t="s">
        <v>86</v>
      </c>
      <c r="E2" s="175"/>
      <c r="F2" s="175"/>
      <c r="G2" s="175"/>
      <c r="H2" s="175"/>
      <c r="I2" s="176"/>
      <c r="J2" s="177"/>
      <c r="K2" s="177"/>
      <c r="L2" s="177"/>
    </row>
    <row r="3" spans="1:12">
      <c r="A3" s="41" t="s">
        <v>78</v>
      </c>
      <c r="B3" s="42"/>
      <c r="C3" s="43"/>
      <c r="D3" s="43"/>
      <c r="E3" s="178"/>
      <c r="F3" s="178"/>
      <c r="G3" s="178"/>
      <c r="H3" s="178"/>
      <c r="I3" s="178"/>
      <c r="J3" s="179"/>
      <c r="K3" s="179"/>
      <c r="L3" s="179"/>
    </row>
    <row r="4" spans="1:12">
      <c r="A4" s="41" t="s">
        <v>44</v>
      </c>
      <c r="B4" s="42"/>
      <c r="C4" s="43"/>
      <c r="D4" s="43" t="s">
        <v>79</v>
      </c>
      <c r="E4" s="178"/>
      <c r="F4" s="180"/>
      <c r="G4" s="173"/>
      <c r="H4" s="173"/>
      <c r="I4" s="49" t="s">
        <v>31</v>
      </c>
      <c r="J4" s="179"/>
      <c r="K4" s="179"/>
      <c r="L4" s="179"/>
    </row>
    <row r="5" spans="1:12">
      <c r="A5" s="41" t="s">
        <v>80</v>
      </c>
      <c r="B5" s="42"/>
      <c r="C5" s="43"/>
      <c r="D5" s="43"/>
      <c r="E5" s="178"/>
      <c r="F5" s="180"/>
      <c r="G5" s="178"/>
      <c r="H5" s="178"/>
      <c r="I5" s="178"/>
      <c r="J5" s="179"/>
      <c r="K5" s="179"/>
      <c r="L5" s="179"/>
    </row>
    <row r="6" spans="1:12">
      <c r="A6" s="41" t="s">
        <v>42</v>
      </c>
      <c r="B6" s="42"/>
      <c r="C6" s="43"/>
      <c r="D6" s="43" t="s">
        <v>81</v>
      </c>
      <c r="E6" s="178" t="s">
        <v>28</v>
      </c>
      <c r="F6" s="178"/>
      <c r="G6" s="49" t="s">
        <v>32</v>
      </c>
      <c r="H6" s="49"/>
      <c r="I6" s="49" t="s">
        <v>33</v>
      </c>
      <c r="J6" s="178"/>
      <c r="K6" s="180" t="s">
        <v>65</v>
      </c>
      <c r="L6" s="180"/>
    </row>
    <row r="7" spans="1:12" ht="16.5" customHeight="1" thickBot="1">
      <c r="A7" s="31"/>
      <c r="B7" s="32"/>
      <c r="C7" s="33"/>
      <c r="D7" s="33"/>
      <c r="E7" s="181"/>
      <c r="F7" s="181"/>
      <c r="G7" s="103"/>
      <c r="H7" s="103"/>
      <c r="I7" s="103"/>
      <c r="J7" s="181"/>
      <c r="K7" s="103"/>
      <c r="L7" s="182" t="s">
        <v>45</v>
      </c>
    </row>
    <row r="8" spans="1:12" ht="22.5" thickTop="1">
      <c r="A8" s="1984" t="s">
        <v>9</v>
      </c>
      <c r="B8" s="1986" t="s">
        <v>10</v>
      </c>
      <c r="C8" s="1987"/>
      <c r="D8" s="1988"/>
      <c r="E8" s="2019" t="s">
        <v>34</v>
      </c>
      <c r="F8" s="2019" t="s">
        <v>35</v>
      </c>
      <c r="G8" s="2021" t="s">
        <v>36</v>
      </c>
      <c r="H8" s="2022"/>
      <c r="I8" s="2021" t="s">
        <v>37</v>
      </c>
      <c r="J8" s="2022"/>
      <c r="K8" s="151" t="s">
        <v>38</v>
      </c>
      <c r="L8" s="2023" t="s">
        <v>13</v>
      </c>
    </row>
    <row r="9" spans="1:12" ht="22.5" thickBot="1">
      <c r="A9" s="1985"/>
      <c r="B9" s="1989"/>
      <c r="C9" s="1990"/>
      <c r="D9" s="1991"/>
      <c r="E9" s="2020"/>
      <c r="F9" s="2020"/>
      <c r="G9" s="152" t="s">
        <v>39</v>
      </c>
      <c r="H9" s="153" t="s">
        <v>40</v>
      </c>
      <c r="I9" s="152" t="s">
        <v>39</v>
      </c>
      <c r="J9" s="153" t="s">
        <v>40</v>
      </c>
      <c r="K9" s="154" t="s">
        <v>41</v>
      </c>
      <c r="L9" s="2024"/>
    </row>
    <row r="10" spans="1:12" ht="24.75" thickTop="1">
      <c r="A10" s="198">
        <v>2</v>
      </c>
      <c r="B10" s="2025" t="s">
        <v>29</v>
      </c>
      <c r="C10" s="2026"/>
      <c r="D10" s="2027"/>
      <c r="E10" s="155"/>
      <c r="F10" s="155"/>
      <c r="G10" s="156"/>
      <c r="H10" s="157"/>
      <c r="I10" s="156"/>
      <c r="J10" s="157"/>
      <c r="K10" s="158"/>
      <c r="L10" s="158"/>
    </row>
    <row r="11" spans="1:12" ht="24">
      <c r="A11" s="199">
        <f>A10+0.1</f>
        <v>2.1</v>
      </c>
      <c r="B11" s="133" t="s">
        <v>164</v>
      </c>
      <c r="C11" s="54"/>
      <c r="D11" s="55"/>
      <c r="E11" s="159"/>
      <c r="F11" s="159"/>
      <c r="G11" s="160"/>
      <c r="H11" s="161"/>
      <c r="I11" s="160"/>
      <c r="J11" s="161"/>
      <c r="K11" s="159"/>
      <c r="L11" s="162"/>
    </row>
    <row r="12" spans="1:12" ht="24">
      <c r="A12" s="199"/>
      <c r="B12" s="133"/>
      <c r="C12" s="61" t="s">
        <v>203</v>
      </c>
      <c r="D12" s="62"/>
      <c r="E12" s="158"/>
      <c r="F12" s="158"/>
      <c r="G12" s="156"/>
      <c r="H12" s="157"/>
      <c r="I12" s="156"/>
      <c r="J12" s="157"/>
      <c r="K12" s="158"/>
      <c r="L12" s="163"/>
    </row>
    <row r="13" spans="1:12" ht="24">
      <c r="A13" s="199">
        <f>A11+0.1</f>
        <v>2.2000000000000002</v>
      </c>
      <c r="B13" s="133" t="s">
        <v>162</v>
      </c>
      <c r="C13" s="61"/>
      <c r="D13" s="62"/>
      <c r="E13" s="158"/>
      <c r="F13" s="158"/>
      <c r="G13" s="156"/>
      <c r="H13" s="157"/>
      <c r="I13" s="156"/>
      <c r="J13" s="157"/>
      <c r="K13" s="158"/>
      <c r="L13" s="163"/>
    </row>
    <row r="14" spans="1:12" ht="24">
      <c r="A14" s="199"/>
      <c r="B14" s="133"/>
      <c r="C14" s="61" t="s">
        <v>204</v>
      </c>
      <c r="D14" s="62"/>
      <c r="E14" s="158"/>
      <c r="F14" s="158"/>
      <c r="G14" s="156"/>
      <c r="H14" s="157"/>
      <c r="I14" s="156"/>
      <c r="J14" s="157"/>
      <c r="K14" s="158"/>
      <c r="L14" s="163"/>
    </row>
    <row r="15" spans="1:12" ht="24">
      <c r="A15" s="199">
        <f>A13+0.1</f>
        <v>2.3000000000000003</v>
      </c>
      <c r="B15" s="133" t="s">
        <v>205</v>
      </c>
      <c r="C15" s="61"/>
      <c r="D15" s="62"/>
      <c r="E15" s="158"/>
      <c r="F15" s="158"/>
      <c r="G15" s="156"/>
      <c r="H15" s="157"/>
      <c r="I15" s="156"/>
      <c r="J15" s="157"/>
      <c r="K15" s="158"/>
      <c r="L15" s="163"/>
    </row>
    <row r="16" spans="1:12" ht="24">
      <c r="A16" s="199">
        <f t="shared" ref="A16:A17" si="0">A15+0.1</f>
        <v>2.4000000000000004</v>
      </c>
      <c r="B16" s="133" t="s">
        <v>206</v>
      </c>
      <c r="C16" s="61"/>
      <c r="D16" s="67"/>
      <c r="E16" s="159"/>
      <c r="F16" s="159"/>
      <c r="G16" s="160"/>
      <c r="H16" s="161"/>
      <c r="I16" s="160"/>
      <c r="J16" s="161"/>
      <c r="K16" s="159"/>
      <c r="L16" s="162"/>
    </row>
    <row r="17" spans="1:12" ht="24">
      <c r="A17" s="199">
        <f t="shared" si="0"/>
        <v>2.5000000000000004</v>
      </c>
      <c r="B17" s="133" t="s">
        <v>207</v>
      </c>
      <c r="C17" s="61"/>
      <c r="D17" s="67"/>
      <c r="E17" s="159"/>
      <c r="F17" s="159"/>
      <c r="G17" s="160"/>
      <c r="H17" s="161"/>
      <c r="I17" s="160"/>
      <c r="J17" s="161"/>
      <c r="K17" s="159"/>
      <c r="L17" s="162"/>
    </row>
    <row r="18" spans="1:12" ht="24">
      <c r="A18" s="199">
        <v>2.6</v>
      </c>
      <c r="B18" s="133" t="s">
        <v>208</v>
      </c>
      <c r="C18" s="61"/>
      <c r="D18" s="67"/>
      <c r="E18" s="159"/>
      <c r="F18" s="159"/>
      <c r="G18" s="160"/>
      <c r="H18" s="161"/>
      <c r="I18" s="160"/>
      <c r="J18" s="161"/>
      <c r="K18" s="159"/>
      <c r="L18" s="162"/>
    </row>
    <row r="19" spans="1:12" ht="24">
      <c r="A19" s="199" t="s">
        <v>202</v>
      </c>
      <c r="B19" s="133" t="s">
        <v>209</v>
      </c>
      <c r="C19" s="61"/>
      <c r="D19" s="67"/>
      <c r="E19" s="159"/>
      <c r="F19" s="159"/>
      <c r="G19" s="160"/>
      <c r="H19" s="161"/>
      <c r="I19" s="160"/>
      <c r="J19" s="161"/>
      <c r="K19" s="159"/>
      <c r="L19" s="162"/>
    </row>
    <row r="20" spans="1:12" ht="24">
      <c r="A20" s="200"/>
      <c r="B20" s="60"/>
      <c r="C20" s="61"/>
      <c r="D20" s="67"/>
      <c r="E20" s="159"/>
      <c r="F20" s="159"/>
      <c r="G20" s="160"/>
      <c r="H20" s="161"/>
      <c r="I20" s="160"/>
      <c r="J20" s="161"/>
      <c r="K20" s="159"/>
      <c r="L20" s="162"/>
    </row>
    <row r="21" spans="1:12" ht="24">
      <c r="A21" s="200"/>
      <c r="B21" s="60"/>
      <c r="C21" s="61"/>
      <c r="D21" s="67"/>
      <c r="E21" s="159"/>
      <c r="F21" s="159"/>
      <c r="G21" s="160"/>
      <c r="H21" s="161"/>
      <c r="I21" s="160"/>
      <c r="J21" s="161"/>
      <c r="K21" s="159"/>
      <c r="L21" s="162"/>
    </row>
    <row r="22" spans="1:12" ht="24">
      <c r="A22" s="200"/>
      <c r="B22" s="60"/>
      <c r="C22" s="61"/>
      <c r="D22" s="67"/>
      <c r="E22" s="159"/>
      <c r="F22" s="159"/>
      <c r="G22" s="160"/>
      <c r="H22" s="161"/>
      <c r="I22" s="160"/>
      <c r="J22" s="161"/>
      <c r="K22" s="159"/>
      <c r="L22" s="162"/>
    </row>
    <row r="23" spans="1:12" ht="24">
      <c r="A23" s="200"/>
      <c r="B23" s="60"/>
      <c r="C23" s="61"/>
      <c r="D23" s="67"/>
      <c r="E23" s="159"/>
      <c r="F23" s="159"/>
      <c r="G23" s="160"/>
      <c r="H23" s="161"/>
      <c r="I23" s="160"/>
      <c r="J23" s="161"/>
      <c r="K23" s="159"/>
      <c r="L23" s="162"/>
    </row>
    <row r="24" spans="1:12" ht="24">
      <c r="A24" s="200"/>
      <c r="B24" s="60"/>
      <c r="C24" s="61"/>
      <c r="D24" s="67"/>
      <c r="E24" s="159"/>
      <c r="F24" s="159"/>
      <c r="G24" s="160"/>
      <c r="H24" s="161"/>
      <c r="I24" s="160"/>
      <c r="J24" s="161"/>
      <c r="K24" s="159"/>
      <c r="L24" s="162"/>
    </row>
    <row r="25" spans="1:12" ht="24">
      <c r="A25" s="201"/>
      <c r="B25" s="60"/>
      <c r="C25" s="61"/>
      <c r="D25" s="67"/>
      <c r="E25" s="159"/>
      <c r="F25" s="159"/>
      <c r="G25" s="160"/>
      <c r="H25" s="161"/>
      <c r="I25" s="160"/>
      <c r="J25" s="161"/>
      <c r="K25" s="159"/>
      <c r="L25" s="162"/>
    </row>
    <row r="26" spans="1:12" ht="24">
      <c r="A26" s="201"/>
      <c r="B26" s="60"/>
      <c r="C26" s="61"/>
      <c r="D26" s="67"/>
      <c r="E26" s="159"/>
      <c r="F26" s="159"/>
      <c r="G26" s="160"/>
      <c r="H26" s="161"/>
      <c r="I26" s="160"/>
      <c r="J26" s="161"/>
      <c r="K26" s="159"/>
      <c r="L26" s="162"/>
    </row>
    <row r="27" spans="1:12" ht="24">
      <c r="A27" s="201"/>
      <c r="B27" s="60"/>
      <c r="C27" s="61"/>
      <c r="D27" s="67"/>
      <c r="E27" s="159"/>
      <c r="F27" s="159"/>
      <c r="G27" s="160"/>
      <c r="H27" s="161"/>
      <c r="I27" s="160"/>
      <c r="J27" s="161"/>
      <c r="K27" s="159"/>
      <c r="L27" s="162"/>
    </row>
    <row r="28" spans="1:12" ht="24">
      <c r="A28" s="201"/>
      <c r="B28" s="60"/>
      <c r="C28" s="61"/>
      <c r="D28" s="67"/>
      <c r="E28" s="159"/>
      <c r="F28" s="159"/>
      <c r="G28" s="160"/>
      <c r="H28" s="161"/>
      <c r="I28" s="160"/>
      <c r="J28" s="161"/>
      <c r="K28" s="159"/>
      <c r="L28" s="162"/>
    </row>
    <row r="29" spans="1:12" ht="24">
      <c r="A29" s="201"/>
      <c r="B29" s="60"/>
      <c r="C29" s="61"/>
      <c r="D29" s="67"/>
      <c r="E29" s="159"/>
      <c r="F29" s="159"/>
      <c r="G29" s="160"/>
      <c r="H29" s="161"/>
      <c r="I29" s="160"/>
      <c r="J29" s="161"/>
      <c r="K29" s="159"/>
      <c r="L29" s="162"/>
    </row>
    <row r="30" spans="1:12" ht="24.75" thickBot="1">
      <c r="A30" s="201"/>
      <c r="B30" s="60"/>
      <c r="C30" s="61"/>
      <c r="D30" s="67"/>
      <c r="E30" s="159"/>
      <c r="F30" s="159"/>
      <c r="G30" s="160"/>
      <c r="H30" s="161"/>
      <c r="I30" s="160"/>
      <c r="J30" s="161"/>
      <c r="K30" s="159"/>
      <c r="L30" s="162"/>
    </row>
    <row r="31" spans="1:12" ht="24.75" thickTop="1">
      <c r="A31" s="149"/>
      <c r="B31" s="1981" t="s">
        <v>69</v>
      </c>
      <c r="C31" s="1982"/>
      <c r="D31" s="1983"/>
      <c r="E31" s="164"/>
      <c r="F31" s="164"/>
      <c r="G31" s="165"/>
      <c r="H31" s="166"/>
      <c r="I31" s="165"/>
      <c r="J31" s="166"/>
      <c r="K31" s="164"/>
      <c r="L31" s="167"/>
    </row>
    <row r="32" spans="1:12" ht="24">
      <c r="A32" s="202">
        <v>2.2000000000000002</v>
      </c>
      <c r="B32" s="2007" t="s">
        <v>267</v>
      </c>
      <c r="C32" s="2028"/>
      <c r="D32" s="2029"/>
      <c r="E32" s="155"/>
      <c r="F32" s="155"/>
      <c r="G32" s="156"/>
      <c r="H32" s="157"/>
      <c r="I32" s="156"/>
      <c r="J32" s="157"/>
      <c r="K32" s="158"/>
      <c r="L32" s="158"/>
    </row>
    <row r="33" spans="1:12" ht="24">
      <c r="A33" s="203"/>
      <c r="B33" s="2030" t="s">
        <v>204</v>
      </c>
      <c r="C33" s="2031"/>
      <c r="D33" s="2032"/>
      <c r="E33" s="159"/>
      <c r="F33" s="159"/>
      <c r="G33" s="160"/>
      <c r="H33" s="161"/>
      <c r="I33" s="160"/>
      <c r="J33" s="161"/>
      <c r="K33" s="159"/>
      <c r="L33" s="162"/>
    </row>
    <row r="34" spans="1:12" ht="24">
      <c r="A34" s="199" t="s">
        <v>268</v>
      </c>
      <c r="B34" s="133" t="s">
        <v>263</v>
      </c>
      <c r="C34" s="54"/>
      <c r="D34" s="62"/>
      <c r="E34" s="158"/>
      <c r="F34" s="158"/>
      <c r="G34" s="156"/>
      <c r="H34" s="157"/>
      <c r="I34" s="156"/>
      <c r="J34" s="157"/>
      <c r="K34" s="158"/>
      <c r="L34" s="163"/>
    </row>
    <row r="35" spans="1:12" ht="24">
      <c r="A35" s="199" t="s">
        <v>269</v>
      </c>
      <c r="B35" s="133" t="s">
        <v>264</v>
      </c>
      <c r="C35" s="61"/>
      <c r="D35" s="62"/>
      <c r="E35" s="158"/>
      <c r="F35" s="158"/>
      <c r="G35" s="156"/>
      <c r="H35" s="157"/>
      <c r="I35" s="156"/>
      <c r="J35" s="157"/>
      <c r="K35" s="158"/>
      <c r="L35" s="163"/>
    </row>
    <row r="36" spans="1:12" ht="24">
      <c r="A36" s="199" t="s">
        <v>270</v>
      </c>
      <c r="B36" s="133" t="s">
        <v>281</v>
      </c>
      <c r="C36" s="61"/>
      <c r="D36" s="62"/>
      <c r="E36" s="158"/>
      <c r="F36" s="158"/>
      <c r="G36" s="156"/>
      <c r="H36" s="157"/>
      <c r="I36" s="156"/>
      <c r="J36" s="157"/>
      <c r="K36" s="158"/>
      <c r="L36" s="163"/>
    </row>
    <row r="37" spans="1:12" ht="24">
      <c r="A37" s="199" t="s">
        <v>271</v>
      </c>
      <c r="B37" s="133" t="s">
        <v>115</v>
      </c>
      <c r="C37" s="61"/>
      <c r="D37" s="67"/>
      <c r="E37" s="159"/>
      <c r="F37" s="159"/>
      <c r="G37" s="160"/>
      <c r="H37" s="161"/>
      <c r="I37" s="160"/>
      <c r="J37" s="161"/>
      <c r="K37" s="159"/>
      <c r="L37" s="162"/>
    </row>
    <row r="38" spans="1:12" ht="24">
      <c r="A38" s="199" t="s">
        <v>272</v>
      </c>
      <c r="B38" s="133" t="s">
        <v>116</v>
      </c>
      <c r="C38" s="61"/>
      <c r="D38" s="67"/>
      <c r="E38" s="159"/>
      <c r="F38" s="159"/>
      <c r="G38" s="160"/>
      <c r="H38" s="161"/>
      <c r="I38" s="160"/>
      <c r="J38" s="161"/>
      <c r="K38" s="159"/>
      <c r="L38" s="162"/>
    </row>
    <row r="39" spans="1:12" ht="24">
      <c r="A39" s="199" t="s">
        <v>280</v>
      </c>
      <c r="B39" s="133" t="s">
        <v>262</v>
      </c>
      <c r="C39" s="61"/>
      <c r="D39" s="67"/>
      <c r="E39" s="159"/>
      <c r="F39" s="159"/>
      <c r="G39" s="160"/>
      <c r="H39" s="161"/>
      <c r="I39" s="160"/>
      <c r="J39" s="161"/>
      <c r="K39" s="159"/>
      <c r="L39" s="162"/>
    </row>
    <row r="40" spans="1:12" ht="24">
      <c r="A40" s="199"/>
      <c r="B40" s="133"/>
      <c r="C40" s="61"/>
      <c r="D40" s="67"/>
      <c r="E40" s="159"/>
      <c r="F40" s="159"/>
      <c r="G40" s="160"/>
      <c r="H40" s="161"/>
      <c r="I40" s="160"/>
      <c r="J40" s="161"/>
      <c r="K40" s="159"/>
      <c r="L40" s="162"/>
    </row>
    <row r="41" spans="1:12" ht="24">
      <c r="A41" s="199"/>
      <c r="B41" s="133"/>
      <c r="C41" s="61"/>
      <c r="D41" s="67"/>
      <c r="E41" s="159"/>
      <c r="F41" s="159"/>
      <c r="G41" s="160"/>
      <c r="H41" s="161"/>
      <c r="I41" s="160"/>
      <c r="J41" s="161"/>
      <c r="K41" s="159"/>
      <c r="L41" s="162"/>
    </row>
    <row r="42" spans="1:12" ht="24">
      <c r="A42" s="199"/>
      <c r="B42" s="60"/>
      <c r="C42" s="61"/>
      <c r="D42" s="67"/>
      <c r="E42" s="159"/>
      <c r="F42" s="159"/>
      <c r="G42" s="160"/>
      <c r="H42" s="161"/>
      <c r="I42" s="160"/>
      <c r="J42" s="161"/>
      <c r="K42" s="159"/>
      <c r="L42" s="162"/>
    </row>
    <row r="43" spans="1:12" ht="24">
      <c r="A43" s="200"/>
      <c r="B43" s="60"/>
      <c r="C43" s="61"/>
      <c r="D43" s="67"/>
      <c r="E43" s="159"/>
      <c r="F43" s="159"/>
      <c r="G43" s="160"/>
      <c r="H43" s="161"/>
      <c r="I43" s="160"/>
      <c r="J43" s="161"/>
      <c r="K43" s="159"/>
      <c r="L43" s="162"/>
    </row>
    <row r="44" spans="1:12" ht="24">
      <c r="A44" s="200"/>
      <c r="B44" s="60"/>
      <c r="C44" s="61"/>
      <c r="D44" s="67"/>
      <c r="E44" s="159"/>
      <c r="F44" s="159"/>
      <c r="G44" s="160"/>
      <c r="H44" s="161"/>
      <c r="I44" s="160"/>
      <c r="J44" s="161"/>
      <c r="K44" s="159"/>
      <c r="L44" s="162"/>
    </row>
    <row r="45" spans="1:12" ht="24">
      <c r="A45" s="200"/>
      <c r="B45" s="60"/>
      <c r="C45" s="61"/>
      <c r="D45" s="67"/>
      <c r="E45" s="159"/>
      <c r="F45" s="159"/>
      <c r="G45" s="160"/>
      <c r="H45" s="161"/>
      <c r="I45" s="160"/>
      <c r="J45" s="161"/>
      <c r="K45" s="159"/>
      <c r="L45" s="162"/>
    </row>
    <row r="46" spans="1:12" ht="24">
      <c r="A46" s="200"/>
      <c r="B46" s="60"/>
      <c r="C46" s="61"/>
      <c r="D46" s="67"/>
      <c r="E46" s="159"/>
      <c r="F46" s="159"/>
      <c r="G46" s="160"/>
      <c r="H46" s="161"/>
      <c r="I46" s="160"/>
      <c r="J46" s="161"/>
      <c r="K46" s="159"/>
      <c r="L46" s="162"/>
    </row>
    <row r="47" spans="1:12" ht="24">
      <c r="A47" s="200"/>
      <c r="B47" s="60"/>
      <c r="C47" s="61"/>
      <c r="D47" s="67"/>
      <c r="E47" s="159"/>
      <c r="F47" s="159"/>
      <c r="G47" s="160"/>
      <c r="H47" s="161"/>
      <c r="I47" s="160"/>
      <c r="J47" s="161"/>
      <c r="K47" s="159"/>
      <c r="L47" s="162"/>
    </row>
    <row r="48" spans="1:12" ht="24">
      <c r="A48" s="201"/>
      <c r="B48" s="60"/>
      <c r="C48" s="61"/>
      <c r="D48" s="67"/>
      <c r="E48" s="159"/>
      <c r="F48" s="159"/>
      <c r="G48" s="160"/>
      <c r="H48" s="161"/>
      <c r="I48" s="160"/>
      <c r="J48" s="161"/>
      <c r="K48" s="159"/>
      <c r="L48" s="162"/>
    </row>
    <row r="49" spans="1:12" ht="24">
      <c r="A49" s="201"/>
      <c r="B49" s="60"/>
      <c r="C49" s="61"/>
      <c r="D49" s="67"/>
      <c r="E49" s="159"/>
      <c r="F49" s="159"/>
      <c r="G49" s="160"/>
      <c r="H49" s="161"/>
      <c r="I49" s="160"/>
      <c r="J49" s="161"/>
      <c r="K49" s="159"/>
      <c r="L49" s="162"/>
    </row>
    <row r="50" spans="1:12" ht="24">
      <c r="A50" s="201"/>
      <c r="B50" s="60"/>
      <c r="C50" s="61"/>
      <c r="D50" s="67"/>
      <c r="E50" s="159"/>
      <c r="F50" s="159"/>
      <c r="G50" s="160"/>
      <c r="H50" s="161"/>
      <c r="I50" s="160"/>
      <c r="J50" s="161"/>
      <c r="K50" s="159"/>
      <c r="L50" s="162"/>
    </row>
    <row r="51" spans="1:12" ht="24">
      <c r="A51" s="201"/>
      <c r="B51" s="60"/>
      <c r="C51" s="61"/>
      <c r="D51" s="67"/>
      <c r="E51" s="159"/>
      <c r="F51" s="159"/>
      <c r="G51" s="160"/>
      <c r="H51" s="161"/>
      <c r="I51" s="160"/>
      <c r="J51" s="161"/>
      <c r="K51" s="159"/>
      <c r="L51" s="162"/>
    </row>
    <row r="52" spans="1:12" ht="24.75" thickBot="1">
      <c r="A52" s="201"/>
      <c r="B52" s="60"/>
      <c r="C52" s="61"/>
      <c r="D52" s="67"/>
      <c r="E52" s="159"/>
      <c r="F52" s="159"/>
      <c r="G52" s="160"/>
      <c r="H52" s="161"/>
      <c r="I52" s="160"/>
      <c r="J52" s="161"/>
      <c r="K52" s="159"/>
      <c r="L52" s="162"/>
    </row>
    <row r="53" spans="1:12" s="197" customFormat="1" ht="24.75" thickTop="1">
      <c r="A53" s="149"/>
      <c r="B53" s="2004" t="s">
        <v>69</v>
      </c>
      <c r="C53" s="2005"/>
      <c r="D53" s="2006"/>
      <c r="E53" s="168"/>
      <c r="F53" s="168"/>
      <c r="G53" s="169"/>
      <c r="H53" s="170"/>
      <c r="I53" s="169"/>
      <c r="J53" s="170"/>
      <c r="K53" s="168"/>
      <c r="L53" s="171"/>
    </row>
    <row r="54" spans="1:12" ht="24">
      <c r="A54" s="202" t="s">
        <v>268</v>
      </c>
      <c r="B54" s="2007" t="s">
        <v>267</v>
      </c>
      <c r="C54" s="2028"/>
      <c r="D54" s="2029"/>
      <c r="E54" s="155"/>
      <c r="F54" s="155"/>
      <c r="G54" s="156"/>
      <c r="H54" s="157"/>
      <c r="I54" s="156"/>
      <c r="J54" s="157"/>
      <c r="K54" s="158"/>
      <c r="L54" s="158"/>
    </row>
    <row r="55" spans="1:12" ht="24">
      <c r="A55" s="202"/>
      <c r="B55" s="2030" t="s">
        <v>204</v>
      </c>
      <c r="C55" s="2031"/>
      <c r="D55" s="2032"/>
      <c r="E55" s="155"/>
      <c r="F55" s="155"/>
      <c r="G55" s="156"/>
      <c r="H55" s="157"/>
      <c r="I55" s="156"/>
      <c r="J55" s="157"/>
      <c r="K55" s="158"/>
      <c r="L55" s="158"/>
    </row>
    <row r="56" spans="1:12" ht="24">
      <c r="A56" s="202"/>
      <c r="B56" s="2001" t="s">
        <v>282</v>
      </c>
      <c r="C56" s="2002"/>
      <c r="D56" s="2003"/>
      <c r="E56" s="155"/>
      <c r="F56" s="155"/>
      <c r="G56" s="156"/>
      <c r="H56" s="157"/>
      <c r="I56" s="156"/>
      <c r="J56" s="157"/>
      <c r="K56" s="158"/>
      <c r="L56" s="158"/>
    </row>
    <row r="57" spans="1:12" ht="24">
      <c r="A57" s="204" t="s">
        <v>273</v>
      </c>
      <c r="B57" s="134" t="s">
        <v>93</v>
      </c>
      <c r="C57" s="54"/>
      <c r="D57" s="55"/>
      <c r="E57" s="159"/>
      <c r="F57" s="159" t="s">
        <v>182</v>
      </c>
      <c r="G57" s="160"/>
      <c r="H57" s="161"/>
      <c r="I57" s="160"/>
      <c r="J57" s="161"/>
      <c r="K57" s="159"/>
      <c r="L57" s="162"/>
    </row>
    <row r="58" spans="1:12" ht="24">
      <c r="A58" s="199" t="s">
        <v>274</v>
      </c>
      <c r="B58" s="133" t="s">
        <v>109</v>
      </c>
      <c r="C58" s="61"/>
      <c r="D58" s="62"/>
      <c r="E58" s="158"/>
      <c r="F58" s="158" t="s">
        <v>182</v>
      </c>
      <c r="G58" s="156"/>
      <c r="H58" s="157"/>
      <c r="I58" s="156"/>
      <c r="J58" s="157"/>
      <c r="K58" s="158"/>
      <c r="L58" s="163"/>
    </row>
    <row r="59" spans="1:12" ht="24">
      <c r="A59" s="204" t="s">
        <v>275</v>
      </c>
      <c r="B59" s="133" t="s">
        <v>110</v>
      </c>
      <c r="C59" s="61"/>
      <c r="D59" s="62"/>
      <c r="E59" s="158"/>
      <c r="F59" s="158" t="s">
        <v>182</v>
      </c>
      <c r="G59" s="156"/>
      <c r="H59" s="157"/>
      <c r="I59" s="156"/>
      <c r="J59" s="157"/>
      <c r="K59" s="158"/>
      <c r="L59" s="163"/>
    </row>
    <row r="60" spans="1:12" ht="24">
      <c r="A60" s="199" t="s">
        <v>276</v>
      </c>
      <c r="B60" s="133" t="s">
        <v>111</v>
      </c>
      <c r="C60" s="61"/>
      <c r="D60" s="67"/>
      <c r="E60" s="159"/>
      <c r="F60" s="159" t="s">
        <v>182</v>
      </c>
      <c r="G60" s="160"/>
      <c r="H60" s="161"/>
      <c r="I60" s="160"/>
      <c r="J60" s="161"/>
      <c r="K60" s="159"/>
      <c r="L60" s="162"/>
    </row>
    <row r="61" spans="1:12" ht="24">
      <c r="A61" s="204" t="s">
        <v>277</v>
      </c>
      <c r="B61" s="133" t="s">
        <v>112</v>
      </c>
      <c r="C61" s="61"/>
      <c r="D61" s="67"/>
      <c r="E61" s="159"/>
      <c r="F61" s="159" t="s">
        <v>182</v>
      </c>
      <c r="G61" s="160"/>
      <c r="H61" s="161"/>
      <c r="I61" s="160"/>
      <c r="J61" s="161"/>
      <c r="K61" s="159"/>
      <c r="L61" s="162"/>
    </row>
    <row r="62" spans="1:12" ht="24">
      <c r="A62" s="199" t="s">
        <v>278</v>
      </c>
      <c r="B62" s="133" t="s">
        <v>113</v>
      </c>
      <c r="C62" s="61"/>
      <c r="D62" s="67"/>
      <c r="E62" s="159"/>
      <c r="F62" s="159" t="s">
        <v>182</v>
      </c>
      <c r="G62" s="160"/>
      <c r="H62" s="161"/>
      <c r="I62" s="160"/>
      <c r="J62" s="161"/>
      <c r="K62" s="159"/>
      <c r="L62" s="162"/>
    </row>
    <row r="63" spans="1:12" ht="24">
      <c r="A63" s="204" t="s">
        <v>279</v>
      </c>
      <c r="B63" s="133" t="s">
        <v>114</v>
      </c>
      <c r="C63" s="61"/>
      <c r="D63" s="67"/>
      <c r="E63" s="159"/>
      <c r="F63" s="159" t="s">
        <v>182</v>
      </c>
      <c r="G63" s="160"/>
      <c r="H63" s="161"/>
      <c r="I63" s="160"/>
      <c r="J63" s="161"/>
      <c r="K63" s="159"/>
      <c r="L63" s="162"/>
    </row>
    <row r="64" spans="1:12" ht="24">
      <c r="A64" s="199"/>
      <c r="B64" s="133"/>
      <c r="C64" s="61"/>
      <c r="D64" s="67"/>
      <c r="E64" s="159"/>
      <c r="F64" s="159"/>
      <c r="G64" s="160"/>
      <c r="H64" s="161"/>
      <c r="I64" s="160"/>
      <c r="J64" s="161"/>
      <c r="K64" s="159"/>
      <c r="L64" s="162"/>
    </row>
    <row r="65" spans="1:12" ht="24">
      <c r="A65" s="204"/>
      <c r="B65" s="133"/>
      <c r="C65" s="61"/>
      <c r="D65" s="67"/>
      <c r="E65" s="159"/>
      <c r="F65" s="159"/>
      <c r="G65" s="160"/>
      <c r="H65" s="161"/>
      <c r="I65" s="160"/>
      <c r="J65" s="161"/>
      <c r="K65" s="159"/>
      <c r="L65" s="162"/>
    </row>
    <row r="66" spans="1:12" ht="24">
      <c r="A66" s="199"/>
      <c r="B66" s="133"/>
      <c r="C66" s="61"/>
      <c r="D66" s="67"/>
      <c r="E66" s="159"/>
      <c r="F66" s="159"/>
      <c r="G66" s="160"/>
      <c r="H66" s="161"/>
      <c r="I66" s="160"/>
      <c r="J66" s="161"/>
      <c r="K66" s="159"/>
      <c r="L66" s="162"/>
    </row>
    <row r="67" spans="1:12" ht="24">
      <c r="A67" s="199"/>
      <c r="B67" s="133"/>
      <c r="C67" s="61"/>
      <c r="D67" s="67"/>
      <c r="E67" s="159"/>
      <c r="F67" s="159"/>
      <c r="G67" s="160"/>
      <c r="H67" s="161"/>
      <c r="I67" s="160"/>
      <c r="J67" s="161"/>
      <c r="K67" s="159"/>
      <c r="L67" s="162"/>
    </row>
    <row r="68" spans="1:12" ht="24">
      <c r="A68" s="199"/>
      <c r="B68" s="133"/>
      <c r="C68" s="61"/>
      <c r="D68" s="67"/>
      <c r="E68" s="159"/>
      <c r="F68" s="159"/>
      <c r="G68" s="160"/>
      <c r="H68" s="161"/>
      <c r="I68" s="160"/>
      <c r="J68" s="161"/>
      <c r="K68" s="159"/>
      <c r="L68" s="162"/>
    </row>
    <row r="69" spans="1:12" ht="24">
      <c r="A69" s="199"/>
      <c r="B69" s="133"/>
      <c r="C69" s="61"/>
      <c r="D69" s="67"/>
      <c r="E69" s="159"/>
      <c r="F69" s="159"/>
      <c r="G69" s="160"/>
      <c r="H69" s="161"/>
      <c r="I69" s="160"/>
      <c r="J69" s="161"/>
      <c r="K69" s="159"/>
      <c r="L69" s="162"/>
    </row>
    <row r="70" spans="1:12" ht="24">
      <c r="A70" s="199"/>
      <c r="B70" s="133"/>
      <c r="C70" s="61"/>
      <c r="D70" s="67"/>
      <c r="E70" s="159"/>
      <c r="F70" s="159"/>
      <c r="G70" s="160"/>
      <c r="H70" s="161"/>
      <c r="I70" s="160"/>
      <c r="J70" s="161"/>
      <c r="K70" s="159"/>
      <c r="L70" s="162"/>
    </row>
    <row r="71" spans="1:12" ht="24">
      <c r="A71" s="199"/>
      <c r="B71" s="133"/>
      <c r="C71" s="61"/>
      <c r="D71" s="67"/>
      <c r="E71" s="159"/>
      <c r="F71" s="159"/>
      <c r="G71" s="160"/>
      <c r="H71" s="161"/>
      <c r="I71" s="160"/>
      <c r="J71" s="161"/>
      <c r="K71" s="159"/>
      <c r="L71" s="162"/>
    </row>
    <row r="72" spans="1:12" ht="24">
      <c r="A72" s="201"/>
      <c r="B72" s="60"/>
      <c r="C72" s="61"/>
      <c r="D72" s="67"/>
      <c r="E72" s="159"/>
      <c r="F72" s="159"/>
      <c r="G72" s="160"/>
      <c r="H72" s="161"/>
      <c r="I72" s="160"/>
      <c r="J72" s="161"/>
      <c r="K72" s="159"/>
      <c r="L72" s="162"/>
    </row>
    <row r="73" spans="1:12" ht="24">
      <c r="A73" s="201"/>
      <c r="B73" s="60"/>
      <c r="C73" s="61"/>
      <c r="D73" s="67"/>
      <c r="E73" s="159"/>
      <c r="F73" s="159"/>
      <c r="G73" s="160"/>
      <c r="H73" s="161"/>
      <c r="I73" s="160"/>
      <c r="J73" s="161"/>
      <c r="K73" s="159"/>
      <c r="L73" s="162"/>
    </row>
    <row r="74" spans="1:12" ht="24.75" thickBot="1">
      <c r="A74" s="201"/>
      <c r="B74" s="60"/>
      <c r="C74" s="61"/>
      <c r="D74" s="67"/>
      <c r="E74" s="159"/>
      <c r="F74" s="159"/>
      <c r="G74" s="160"/>
      <c r="H74" s="161"/>
      <c r="I74" s="160"/>
      <c r="J74" s="161"/>
      <c r="K74" s="159"/>
      <c r="L74" s="162"/>
    </row>
    <row r="75" spans="1:12" ht="24.75" thickTop="1">
      <c r="A75" s="149"/>
      <c r="B75" s="2004" t="s">
        <v>69</v>
      </c>
      <c r="C75" s="2005"/>
      <c r="D75" s="2006"/>
      <c r="E75" s="168"/>
      <c r="F75" s="168"/>
      <c r="G75" s="169"/>
      <c r="H75" s="170"/>
      <c r="I75" s="169"/>
      <c r="J75" s="170"/>
      <c r="K75" s="168"/>
      <c r="L75" s="171"/>
    </row>
    <row r="76" spans="1:12" ht="24">
      <c r="A76" s="204" t="s">
        <v>273</v>
      </c>
      <c r="B76" s="53" t="s">
        <v>93</v>
      </c>
      <c r="C76" s="142"/>
      <c r="D76" s="143"/>
      <c r="E76" s="155"/>
      <c r="F76" s="155"/>
      <c r="G76" s="156"/>
      <c r="H76" s="157"/>
      <c r="I76" s="156"/>
      <c r="J76" s="157"/>
      <c r="K76" s="158"/>
      <c r="L76" s="158"/>
    </row>
    <row r="77" spans="1:12" ht="24">
      <c r="A77" s="205"/>
      <c r="B77" s="144" t="s">
        <v>117</v>
      </c>
      <c r="C77" s="61" t="s">
        <v>125</v>
      </c>
      <c r="D77" s="55"/>
      <c r="E77" s="159">
        <v>0</v>
      </c>
      <c r="F77" s="159" t="s">
        <v>183</v>
      </c>
      <c r="G77" s="160">
        <v>0</v>
      </c>
      <c r="H77" s="161">
        <f>ROUND(E77*G77,2)</f>
        <v>0</v>
      </c>
      <c r="I77" s="160">
        <v>0</v>
      </c>
      <c r="J77" s="161">
        <f>ROUND(E77*I77,2)</f>
        <v>0</v>
      </c>
      <c r="K77" s="159">
        <f>ROUND(H77+J77,2)</f>
        <v>0</v>
      </c>
      <c r="L77" s="162"/>
    </row>
    <row r="78" spans="1:12" ht="24">
      <c r="A78" s="200"/>
      <c r="B78" s="145" t="s">
        <v>118</v>
      </c>
      <c r="C78" s="61" t="s">
        <v>126</v>
      </c>
      <c r="D78" s="62"/>
      <c r="E78" s="158">
        <v>0</v>
      </c>
      <c r="F78" s="158" t="s">
        <v>183</v>
      </c>
      <c r="G78" s="156">
        <v>0</v>
      </c>
      <c r="H78" s="161">
        <f t="shared" ref="H78:H85" si="1">ROUND(E78*G78,2)</f>
        <v>0</v>
      </c>
      <c r="I78" s="160">
        <v>0</v>
      </c>
      <c r="J78" s="161">
        <f t="shared" ref="J78:J85" si="2">ROUND(E78*I78,2)</f>
        <v>0</v>
      </c>
      <c r="K78" s="159">
        <f t="shared" ref="K78:K85" si="3">ROUND(H78+J78,2)</f>
        <v>0</v>
      </c>
      <c r="L78" s="163"/>
    </row>
    <row r="79" spans="1:12" ht="24">
      <c r="A79" s="200"/>
      <c r="B79" s="145" t="s">
        <v>119</v>
      </c>
      <c r="C79" s="61" t="s">
        <v>210</v>
      </c>
      <c r="D79" s="62"/>
      <c r="E79" s="158"/>
      <c r="F79" s="158" t="s">
        <v>183</v>
      </c>
      <c r="G79" s="156">
        <v>76</v>
      </c>
      <c r="H79" s="161">
        <f t="shared" si="1"/>
        <v>0</v>
      </c>
      <c r="I79" s="160">
        <v>82</v>
      </c>
      <c r="J79" s="161">
        <f t="shared" si="2"/>
        <v>0</v>
      </c>
      <c r="K79" s="159">
        <f t="shared" si="3"/>
        <v>0</v>
      </c>
      <c r="L79" s="163"/>
    </row>
    <row r="80" spans="1:12" ht="24">
      <c r="A80" s="200"/>
      <c r="B80" s="145" t="s">
        <v>120</v>
      </c>
      <c r="C80" s="61" t="s">
        <v>211</v>
      </c>
      <c r="D80" s="67"/>
      <c r="E80" s="159">
        <f>11.48</f>
        <v>11.48</v>
      </c>
      <c r="F80" s="159" t="s">
        <v>183</v>
      </c>
      <c r="G80" s="160">
        <v>83</v>
      </c>
      <c r="H80" s="161">
        <f t="shared" si="1"/>
        <v>952.84</v>
      </c>
      <c r="I80" s="160">
        <v>82</v>
      </c>
      <c r="J80" s="161">
        <f t="shared" si="2"/>
        <v>941.36</v>
      </c>
      <c r="K80" s="159">
        <f t="shared" si="3"/>
        <v>1894.2</v>
      </c>
      <c r="L80" s="162"/>
    </row>
    <row r="81" spans="1:19" ht="24">
      <c r="A81" s="200"/>
      <c r="B81" s="145" t="s">
        <v>121</v>
      </c>
      <c r="C81" s="61" t="s">
        <v>212</v>
      </c>
      <c r="D81" s="67"/>
      <c r="E81" s="194"/>
      <c r="F81" s="159" t="s">
        <v>183</v>
      </c>
      <c r="G81" s="160">
        <v>105</v>
      </c>
      <c r="H81" s="161">
        <f t="shared" si="1"/>
        <v>0</v>
      </c>
      <c r="I81" s="160">
        <v>61</v>
      </c>
      <c r="J81" s="161">
        <f t="shared" si="2"/>
        <v>0</v>
      </c>
      <c r="K81" s="159">
        <f t="shared" si="3"/>
        <v>0</v>
      </c>
      <c r="L81" s="162"/>
    </row>
    <row r="82" spans="1:19" ht="24">
      <c r="A82" s="200"/>
      <c r="B82" s="145" t="s">
        <v>122</v>
      </c>
      <c r="C82" s="61" t="s">
        <v>127</v>
      </c>
      <c r="D82" s="67"/>
      <c r="E82" s="194">
        <v>72.75</v>
      </c>
      <c r="F82" s="159" t="s">
        <v>183</v>
      </c>
      <c r="G82" s="160">
        <v>690</v>
      </c>
      <c r="H82" s="161">
        <f t="shared" si="1"/>
        <v>50197.5</v>
      </c>
      <c r="I82" s="160">
        <v>175</v>
      </c>
      <c r="J82" s="161">
        <f t="shared" si="2"/>
        <v>12731.25</v>
      </c>
      <c r="K82" s="159">
        <f t="shared" si="3"/>
        <v>62928.75</v>
      </c>
      <c r="L82" s="162"/>
    </row>
    <row r="83" spans="1:19" ht="24">
      <c r="A83" s="200"/>
      <c r="B83" s="145" t="s">
        <v>123</v>
      </c>
      <c r="C83" s="61" t="s">
        <v>213</v>
      </c>
      <c r="D83" s="67"/>
      <c r="E83" s="194">
        <f>26.7+20.16</f>
        <v>46.86</v>
      </c>
      <c r="F83" s="159" t="s">
        <v>183</v>
      </c>
      <c r="G83" s="160">
        <v>850</v>
      </c>
      <c r="H83" s="161">
        <f t="shared" si="1"/>
        <v>39831</v>
      </c>
      <c r="I83" s="160">
        <v>175</v>
      </c>
      <c r="J83" s="161">
        <f t="shared" si="2"/>
        <v>8200.5</v>
      </c>
      <c r="K83" s="159">
        <f t="shared" si="3"/>
        <v>48031.5</v>
      </c>
      <c r="L83" s="162"/>
    </row>
    <row r="84" spans="1:19" ht="24">
      <c r="A84" s="200"/>
      <c r="B84" s="145" t="s">
        <v>124</v>
      </c>
      <c r="C84" s="61" t="s">
        <v>333</v>
      </c>
      <c r="D84" s="67"/>
      <c r="E84" s="194">
        <f>13+6.5+20</f>
        <v>39.5</v>
      </c>
      <c r="F84" s="159" t="s">
        <v>183</v>
      </c>
      <c r="G84" s="160"/>
      <c r="H84" s="161"/>
      <c r="I84" s="160"/>
      <c r="J84" s="161"/>
      <c r="K84" s="159"/>
      <c r="L84" s="162"/>
    </row>
    <row r="85" spans="1:19" ht="24">
      <c r="A85" s="200"/>
      <c r="B85" s="145" t="s">
        <v>216</v>
      </c>
      <c r="C85" s="61" t="s">
        <v>214</v>
      </c>
      <c r="D85" s="67"/>
      <c r="E85" s="194">
        <v>32.479999999999997</v>
      </c>
      <c r="F85" s="159" t="s">
        <v>183</v>
      </c>
      <c r="G85" s="160">
        <v>2000</v>
      </c>
      <c r="H85" s="161">
        <f t="shared" si="1"/>
        <v>64960</v>
      </c>
      <c r="I85" s="160">
        <v>198</v>
      </c>
      <c r="J85" s="161">
        <f t="shared" si="2"/>
        <v>6431.04</v>
      </c>
      <c r="K85" s="159">
        <f t="shared" si="3"/>
        <v>71391.039999999994</v>
      </c>
      <c r="L85" s="162"/>
    </row>
    <row r="86" spans="1:19" ht="24">
      <c r="A86" s="200"/>
      <c r="B86" s="60"/>
      <c r="C86" s="61" t="s">
        <v>215</v>
      </c>
      <c r="D86" s="67"/>
      <c r="E86" s="194"/>
      <c r="F86" s="159"/>
      <c r="G86" s="160"/>
      <c r="H86" s="161"/>
      <c r="I86" s="160"/>
      <c r="J86" s="161"/>
      <c r="K86" s="159"/>
      <c r="L86" s="162"/>
    </row>
    <row r="87" spans="1:19" ht="24">
      <c r="A87" s="200"/>
      <c r="B87" s="145" t="s">
        <v>219</v>
      </c>
      <c r="C87" s="61" t="s">
        <v>217</v>
      </c>
      <c r="D87" s="67"/>
      <c r="E87" s="194">
        <f>424.29+42.8+9.45+21.6+17.43+18.41+18.41+15.54+12.96+32.4+9.88+67.2+10.8+9.48+65.42+32.8+30.4</f>
        <v>839.26999999999987</v>
      </c>
      <c r="F87" s="159" t="s">
        <v>183</v>
      </c>
      <c r="G87" s="183">
        <f>500+105</f>
        <v>605</v>
      </c>
      <c r="H87" s="161">
        <f>ROUND(E87*G87,2)</f>
        <v>507758.35</v>
      </c>
      <c r="I87" s="160">
        <f>100+61</f>
        <v>161</v>
      </c>
      <c r="J87" s="161">
        <f>ROUND(E87*I87,2)</f>
        <v>135122.47</v>
      </c>
      <c r="K87" s="159">
        <f>ROUND(H87+J87,2)</f>
        <v>642880.81999999995</v>
      </c>
      <c r="L87" s="162"/>
      <c r="S87" s="195">
        <f>SUM(E80:E90)</f>
        <v>1426.34</v>
      </c>
    </row>
    <row r="88" spans="1:19" ht="24">
      <c r="A88" s="200"/>
      <c r="B88" s="60"/>
      <c r="C88" s="61" t="s">
        <v>218</v>
      </c>
      <c r="D88" s="67"/>
      <c r="E88" s="194"/>
      <c r="F88" s="159"/>
      <c r="G88" s="160"/>
      <c r="H88" s="161"/>
      <c r="I88" s="160"/>
      <c r="J88" s="161"/>
      <c r="K88" s="159"/>
      <c r="L88" s="162"/>
    </row>
    <row r="89" spans="1:19" ht="24">
      <c r="A89" s="200"/>
      <c r="B89" s="145" t="s">
        <v>221</v>
      </c>
      <c r="C89" s="61" t="s">
        <v>220</v>
      </c>
      <c r="D89" s="67"/>
      <c r="E89" s="194"/>
      <c r="F89" s="159" t="s">
        <v>183</v>
      </c>
      <c r="G89" s="183">
        <f>250+105</f>
        <v>355</v>
      </c>
      <c r="H89" s="161">
        <f t="shared" ref="H89:H91" si="4">ROUND(E89*G89,2)</f>
        <v>0</v>
      </c>
      <c r="I89" s="160">
        <f>50+61</f>
        <v>111</v>
      </c>
      <c r="J89" s="161">
        <f t="shared" ref="J89:J91" si="5">ROUND(E89*I89,2)</f>
        <v>0</v>
      </c>
      <c r="K89" s="159">
        <f t="shared" ref="K89" si="6">ROUND(H89+J89,2)</f>
        <v>0</v>
      </c>
      <c r="L89" s="162"/>
    </row>
    <row r="90" spans="1:19" ht="24">
      <c r="A90" s="200"/>
      <c r="B90" s="145" t="s">
        <v>285</v>
      </c>
      <c r="C90" s="61" t="s">
        <v>294</v>
      </c>
      <c r="D90" s="67"/>
      <c r="E90" s="194">
        <v>384</v>
      </c>
      <c r="F90" s="159" t="s">
        <v>183</v>
      </c>
      <c r="G90" s="160">
        <v>320</v>
      </c>
      <c r="H90" s="161">
        <f t="shared" si="4"/>
        <v>122880</v>
      </c>
      <c r="I90" s="160">
        <v>35</v>
      </c>
      <c r="J90" s="161">
        <f t="shared" si="5"/>
        <v>13440</v>
      </c>
      <c r="K90" s="159">
        <f t="shared" ref="K90:K91" si="7">H90+J90</f>
        <v>136320</v>
      </c>
      <c r="L90" s="162"/>
    </row>
    <row r="91" spans="1:19" ht="24">
      <c r="A91" s="201"/>
      <c r="B91" s="60" t="s">
        <v>134</v>
      </c>
      <c r="C91" s="61" t="s">
        <v>233</v>
      </c>
      <c r="D91" s="61"/>
      <c r="E91" s="184"/>
      <c r="F91" s="185" t="s">
        <v>183</v>
      </c>
      <c r="G91" s="186">
        <v>120</v>
      </c>
      <c r="H91" s="161">
        <f t="shared" si="4"/>
        <v>0</v>
      </c>
      <c r="I91" s="190">
        <v>45</v>
      </c>
      <c r="J91" s="159">
        <f t="shared" si="5"/>
        <v>0</v>
      </c>
      <c r="K91" s="159">
        <f t="shared" si="7"/>
        <v>0</v>
      </c>
      <c r="L91" s="187"/>
    </row>
    <row r="92" spans="1:19" ht="24">
      <c r="A92" s="201"/>
      <c r="B92" s="188" t="s">
        <v>134</v>
      </c>
      <c r="C92" s="189" t="s">
        <v>253</v>
      </c>
      <c r="E92" s="213">
        <f>11.1+16</f>
        <v>27.1</v>
      </c>
      <c r="F92" s="185" t="s">
        <v>183</v>
      </c>
      <c r="G92" s="186">
        <v>120</v>
      </c>
      <c r="H92" s="161">
        <f>ROUND(E92*G92,2)</f>
        <v>3252</v>
      </c>
      <c r="I92" s="190">
        <v>45</v>
      </c>
      <c r="J92" s="159">
        <f>ROUND(E92*I92,2)</f>
        <v>1219.5</v>
      </c>
      <c r="K92" s="159">
        <f>H92+J92</f>
        <v>4471.5</v>
      </c>
      <c r="L92" s="162"/>
    </row>
    <row r="93" spans="1:19" ht="24">
      <c r="A93" s="201"/>
      <c r="B93" s="60"/>
      <c r="C93" s="61"/>
      <c r="D93" s="61"/>
      <c r="E93" s="213"/>
      <c r="F93" s="159"/>
      <c r="G93" s="160"/>
      <c r="H93" s="161"/>
      <c r="I93" s="160"/>
      <c r="J93" s="161"/>
      <c r="K93" s="159"/>
      <c r="L93" s="162"/>
    </row>
    <row r="94" spans="1:19" ht="24">
      <c r="A94" s="201"/>
      <c r="B94" s="60"/>
      <c r="C94" s="61"/>
      <c r="D94" s="61"/>
      <c r="E94" s="213"/>
      <c r="F94" s="159"/>
      <c r="G94" s="160"/>
      <c r="H94" s="161"/>
      <c r="I94" s="160"/>
      <c r="J94" s="161"/>
      <c r="K94" s="159"/>
      <c r="L94" s="162"/>
    </row>
    <row r="95" spans="1:19" ht="24">
      <c r="A95" s="201"/>
      <c r="B95" s="60"/>
      <c r="C95" s="61"/>
      <c r="D95" s="61"/>
      <c r="E95" s="213"/>
      <c r="F95" s="159"/>
      <c r="G95" s="160"/>
      <c r="H95" s="161"/>
      <c r="I95" s="160"/>
      <c r="J95" s="161"/>
      <c r="K95" s="159"/>
      <c r="L95" s="162"/>
    </row>
    <row r="96" spans="1:19" ht="24.75" thickBot="1">
      <c r="A96" s="201"/>
      <c r="B96" s="60"/>
      <c r="C96" s="61"/>
      <c r="D96" s="67"/>
      <c r="E96" s="159"/>
      <c r="F96" s="159"/>
      <c r="G96" s="160"/>
      <c r="H96" s="161"/>
      <c r="I96" s="160"/>
      <c r="J96" s="161"/>
      <c r="K96" s="159"/>
      <c r="L96" s="162"/>
    </row>
    <row r="97" spans="1:12" ht="24.75" thickTop="1">
      <c r="A97" s="149"/>
      <c r="B97" s="1981" t="s">
        <v>69</v>
      </c>
      <c r="C97" s="1982"/>
      <c r="D97" s="1983"/>
      <c r="E97" s="164"/>
      <c r="F97" s="164"/>
      <c r="G97" s="165"/>
      <c r="H97" s="166"/>
      <c r="I97" s="165"/>
      <c r="J97" s="166"/>
      <c r="K97" s="164">
        <f>SUM(K77:K96)</f>
        <v>967917.80999999994</v>
      </c>
      <c r="L97" s="167"/>
    </row>
    <row r="98" spans="1:12" ht="24">
      <c r="A98" s="199" t="s">
        <v>189</v>
      </c>
      <c r="B98" s="146" t="s">
        <v>109</v>
      </c>
      <c r="C98" s="142"/>
      <c r="D98" s="143"/>
      <c r="E98" s="155"/>
      <c r="F98" s="155"/>
      <c r="G98" s="156"/>
      <c r="H98" s="157"/>
      <c r="I98" s="156"/>
      <c r="J98" s="157"/>
      <c r="K98" s="158"/>
      <c r="L98" s="158"/>
    </row>
    <row r="99" spans="1:12" ht="24">
      <c r="A99" s="205"/>
      <c r="B99" s="144" t="s">
        <v>117</v>
      </c>
      <c r="C99" s="61" t="s">
        <v>125</v>
      </c>
      <c r="D99" s="55"/>
      <c r="E99" s="159">
        <v>0</v>
      </c>
      <c r="F99" s="159" t="s">
        <v>183</v>
      </c>
      <c r="G99" s="160">
        <v>0</v>
      </c>
      <c r="H99" s="161">
        <f>ROUND(E99*G99,2)</f>
        <v>0</v>
      </c>
      <c r="I99" s="160">
        <v>0</v>
      </c>
      <c r="J99" s="161">
        <f>ROUND(E99*I99,2)</f>
        <v>0</v>
      </c>
      <c r="K99" s="159">
        <f>ROUND(H99+J99,2)</f>
        <v>0</v>
      </c>
      <c r="L99" s="162"/>
    </row>
    <row r="100" spans="1:12" ht="24">
      <c r="A100" s="200"/>
      <c r="B100" s="145" t="s">
        <v>128</v>
      </c>
      <c r="C100" s="61" t="s">
        <v>135</v>
      </c>
      <c r="D100" s="62"/>
      <c r="E100" s="220">
        <v>433.44</v>
      </c>
      <c r="F100" s="158" t="s">
        <v>183</v>
      </c>
      <c r="G100" s="156">
        <v>0</v>
      </c>
      <c r="H100" s="161">
        <f>ROUND(E100*G100,2)</f>
        <v>0</v>
      </c>
      <c r="I100" s="156">
        <v>0</v>
      </c>
      <c r="J100" s="161">
        <f>ROUND(E100*I100,2)</f>
        <v>0</v>
      </c>
      <c r="K100" s="159">
        <f>ROUND(H100+J100,2)</f>
        <v>0</v>
      </c>
      <c r="L100" s="163"/>
    </row>
    <row r="101" spans="1:12" ht="24">
      <c r="A101" s="200"/>
      <c r="B101" s="145" t="s">
        <v>129</v>
      </c>
      <c r="C101" s="61" t="s">
        <v>222</v>
      </c>
      <c r="D101" s="62"/>
      <c r="E101" s="220">
        <f>((3.8+4.95+0.6+3.8+6.6+3.6+0.6+3.2+1.5+1.5+1+1.8+2.1+2.9+6.5+1.1+2.4+2.4+1.1+2.4+1.1+2.4)*(4.2))+(31.59)</f>
        <v>272.45999999999998</v>
      </c>
      <c r="F101" s="158" t="s">
        <v>183</v>
      </c>
      <c r="G101" s="156">
        <v>156</v>
      </c>
      <c r="H101" s="161">
        <f>ROUND(E101*G101,2)</f>
        <v>42503.76</v>
      </c>
      <c r="I101" s="156">
        <v>89</v>
      </c>
      <c r="J101" s="161">
        <f>ROUND(E101*I101,2)</f>
        <v>24248.94</v>
      </c>
      <c r="K101" s="159">
        <f>ROUND(H101+J101,2)</f>
        <v>66752.7</v>
      </c>
      <c r="L101" s="163"/>
    </row>
    <row r="102" spans="1:12" ht="24">
      <c r="A102" s="200"/>
      <c r="B102" s="145" t="s">
        <v>130</v>
      </c>
      <c r="C102" s="61" t="s">
        <v>223</v>
      </c>
      <c r="D102" s="67"/>
      <c r="E102" s="194">
        <f>((2.9+6.5)*(4.2))+((8.6+5.5)*5.9)</f>
        <v>122.67</v>
      </c>
      <c r="F102" s="159" t="s">
        <v>183</v>
      </c>
      <c r="G102" s="160">
        <v>324</v>
      </c>
      <c r="H102" s="161">
        <f>ROUND(E102*G102,2)</f>
        <v>39745.08</v>
      </c>
      <c r="I102" s="156">
        <v>144</v>
      </c>
      <c r="J102" s="161">
        <f>ROUND(E102*I102,2)</f>
        <v>17664.48</v>
      </c>
      <c r="K102" s="159">
        <f>ROUND(H102+J102,2)</f>
        <v>57409.56</v>
      </c>
      <c r="L102" s="162"/>
    </row>
    <row r="103" spans="1:12" ht="24">
      <c r="A103" s="200"/>
      <c r="B103" s="145" t="s">
        <v>224</v>
      </c>
      <c r="C103" s="61" t="s">
        <v>225</v>
      </c>
      <c r="D103" s="67"/>
      <c r="E103" s="194">
        <f>(8+5.3+5.8+2.35+3.5+6+1.25+2.4+0.3+3.1+7.4+7.9+4.05+7.45+3.52+3.02+7.17+7.4+2.5+3.95+7.4+16+3.8+3.75)*4.2</f>
        <v>517.90200000000004</v>
      </c>
      <c r="F103" s="159" t="s">
        <v>183</v>
      </c>
      <c r="G103" s="160">
        <v>798</v>
      </c>
      <c r="H103" s="161">
        <f t="shared" ref="H103:H107" si="8">ROUND(E103*G103,2)</f>
        <v>413285.8</v>
      </c>
      <c r="I103" s="156">
        <v>130</v>
      </c>
      <c r="J103" s="161">
        <f t="shared" ref="J103:J107" si="9">ROUND(E103*I103,2)</f>
        <v>67327.259999999995</v>
      </c>
      <c r="K103" s="159">
        <f t="shared" ref="K103:K107" si="10">ROUND(H103+J103,2)</f>
        <v>480613.06</v>
      </c>
      <c r="L103" s="162"/>
    </row>
    <row r="104" spans="1:12" ht="24">
      <c r="A104" s="200"/>
      <c r="B104" s="145"/>
      <c r="C104" s="61" t="s">
        <v>226</v>
      </c>
      <c r="D104" s="67"/>
      <c r="E104" s="194"/>
      <c r="F104" s="159"/>
      <c r="G104" s="160"/>
      <c r="H104" s="161"/>
      <c r="I104" s="156"/>
      <c r="J104" s="161"/>
      <c r="K104" s="159"/>
      <c r="L104" s="162"/>
    </row>
    <row r="105" spans="1:12" ht="24">
      <c r="A105" s="200"/>
      <c r="B105" s="145" t="s">
        <v>131</v>
      </c>
      <c r="C105" s="61" t="s">
        <v>228</v>
      </c>
      <c r="D105" s="67"/>
      <c r="E105" s="194">
        <f>((6+5.3+3.1+3.1+8+4.4+7.4+3.95+2.4+3.1+2.8+15.4+8+0.6+1.5+1.8+3.6+4.25)*(4.2))+(328.3)+(141.12)+(328.3)+(141.12)+147.58</f>
        <v>1442.1599999999999</v>
      </c>
      <c r="F105" s="159" t="s">
        <v>183</v>
      </c>
      <c r="G105" s="160">
        <v>225</v>
      </c>
      <c r="H105" s="161">
        <f t="shared" si="8"/>
        <v>324486</v>
      </c>
      <c r="I105" s="156">
        <v>55</v>
      </c>
      <c r="J105" s="161">
        <f t="shared" si="9"/>
        <v>79318.8</v>
      </c>
      <c r="K105" s="159">
        <f t="shared" si="10"/>
        <v>403804.8</v>
      </c>
      <c r="L105" s="162"/>
    </row>
    <row r="106" spans="1:12" ht="24">
      <c r="A106" s="200"/>
      <c r="B106" s="145" t="s">
        <v>132</v>
      </c>
      <c r="C106" s="61" t="s">
        <v>229</v>
      </c>
      <c r="D106" s="67"/>
      <c r="E106" s="194">
        <f>8*4.2</f>
        <v>33.6</v>
      </c>
      <c r="F106" s="159" t="s">
        <v>183</v>
      </c>
      <c r="G106" s="160">
        <v>375</v>
      </c>
      <c r="H106" s="161">
        <f t="shared" si="8"/>
        <v>12600</v>
      </c>
      <c r="I106" s="156">
        <v>55</v>
      </c>
      <c r="J106" s="161">
        <f t="shared" si="9"/>
        <v>1848</v>
      </c>
      <c r="K106" s="159">
        <f t="shared" si="10"/>
        <v>14448</v>
      </c>
      <c r="L106" s="162"/>
    </row>
    <row r="107" spans="1:12" ht="24">
      <c r="A107" s="200"/>
      <c r="B107" s="145" t="s">
        <v>133</v>
      </c>
      <c r="C107" s="61" t="s">
        <v>227</v>
      </c>
      <c r="D107" s="67"/>
      <c r="E107" s="194">
        <v>0</v>
      </c>
      <c r="F107" s="159" t="s">
        <v>183</v>
      </c>
      <c r="G107" s="160">
        <v>2000</v>
      </c>
      <c r="H107" s="161">
        <f t="shared" si="8"/>
        <v>0</v>
      </c>
      <c r="I107" s="156">
        <v>200</v>
      </c>
      <c r="J107" s="161">
        <f t="shared" si="9"/>
        <v>0</v>
      </c>
      <c r="K107" s="159">
        <f t="shared" si="10"/>
        <v>0</v>
      </c>
      <c r="L107" s="162"/>
    </row>
    <row r="108" spans="1:12" ht="24">
      <c r="A108" s="200"/>
      <c r="B108" s="145" t="s">
        <v>134</v>
      </c>
      <c r="C108" s="61" t="s">
        <v>136</v>
      </c>
      <c r="D108" s="67"/>
      <c r="E108" s="194"/>
      <c r="F108" s="159"/>
      <c r="G108" s="160"/>
      <c r="H108" s="161"/>
      <c r="I108" s="160"/>
      <c r="J108" s="161"/>
      <c r="K108" s="159"/>
      <c r="L108" s="162"/>
    </row>
    <row r="109" spans="1:12" ht="24">
      <c r="A109" s="200"/>
      <c r="B109" s="60"/>
      <c r="C109" s="61" t="s">
        <v>137</v>
      </c>
      <c r="D109" s="67"/>
      <c r="E109" s="194">
        <f>(E101+E105)*0.8</f>
        <v>1371.6959999999999</v>
      </c>
      <c r="F109" s="159" t="s">
        <v>184</v>
      </c>
      <c r="G109" s="160">
        <v>70</v>
      </c>
      <c r="H109" s="161">
        <f t="shared" ref="H109:H111" si="11">ROUND(E109*G109,2)</f>
        <v>96018.72</v>
      </c>
      <c r="I109" s="156">
        <v>35</v>
      </c>
      <c r="J109" s="161">
        <f t="shared" ref="J109:J111" si="12">ROUND(E109*I109,2)</f>
        <v>48009.36</v>
      </c>
      <c r="K109" s="159">
        <f t="shared" ref="K109:K111" si="13">ROUND(H109+J109,2)</f>
        <v>144028.07999999999</v>
      </c>
      <c r="L109" s="162"/>
    </row>
    <row r="110" spans="1:12" ht="24">
      <c r="A110" s="200"/>
      <c r="B110" s="60"/>
      <c r="C110" s="61" t="s">
        <v>230</v>
      </c>
      <c r="D110" s="67"/>
      <c r="E110" s="194">
        <f>E106*0.8</f>
        <v>26.880000000000003</v>
      </c>
      <c r="F110" s="159" t="s">
        <v>184</v>
      </c>
      <c r="G110" s="160">
        <v>90</v>
      </c>
      <c r="H110" s="161">
        <f t="shared" si="11"/>
        <v>2419.1999999999998</v>
      </c>
      <c r="I110" s="156">
        <v>40</v>
      </c>
      <c r="J110" s="161">
        <f t="shared" si="12"/>
        <v>1075.2</v>
      </c>
      <c r="K110" s="159">
        <f t="shared" si="13"/>
        <v>3494.4</v>
      </c>
      <c r="L110" s="162"/>
    </row>
    <row r="111" spans="1:12" ht="24">
      <c r="A111" s="200"/>
      <c r="B111" s="60"/>
      <c r="C111" s="61" t="s">
        <v>138</v>
      </c>
      <c r="D111" s="67"/>
      <c r="E111" s="194">
        <f>E102*0.8</f>
        <v>98.13600000000001</v>
      </c>
      <c r="F111" s="159" t="s">
        <v>184</v>
      </c>
      <c r="G111" s="160">
        <v>115</v>
      </c>
      <c r="H111" s="161">
        <f t="shared" si="11"/>
        <v>11285.64</v>
      </c>
      <c r="I111" s="156">
        <v>40</v>
      </c>
      <c r="J111" s="161">
        <f t="shared" si="12"/>
        <v>3925.44</v>
      </c>
      <c r="K111" s="159">
        <f t="shared" si="13"/>
        <v>15211.08</v>
      </c>
      <c r="L111" s="162"/>
    </row>
    <row r="112" spans="1:12" ht="24">
      <c r="A112" s="200"/>
      <c r="B112" s="60"/>
      <c r="C112" s="61"/>
      <c r="D112" s="67"/>
      <c r="E112" s="194"/>
      <c r="F112" s="159"/>
      <c r="G112" s="160"/>
      <c r="H112" s="161"/>
      <c r="I112" s="160"/>
      <c r="J112" s="161"/>
      <c r="K112" s="159"/>
      <c r="L112" s="162"/>
    </row>
    <row r="113" spans="1:12" ht="24">
      <c r="A113" s="201"/>
      <c r="B113" s="60"/>
      <c r="C113" s="61"/>
      <c r="D113" s="67"/>
      <c r="E113" s="159"/>
      <c r="F113" s="159"/>
      <c r="G113" s="160"/>
      <c r="H113" s="161"/>
      <c r="I113" s="160"/>
      <c r="J113" s="161"/>
      <c r="K113" s="159"/>
      <c r="L113" s="162"/>
    </row>
    <row r="114" spans="1:12" ht="24">
      <c r="A114" s="201"/>
      <c r="B114" s="60"/>
      <c r="C114" s="61"/>
      <c r="D114" s="67"/>
      <c r="E114" s="159"/>
      <c r="F114" s="159"/>
      <c r="G114" s="160"/>
      <c r="H114" s="161"/>
      <c r="I114" s="160"/>
      <c r="J114" s="161"/>
      <c r="K114" s="159"/>
      <c r="L114" s="162"/>
    </row>
    <row r="115" spans="1:12" ht="24">
      <c r="A115" s="201"/>
      <c r="B115" s="60"/>
      <c r="C115" s="61"/>
      <c r="D115" s="67"/>
      <c r="E115" s="159"/>
      <c r="F115" s="159"/>
      <c r="G115" s="160"/>
      <c r="H115" s="161"/>
      <c r="I115" s="160"/>
      <c r="J115" s="161"/>
      <c r="K115" s="159"/>
      <c r="L115" s="162"/>
    </row>
    <row r="116" spans="1:12" ht="24">
      <c r="A116" s="201"/>
      <c r="B116" s="60"/>
      <c r="C116" s="61"/>
      <c r="D116" s="67"/>
      <c r="E116" s="159"/>
      <c r="F116" s="159"/>
      <c r="G116" s="160"/>
      <c r="H116" s="161"/>
      <c r="I116" s="160"/>
      <c r="J116" s="161"/>
      <c r="K116" s="159"/>
      <c r="L116" s="162"/>
    </row>
    <row r="117" spans="1:12" ht="24">
      <c r="A117" s="201"/>
      <c r="B117" s="60"/>
      <c r="C117" s="61"/>
      <c r="D117" s="67"/>
      <c r="E117" s="159"/>
      <c r="F117" s="159"/>
      <c r="G117" s="160"/>
      <c r="H117" s="161"/>
      <c r="I117" s="160"/>
      <c r="J117" s="161"/>
      <c r="K117" s="159"/>
      <c r="L117" s="162"/>
    </row>
    <row r="118" spans="1:12" ht="24.75" thickBot="1">
      <c r="A118" s="201"/>
      <c r="B118" s="60"/>
      <c r="C118" s="61"/>
      <c r="D118" s="67"/>
      <c r="E118" s="159"/>
      <c r="F118" s="159"/>
      <c r="G118" s="160"/>
      <c r="H118" s="161"/>
      <c r="I118" s="160"/>
      <c r="J118" s="161"/>
      <c r="K118" s="159"/>
      <c r="L118" s="162"/>
    </row>
    <row r="119" spans="1:12" ht="24.75" thickTop="1">
      <c r="A119" s="149"/>
      <c r="B119" s="1981" t="s">
        <v>69</v>
      </c>
      <c r="C119" s="1982"/>
      <c r="D119" s="1983"/>
      <c r="E119" s="164"/>
      <c r="F119" s="164"/>
      <c r="G119" s="165"/>
      <c r="H119" s="166"/>
      <c r="I119" s="165"/>
      <c r="J119" s="166"/>
      <c r="K119" s="164">
        <f>SUM(K99:K118)</f>
        <v>1185761.68</v>
      </c>
      <c r="L119" s="167"/>
    </row>
    <row r="120" spans="1:12" ht="24">
      <c r="A120" s="206" t="s">
        <v>190</v>
      </c>
      <c r="B120" s="146" t="s">
        <v>110</v>
      </c>
      <c r="C120" s="142"/>
      <c r="D120" s="143"/>
      <c r="E120" s="155"/>
      <c r="F120" s="155"/>
      <c r="G120" s="156"/>
      <c r="H120" s="157"/>
      <c r="I120" s="156"/>
      <c r="J120" s="157"/>
      <c r="K120" s="158"/>
      <c r="L120" s="158"/>
    </row>
    <row r="121" spans="1:12" ht="24">
      <c r="A121" s="205"/>
      <c r="B121" s="144" t="s">
        <v>117</v>
      </c>
      <c r="C121" s="61" t="s">
        <v>125</v>
      </c>
      <c r="D121" s="55"/>
      <c r="E121" s="159">
        <v>0</v>
      </c>
      <c r="F121" s="159" t="s">
        <v>183</v>
      </c>
      <c r="G121" s="160">
        <v>0</v>
      </c>
      <c r="H121" s="161">
        <f t="shared" ref="H121" si="14">ROUND(E121*G121,2)</f>
        <v>0</v>
      </c>
      <c r="I121" s="156">
        <v>0</v>
      </c>
      <c r="J121" s="161">
        <f t="shared" ref="J121" si="15">ROUND(E121*I121,2)</f>
        <v>0</v>
      </c>
      <c r="K121" s="159">
        <f t="shared" ref="K121" si="16">ROUND(H121+J121,2)</f>
        <v>0</v>
      </c>
      <c r="L121" s="162"/>
    </row>
    <row r="122" spans="1:12" ht="24">
      <c r="A122" s="200"/>
      <c r="B122" s="145" t="s">
        <v>139</v>
      </c>
      <c r="C122" s="61" t="s">
        <v>140</v>
      </c>
      <c r="D122" s="62"/>
      <c r="E122" s="220">
        <v>0</v>
      </c>
      <c r="F122" s="158" t="s">
        <v>183</v>
      </c>
      <c r="G122" s="156">
        <v>55</v>
      </c>
      <c r="H122" s="161">
        <f t="shared" ref="H122:H128" si="17">ROUND(E122*G122,2)</f>
        <v>0</v>
      </c>
      <c r="I122" s="156">
        <v>30</v>
      </c>
      <c r="J122" s="161">
        <f t="shared" ref="J122:J128" si="18">ROUND(E122*I122,2)</f>
        <v>0</v>
      </c>
      <c r="K122" s="159">
        <f t="shared" ref="K122:K128" si="19">ROUND(H122+J122,2)</f>
        <v>0</v>
      </c>
      <c r="L122" s="191"/>
    </row>
    <row r="123" spans="1:12" ht="24">
      <c r="A123" s="200"/>
      <c r="B123" s="145" t="s">
        <v>141</v>
      </c>
      <c r="C123" s="61" t="s">
        <v>142</v>
      </c>
      <c r="D123" s="62"/>
      <c r="E123" s="220">
        <f>(E148+E146+E145+E144)*4.2+(161.28)+343.36</f>
        <v>3056.1400000000003</v>
      </c>
      <c r="F123" s="158" t="s">
        <v>183</v>
      </c>
      <c r="G123" s="156">
        <v>50</v>
      </c>
      <c r="H123" s="161">
        <f t="shared" si="17"/>
        <v>152807</v>
      </c>
      <c r="I123" s="156">
        <v>30</v>
      </c>
      <c r="J123" s="161">
        <f t="shared" si="18"/>
        <v>91684.2</v>
      </c>
      <c r="K123" s="159">
        <f t="shared" si="19"/>
        <v>244491.2</v>
      </c>
      <c r="L123" s="163"/>
    </row>
    <row r="124" spans="1:12" ht="24">
      <c r="A124" s="200"/>
      <c r="B124" s="145" t="s">
        <v>143</v>
      </c>
      <c r="C124" s="224" t="s">
        <v>332</v>
      </c>
      <c r="D124" s="67"/>
      <c r="E124" s="194">
        <f>83.33+167.58</f>
        <v>250.91000000000003</v>
      </c>
      <c r="F124" s="159" t="s">
        <v>183</v>
      </c>
      <c r="G124" s="160">
        <v>430</v>
      </c>
      <c r="H124" s="161">
        <f t="shared" si="17"/>
        <v>107891.3</v>
      </c>
      <c r="I124" s="156">
        <v>138</v>
      </c>
      <c r="J124" s="161">
        <f t="shared" si="18"/>
        <v>34625.58</v>
      </c>
      <c r="K124" s="159">
        <f t="shared" si="19"/>
        <v>142516.88</v>
      </c>
      <c r="L124" s="162"/>
    </row>
    <row r="125" spans="1:12" ht="24">
      <c r="A125" s="200"/>
      <c r="B125" s="145" t="s">
        <v>143</v>
      </c>
      <c r="C125" s="224" t="s">
        <v>334</v>
      </c>
      <c r="D125" s="67"/>
      <c r="E125" s="194">
        <f>43.44+31.5+1.44+12.6</f>
        <v>88.97999999999999</v>
      </c>
      <c r="F125" s="159" t="s">
        <v>183</v>
      </c>
      <c r="G125" s="160"/>
      <c r="H125" s="161"/>
      <c r="I125" s="156"/>
      <c r="J125" s="161"/>
      <c r="K125" s="159"/>
      <c r="L125" s="162"/>
    </row>
    <row r="126" spans="1:12" ht="24">
      <c r="A126" s="200"/>
      <c r="B126" s="60" t="s">
        <v>134</v>
      </c>
      <c r="C126" s="61" t="s">
        <v>231</v>
      </c>
      <c r="D126" s="67"/>
      <c r="E126" s="194">
        <f>E123</f>
        <v>3056.1400000000003</v>
      </c>
      <c r="F126" s="159" t="s">
        <v>183</v>
      </c>
      <c r="G126" s="160">
        <v>58</v>
      </c>
      <c r="H126" s="161">
        <f t="shared" si="17"/>
        <v>177256.12</v>
      </c>
      <c r="I126" s="156">
        <v>82</v>
      </c>
      <c r="J126" s="161">
        <f t="shared" si="18"/>
        <v>250603.48</v>
      </c>
      <c r="K126" s="159">
        <f t="shared" si="19"/>
        <v>427859.6</v>
      </c>
      <c r="L126" s="162"/>
    </row>
    <row r="127" spans="1:12" ht="24">
      <c r="A127" s="200"/>
      <c r="B127" s="60" t="s">
        <v>134</v>
      </c>
      <c r="C127" s="61" t="s">
        <v>232</v>
      </c>
      <c r="D127" s="67"/>
      <c r="E127" s="194">
        <v>0</v>
      </c>
      <c r="F127" s="159" t="s">
        <v>183</v>
      </c>
      <c r="G127" s="160">
        <v>58</v>
      </c>
      <c r="H127" s="161">
        <f t="shared" si="17"/>
        <v>0</v>
      </c>
      <c r="I127" s="156">
        <v>82</v>
      </c>
      <c r="J127" s="161">
        <f t="shared" si="18"/>
        <v>0</v>
      </c>
      <c r="K127" s="159">
        <f t="shared" si="19"/>
        <v>0</v>
      </c>
      <c r="L127" s="191"/>
    </row>
    <row r="128" spans="1:12" ht="24">
      <c r="A128" s="200"/>
      <c r="B128" s="60" t="s">
        <v>134</v>
      </c>
      <c r="C128" s="61" t="s">
        <v>144</v>
      </c>
      <c r="D128" s="67"/>
      <c r="E128" s="194">
        <f>E100</f>
        <v>433.44</v>
      </c>
      <c r="F128" s="159" t="s">
        <v>183</v>
      </c>
      <c r="G128" s="160">
        <v>63</v>
      </c>
      <c r="H128" s="161">
        <f t="shared" si="17"/>
        <v>27306.720000000001</v>
      </c>
      <c r="I128" s="156">
        <v>100</v>
      </c>
      <c r="J128" s="161">
        <f t="shared" si="18"/>
        <v>43344</v>
      </c>
      <c r="K128" s="159">
        <f t="shared" si="19"/>
        <v>70650.720000000001</v>
      </c>
      <c r="L128" s="162"/>
    </row>
    <row r="129" spans="1:12" ht="24">
      <c r="A129" s="200"/>
      <c r="B129" s="60"/>
      <c r="C129" s="61"/>
      <c r="D129" s="67"/>
      <c r="E129" s="159"/>
      <c r="F129" s="159"/>
      <c r="G129" s="160"/>
      <c r="H129" s="161"/>
      <c r="I129" s="160"/>
      <c r="J129" s="161"/>
      <c r="K129" s="159"/>
      <c r="L129" s="162"/>
    </row>
    <row r="130" spans="1:12" ht="24">
      <c r="A130" s="200"/>
      <c r="B130" s="60"/>
      <c r="C130" s="61"/>
      <c r="D130" s="67"/>
      <c r="E130" s="159"/>
      <c r="F130" s="159"/>
      <c r="G130" s="160"/>
      <c r="H130" s="161"/>
      <c r="I130" s="160"/>
      <c r="J130" s="161"/>
      <c r="K130" s="159"/>
      <c r="L130" s="162"/>
    </row>
    <row r="131" spans="1:12" ht="24">
      <c r="A131" s="200"/>
      <c r="B131" s="60"/>
      <c r="C131" s="61"/>
      <c r="D131" s="67"/>
      <c r="E131" s="159"/>
      <c r="F131" s="159"/>
      <c r="G131" s="160"/>
      <c r="H131" s="161"/>
      <c r="I131" s="160"/>
      <c r="J131" s="161"/>
      <c r="K131" s="159"/>
      <c r="L131" s="162"/>
    </row>
    <row r="132" spans="1:12" ht="24">
      <c r="A132" s="200"/>
      <c r="B132" s="60"/>
      <c r="C132" s="61"/>
      <c r="D132" s="67"/>
      <c r="E132" s="159"/>
      <c r="F132" s="159"/>
      <c r="G132" s="160"/>
      <c r="H132" s="161"/>
      <c r="I132" s="160"/>
      <c r="J132" s="161"/>
      <c r="K132" s="159"/>
      <c r="L132" s="162"/>
    </row>
    <row r="133" spans="1:12" ht="24">
      <c r="A133" s="200"/>
      <c r="B133" s="60"/>
      <c r="C133" s="61"/>
      <c r="D133" s="67"/>
      <c r="E133" s="159"/>
      <c r="F133" s="159"/>
      <c r="G133" s="160"/>
      <c r="H133" s="161"/>
      <c r="I133" s="160"/>
      <c r="J133" s="161"/>
      <c r="K133" s="159"/>
      <c r="L133" s="162"/>
    </row>
    <row r="134" spans="1:12" ht="24">
      <c r="A134" s="200"/>
      <c r="B134" s="60"/>
      <c r="C134" s="61"/>
      <c r="D134" s="67"/>
      <c r="E134" s="159"/>
      <c r="F134" s="159"/>
      <c r="G134" s="160"/>
      <c r="H134" s="161"/>
      <c r="I134" s="160"/>
      <c r="J134" s="161"/>
      <c r="K134" s="159"/>
      <c r="L134" s="162"/>
    </row>
    <row r="135" spans="1:12" ht="24">
      <c r="A135" s="200"/>
      <c r="B135" s="60"/>
      <c r="C135" s="61"/>
      <c r="D135" s="67"/>
      <c r="E135" s="159"/>
      <c r="F135" s="159"/>
      <c r="G135" s="160"/>
      <c r="H135" s="161"/>
      <c r="I135" s="160"/>
      <c r="J135" s="161"/>
      <c r="K135" s="159"/>
      <c r="L135" s="162"/>
    </row>
    <row r="136" spans="1:12" ht="24">
      <c r="A136" s="201"/>
      <c r="B136" s="60"/>
      <c r="C136" s="61"/>
      <c r="D136" s="67"/>
      <c r="E136" s="159"/>
      <c r="F136" s="159"/>
      <c r="G136" s="160"/>
      <c r="H136" s="161"/>
      <c r="I136" s="160"/>
      <c r="J136" s="161"/>
      <c r="K136" s="159"/>
      <c r="L136" s="162"/>
    </row>
    <row r="137" spans="1:12" ht="24">
      <c r="A137" s="201"/>
      <c r="B137" s="60"/>
      <c r="C137" s="61"/>
      <c r="D137" s="67"/>
      <c r="E137" s="159"/>
      <c r="F137" s="159"/>
      <c r="G137" s="160"/>
      <c r="H137" s="161"/>
      <c r="I137" s="160"/>
      <c r="J137" s="161"/>
      <c r="K137" s="159"/>
      <c r="L137" s="162"/>
    </row>
    <row r="138" spans="1:12" ht="24">
      <c r="A138" s="201"/>
      <c r="B138" s="60"/>
      <c r="C138" s="61"/>
      <c r="D138" s="67"/>
      <c r="E138" s="159"/>
      <c r="F138" s="159"/>
      <c r="G138" s="160"/>
      <c r="H138" s="161"/>
      <c r="I138" s="160"/>
      <c r="J138" s="161"/>
      <c r="K138" s="159"/>
      <c r="L138" s="162"/>
    </row>
    <row r="139" spans="1:12" ht="24">
      <c r="A139" s="201"/>
      <c r="B139" s="60"/>
      <c r="C139" s="61"/>
      <c r="D139" s="67"/>
      <c r="E139" s="159"/>
      <c r="F139" s="159"/>
      <c r="G139" s="160"/>
      <c r="H139" s="161"/>
      <c r="I139" s="160"/>
      <c r="J139" s="161"/>
      <c r="K139" s="159"/>
      <c r="L139" s="162"/>
    </row>
    <row r="140" spans="1:12" ht="24.75" thickBot="1">
      <c r="A140" s="201"/>
      <c r="B140" s="60"/>
      <c r="C140" s="61"/>
      <c r="D140" s="67"/>
      <c r="E140" s="159"/>
      <c r="F140" s="159"/>
      <c r="G140" s="160"/>
      <c r="H140" s="161"/>
      <c r="I140" s="160"/>
      <c r="J140" s="161"/>
      <c r="K140" s="159"/>
      <c r="L140" s="162"/>
    </row>
    <row r="141" spans="1:12" ht="24.75" thickTop="1">
      <c r="A141" s="149"/>
      <c r="B141" s="1981" t="s">
        <v>69</v>
      </c>
      <c r="C141" s="1982"/>
      <c r="D141" s="1983"/>
      <c r="E141" s="164"/>
      <c r="F141" s="164"/>
      <c r="G141" s="165"/>
      <c r="H141" s="166"/>
      <c r="I141" s="165"/>
      <c r="J141" s="166"/>
      <c r="K141" s="164">
        <f>SUM(K121:K140)</f>
        <v>885518.39999999991</v>
      </c>
      <c r="L141" s="167"/>
    </row>
    <row r="142" spans="1:12" ht="24">
      <c r="A142" s="206" t="s">
        <v>191</v>
      </c>
      <c r="B142" s="146" t="s">
        <v>111</v>
      </c>
      <c r="C142" s="142"/>
      <c r="D142" s="143"/>
      <c r="E142" s="155"/>
      <c r="F142" s="155"/>
      <c r="G142" s="156"/>
      <c r="H142" s="157"/>
      <c r="I142" s="156"/>
      <c r="J142" s="157"/>
      <c r="K142" s="158"/>
      <c r="L142" s="158"/>
    </row>
    <row r="143" spans="1:12" ht="24">
      <c r="A143" s="205"/>
      <c r="B143" s="144" t="s">
        <v>117</v>
      </c>
      <c r="C143" s="61" t="s">
        <v>145</v>
      </c>
      <c r="D143" s="55"/>
      <c r="E143" s="159">
        <v>0</v>
      </c>
      <c r="F143" s="159" t="s">
        <v>184</v>
      </c>
      <c r="G143" s="160">
        <v>0</v>
      </c>
      <c r="H143" s="161">
        <f t="shared" ref="H143:H144" si="20">ROUND(E143*G143,2)</f>
        <v>0</v>
      </c>
      <c r="I143" s="160">
        <v>0</v>
      </c>
      <c r="J143" s="161">
        <f t="shared" ref="J143" si="21">ROUND(E143*I143,2)</f>
        <v>0</v>
      </c>
      <c r="K143" s="159">
        <f t="shared" ref="K143" si="22">ROUND(H143+J143,2)</f>
        <v>0</v>
      </c>
      <c r="L143" s="162"/>
    </row>
    <row r="144" spans="1:12" ht="24">
      <c r="A144" s="200"/>
      <c r="B144" s="145" t="s">
        <v>146</v>
      </c>
      <c r="C144" s="61" t="s">
        <v>147</v>
      </c>
      <c r="D144" s="62"/>
      <c r="E144" s="158">
        <v>13.6</v>
      </c>
      <c r="F144" s="158" t="s">
        <v>184</v>
      </c>
      <c r="G144" s="156">
        <v>15</v>
      </c>
      <c r="H144" s="161">
        <f t="shared" si="20"/>
        <v>204</v>
      </c>
      <c r="I144" s="156">
        <v>18</v>
      </c>
      <c r="J144" s="161">
        <f t="shared" ref="J144" si="23">ROUND(E144*I144,2)</f>
        <v>244.8</v>
      </c>
      <c r="K144" s="159">
        <f t="shared" ref="K144" si="24">ROUND(H144+J144,2)</f>
        <v>448.8</v>
      </c>
      <c r="L144" s="163"/>
    </row>
    <row r="145" spans="1:12" ht="24">
      <c r="A145" s="200"/>
      <c r="B145" s="145" t="s">
        <v>148</v>
      </c>
      <c r="C145" s="61" t="s">
        <v>149</v>
      </c>
      <c r="D145" s="62"/>
      <c r="E145" s="158">
        <v>80</v>
      </c>
      <c r="F145" s="158" t="s">
        <v>184</v>
      </c>
      <c r="G145" s="156">
        <v>50</v>
      </c>
      <c r="H145" s="161">
        <f t="shared" ref="H145:H147" si="25">ROUND(E145*G145,2)</f>
        <v>4000</v>
      </c>
      <c r="I145" s="156">
        <v>35</v>
      </c>
      <c r="J145" s="161">
        <f t="shared" ref="J145:J147" si="26">ROUND(E145*I145,2)</f>
        <v>2800</v>
      </c>
      <c r="K145" s="159">
        <f t="shared" ref="K145:K147" si="27">ROUND(H145+J145,2)</f>
        <v>6800</v>
      </c>
      <c r="L145" s="163"/>
    </row>
    <row r="146" spans="1:12" ht="24">
      <c r="A146" s="200"/>
      <c r="B146" s="145" t="s">
        <v>150</v>
      </c>
      <c r="C146" s="61" t="s">
        <v>297</v>
      </c>
      <c r="D146" s="67"/>
      <c r="E146" s="159">
        <f>20+34.4</f>
        <v>54.4</v>
      </c>
      <c r="F146" s="159" t="s">
        <v>184</v>
      </c>
      <c r="G146" s="160">
        <v>230</v>
      </c>
      <c r="H146" s="161">
        <f t="shared" si="25"/>
        <v>12512</v>
      </c>
      <c r="I146" s="156">
        <v>50</v>
      </c>
      <c r="J146" s="161">
        <f t="shared" si="26"/>
        <v>2720</v>
      </c>
      <c r="K146" s="159">
        <f t="shared" si="27"/>
        <v>15232</v>
      </c>
      <c r="L146" s="162"/>
    </row>
    <row r="147" spans="1:12" ht="24">
      <c r="A147" s="200"/>
      <c r="B147" s="145" t="s">
        <v>152</v>
      </c>
      <c r="C147" s="61" t="s">
        <v>298</v>
      </c>
      <c r="D147" s="67"/>
      <c r="E147" s="159"/>
      <c r="F147" s="159" t="s">
        <v>184</v>
      </c>
      <c r="G147" s="160">
        <v>320</v>
      </c>
      <c r="H147" s="161">
        <f t="shared" si="25"/>
        <v>0</v>
      </c>
      <c r="I147" s="156">
        <v>41</v>
      </c>
      <c r="J147" s="161">
        <f t="shared" si="26"/>
        <v>0</v>
      </c>
      <c r="K147" s="159">
        <f t="shared" si="27"/>
        <v>0</v>
      </c>
      <c r="L147" s="162"/>
    </row>
    <row r="148" spans="1:12" ht="24">
      <c r="A148" s="200"/>
      <c r="B148" s="145" t="s">
        <v>295</v>
      </c>
      <c r="C148" s="61" t="s">
        <v>299</v>
      </c>
      <c r="D148" s="67"/>
      <c r="E148" s="159">
        <f>100.9+44.8+12.4+21.4+19.5+20.4+20.4+24.1+15.8+14.4+12.9+32.8+13.2+12.7+46.2+24.4+23.2</f>
        <v>459.49999999999994</v>
      </c>
      <c r="F148" s="159" t="s">
        <v>184</v>
      </c>
      <c r="G148" s="217"/>
      <c r="H148" s="218"/>
      <c r="I148" s="217"/>
      <c r="J148" s="218"/>
      <c r="K148" s="216"/>
      <c r="L148" s="219"/>
    </row>
    <row r="149" spans="1:12" ht="24">
      <c r="A149" s="200"/>
      <c r="B149" s="60"/>
      <c r="C149" s="61"/>
      <c r="D149" s="67"/>
      <c r="E149" s="159"/>
      <c r="F149" s="159"/>
      <c r="G149" s="160"/>
      <c r="H149" s="161"/>
      <c r="I149" s="160"/>
      <c r="J149" s="161"/>
      <c r="K149" s="159"/>
      <c r="L149" s="162"/>
    </row>
    <row r="150" spans="1:12" ht="24">
      <c r="A150" s="200"/>
      <c r="B150" s="60"/>
      <c r="C150" s="61"/>
      <c r="D150" s="67"/>
      <c r="E150" s="159"/>
      <c r="F150" s="159"/>
      <c r="G150" s="160"/>
      <c r="H150" s="161"/>
      <c r="I150" s="160"/>
      <c r="J150" s="161"/>
      <c r="K150" s="159"/>
      <c r="L150" s="162"/>
    </row>
    <row r="151" spans="1:12" ht="24">
      <c r="A151" s="200"/>
      <c r="B151" s="60"/>
      <c r="C151" s="61"/>
      <c r="D151" s="67"/>
      <c r="E151" s="159"/>
      <c r="F151" s="159"/>
      <c r="G151" s="160"/>
      <c r="H151" s="161"/>
      <c r="I151" s="160"/>
      <c r="J151" s="161"/>
      <c r="K151" s="159"/>
      <c r="L151" s="162"/>
    </row>
    <row r="152" spans="1:12" ht="24">
      <c r="A152" s="200"/>
      <c r="B152" s="60"/>
      <c r="C152" s="61"/>
      <c r="D152" s="67"/>
      <c r="E152" s="159"/>
      <c r="F152" s="159"/>
      <c r="G152" s="160"/>
      <c r="H152" s="161"/>
      <c r="I152" s="160"/>
      <c r="J152" s="161"/>
      <c r="K152" s="159"/>
      <c r="L152" s="162"/>
    </row>
    <row r="153" spans="1:12" ht="24">
      <c r="A153" s="200"/>
      <c r="B153" s="60"/>
      <c r="C153" s="61"/>
      <c r="D153" s="67"/>
      <c r="E153" s="159"/>
      <c r="F153" s="159"/>
      <c r="G153" s="160"/>
      <c r="H153" s="161"/>
      <c r="I153" s="160"/>
      <c r="J153" s="161"/>
      <c r="K153" s="159"/>
      <c r="L153" s="162"/>
    </row>
    <row r="154" spans="1:12" ht="24">
      <c r="A154" s="200"/>
      <c r="B154" s="60"/>
      <c r="C154" s="61"/>
      <c r="D154" s="67"/>
      <c r="E154" s="159"/>
      <c r="F154" s="159"/>
      <c r="G154" s="160"/>
      <c r="H154" s="161"/>
      <c r="I154" s="160"/>
      <c r="J154" s="161"/>
      <c r="K154" s="159"/>
      <c r="L154" s="162"/>
    </row>
    <row r="155" spans="1:12" ht="24">
      <c r="A155" s="200"/>
      <c r="B155" s="60"/>
      <c r="C155" s="61"/>
      <c r="D155" s="67"/>
      <c r="E155" s="159"/>
      <c r="F155" s="159"/>
      <c r="G155" s="160"/>
      <c r="H155" s="161"/>
      <c r="I155" s="160"/>
      <c r="J155" s="161"/>
      <c r="K155" s="159"/>
      <c r="L155" s="162"/>
    </row>
    <row r="156" spans="1:12" ht="24">
      <c r="A156" s="200"/>
      <c r="B156" s="60"/>
      <c r="C156" s="61"/>
      <c r="D156" s="67"/>
      <c r="E156" s="159"/>
      <c r="F156" s="159"/>
      <c r="G156" s="160"/>
      <c r="H156" s="161"/>
      <c r="I156" s="160"/>
      <c r="J156" s="161"/>
      <c r="K156" s="159"/>
      <c r="L156" s="162"/>
    </row>
    <row r="157" spans="1:12" ht="24">
      <c r="A157" s="200"/>
      <c r="B157" s="60"/>
      <c r="C157" s="61"/>
      <c r="D157" s="67"/>
      <c r="E157" s="159"/>
      <c r="F157" s="159"/>
      <c r="G157" s="160"/>
      <c r="H157" s="161"/>
      <c r="I157" s="160"/>
      <c r="J157" s="161"/>
      <c r="K157" s="159"/>
      <c r="L157" s="162"/>
    </row>
    <row r="158" spans="1:12" ht="24">
      <c r="A158" s="201"/>
      <c r="B158" s="60"/>
      <c r="C158" s="61"/>
      <c r="D158" s="67"/>
      <c r="E158" s="159"/>
      <c r="F158" s="159"/>
      <c r="G158" s="160"/>
      <c r="H158" s="161"/>
      <c r="I158" s="160"/>
      <c r="J158" s="161"/>
      <c r="K158" s="159"/>
      <c r="L158" s="162"/>
    </row>
    <row r="159" spans="1:12" ht="24">
      <c r="A159" s="201"/>
      <c r="B159" s="60"/>
      <c r="C159" s="61"/>
      <c r="D159" s="67"/>
      <c r="E159" s="159"/>
      <c r="F159" s="159"/>
      <c r="G159" s="160"/>
      <c r="H159" s="161"/>
      <c r="I159" s="160"/>
      <c r="J159" s="161"/>
      <c r="K159" s="159"/>
      <c r="L159" s="162"/>
    </row>
    <row r="160" spans="1:12" ht="24">
      <c r="A160" s="201"/>
      <c r="B160" s="60"/>
      <c r="C160" s="61"/>
      <c r="D160" s="67"/>
      <c r="E160" s="159"/>
      <c r="F160" s="159"/>
      <c r="G160" s="160"/>
      <c r="H160" s="161"/>
      <c r="I160" s="160"/>
      <c r="J160" s="161"/>
      <c r="K160" s="159"/>
      <c r="L160" s="162"/>
    </row>
    <row r="161" spans="1:12" ht="24">
      <c r="A161" s="201"/>
      <c r="B161" s="60"/>
      <c r="C161" s="61"/>
      <c r="D161" s="67"/>
      <c r="E161" s="159"/>
      <c r="F161" s="159"/>
      <c r="G161" s="160"/>
      <c r="H161" s="161"/>
      <c r="I161" s="160"/>
      <c r="J161" s="161"/>
      <c r="K161" s="159"/>
      <c r="L161" s="162"/>
    </row>
    <row r="162" spans="1:12" ht="24.75" thickBot="1">
      <c r="A162" s="201"/>
      <c r="B162" s="60"/>
      <c r="C162" s="61"/>
      <c r="D162" s="67"/>
      <c r="E162" s="159"/>
      <c r="F162" s="159"/>
      <c r="G162" s="160"/>
      <c r="H162" s="161"/>
      <c r="I162" s="160"/>
      <c r="J162" s="161"/>
      <c r="K162" s="159"/>
      <c r="L162" s="162"/>
    </row>
    <row r="163" spans="1:12" ht="24.75" thickTop="1">
      <c r="A163" s="149"/>
      <c r="B163" s="1981" t="s">
        <v>69</v>
      </c>
      <c r="C163" s="1982"/>
      <c r="D163" s="1983"/>
      <c r="E163" s="164"/>
      <c r="F163" s="164"/>
      <c r="G163" s="165"/>
      <c r="H163" s="166"/>
      <c r="I163" s="165"/>
      <c r="J163" s="166"/>
      <c r="K163" s="164"/>
      <c r="L163" s="167"/>
    </row>
    <row r="164" spans="1:12" ht="24">
      <c r="A164" s="206" t="s">
        <v>192</v>
      </c>
      <c r="B164" s="146" t="s">
        <v>112</v>
      </c>
      <c r="C164" s="142"/>
      <c r="D164" s="143"/>
      <c r="E164" s="155"/>
      <c r="F164" s="155"/>
      <c r="G164" s="156"/>
      <c r="H164" s="157"/>
      <c r="I164" s="156"/>
      <c r="J164" s="157"/>
      <c r="K164" s="158"/>
      <c r="L164" s="158"/>
    </row>
    <row r="165" spans="1:12" ht="24">
      <c r="A165" s="205"/>
      <c r="B165" s="144" t="s">
        <v>117</v>
      </c>
      <c r="C165" s="61" t="s">
        <v>145</v>
      </c>
      <c r="D165" s="55"/>
      <c r="E165" s="159">
        <v>0</v>
      </c>
      <c r="F165" s="159" t="s">
        <v>183</v>
      </c>
      <c r="G165" s="160">
        <v>0</v>
      </c>
      <c r="H165" s="161">
        <f t="shared" ref="H165" si="28">ROUND(E165*G165,2)</f>
        <v>0</v>
      </c>
      <c r="I165" s="160">
        <v>0</v>
      </c>
      <c r="J165" s="161">
        <f t="shared" ref="J165" si="29">ROUND(E165*I165,2)</f>
        <v>0</v>
      </c>
      <c r="K165" s="159">
        <f t="shared" ref="K165" si="30">ROUND(H165+J165,2)</f>
        <v>0</v>
      </c>
      <c r="L165" s="162"/>
    </row>
    <row r="166" spans="1:12" ht="24">
      <c r="A166" s="200"/>
      <c r="B166" s="145" t="s">
        <v>153</v>
      </c>
      <c r="C166" s="61" t="s">
        <v>154</v>
      </c>
      <c r="D166" s="62"/>
      <c r="E166" s="158">
        <f>9.45+10.8+32.8+30.4+11.48</f>
        <v>94.929999999999993</v>
      </c>
      <c r="F166" s="158" t="s">
        <v>183</v>
      </c>
      <c r="G166" s="156">
        <v>30</v>
      </c>
      <c r="H166" s="161">
        <f t="shared" ref="H166:H167" si="31">ROUND(E166*G166,2)</f>
        <v>2847.9</v>
      </c>
      <c r="I166" s="160">
        <v>35</v>
      </c>
      <c r="J166" s="161">
        <f t="shared" ref="J166:J167" si="32">ROUND(E166*I166,2)</f>
        <v>3322.55</v>
      </c>
      <c r="K166" s="159">
        <f t="shared" ref="K166:K167" si="33">ROUND(H166+J166,2)</f>
        <v>6170.45</v>
      </c>
      <c r="L166" s="163"/>
    </row>
    <row r="167" spans="1:12" ht="24">
      <c r="A167" s="200"/>
      <c r="B167" s="145" t="s">
        <v>155</v>
      </c>
      <c r="C167" s="61" t="s">
        <v>156</v>
      </c>
      <c r="D167" s="62"/>
      <c r="E167" s="158">
        <f>72.75+424.29+42.8+21.6+17.43+18.41+18.41+15.54+12.96+32.4+9.88+65.42+384</f>
        <v>1135.8899999999999</v>
      </c>
      <c r="F167" s="158" t="s">
        <v>183</v>
      </c>
      <c r="G167" s="156">
        <v>262</v>
      </c>
      <c r="H167" s="161">
        <f t="shared" si="31"/>
        <v>297603.18</v>
      </c>
      <c r="I167" s="160">
        <v>75</v>
      </c>
      <c r="J167" s="161">
        <f t="shared" si="32"/>
        <v>85191.75</v>
      </c>
      <c r="K167" s="159">
        <f t="shared" si="33"/>
        <v>382794.93</v>
      </c>
      <c r="L167" s="163"/>
    </row>
    <row r="168" spans="1:12" ht="24">
      <c r="A168" s="200"/>
      <c r="B168" s="145"/>
      <c r="C168" s="61" t="s">
        <v>234</v>
      </c>
      <c r="D168" s="67"/>
      <c r="E168" s="159"/>
      <c r="F168" s="159"/>
      <c r="G168" s="160"/>
      <c r="H168" s="161"/>
      <c r="I168" s="160"/>
      <c r="J168" s="161"/>
      <c r="K168" s="159"/>
      <c r="L168" s="162"/>
    </row>
    <row r="169" spans="1:12" ht="24">
      <c r="A169" s="200"/>
      <c r="B169" s="145" t="s">
        <v>157</v>
      </c>
      <c r="C169" s="61" t="s">
        <v>237</v>
      </c>
      <c r="D169" s="67"/>
      <c r="E169" s="159">
        <v>67.2</v>
      </c>
      <c r="F169" s="159" t="s">
        <v>183</v>
      </c>
      <c r="G169" s="160">
        <v>650</v>
      </c>
      <c r="H169" s="161">
        <f t="shared" ref="H169" si="34">ROUND(E169*G169,2)</f>
        <v>43680</v>
      </c>
      <c r="I169" s="160">
        <v>52</v>
      </c>
      <c r="J169" s="161">
        <f t="shared" ref="J169" si="35">ROUND(E169*I169,2)</f>
        <v>3494.4</v>
      </c>
      <c r="K169" s="159">
        <f t="shared" ref="K169" si="36">ROUND(H169+J169,2)</f>
        <v>47174.400000000001</v>
      </c>
      <c r="L169" s="162"/>
    </row>
    <row r="170" spans="1:12" ht="24">
      <c r="A170" s="200"/>
      <c r="B170" s="145"/>
      <c r="C170" s="61" t="s">
        <v>238</v>
      </c>
      <c r="D170" s="67"/>
      <c r="E170" s="159"/>
      <c r="F170" s="159"/>
      <c r="G170" s="160"/>
      <c r="H170" s="161"/>
      <c r="I170" s="160"/>
      <c r="J170" s="161"/>
      <c r="K170" s="159"/>
      <c r="L170" s="162"/>
    </row>
    <row r="171" spans="1:12" ht="24">
      <c r="A171" s="200"/>
      <c r="B171" s="145"/>
      <c r="C171" s="61" t="s">
        <v>239</v>
      </c>
      <c r="D171" s="67"/>
      <c r="E171" s="159"/>
      <c r="F171" s="159"/>
      <c r="G171" s="160"/>
      <c r="H171" s="161"/>
      <c r="I171" s="160"/>
      <c r="J171" s="161"/>
      <c r="K171" s="159"/>
      <c r="L171" s="162"/>
    </row>
    <row r="172" spans="1:12" ht="24">
      <c r="A172" s="200"/>
      <c r="B172" s="145" t="s">
        <v>159</v>
      </c>
      <c r="C172" s="61" t="s">
        <v>158</v>
      </c>
      <c r="D172" s="67"/>
      <c r="E172" s="159">
        <f>6.5+13+26.7+20.16+9.48+20</f>
        <v>95.84</v>
      </c>
      <c r="F172" s="159" t="s">
        <v>183</v>
      </c>
      <c r="G172" s="160">
        <v>329</v>
      </c>
      <c r="H172" s="161">
        <f t="shared" ref="H172" si="37">ROUND(E172*G172,2)</f>
        <v>31531.360000000001</v>
      </c>
      <c r="I172" s="160">
        <v>75</v>
      </c>
      <c r="J172" s="161">
        <f t="shared" ref="J172" si="38">ROUND(E172*I172,2)</f>
        <v>7188</v>
      </c>
      <c r="K172" s="159">
        <f t="shared" ref="K172" si="39">ROUND(H172+J172,2)</f>
        <v>38719.360000000001</v>
      </c>
      <c r="L172" s="162"/>
    </row>
    <row r="173" spans="1:12" ht="24">
      <c r="A173" s="200"/>
      <c r="B173" s="60"/>
      <c r="C173" s="61" t="s">
        <v>235</v>
      </c>
      <c r="D173" s="67"/>
      <c r="E173" s="159"/>
      <c r="F173" s="159"/>
      <c r="G173" s="160"/>
      <c r="H173" s="161"/>
      <c r="I173" s="160"/>
      <c r="J173" s="161"/>
      <c r="K173" s="159"/>
      <c r="L173" s="162"/>
    </row>
    <row r="174" spans="1:12" ht="24">
      <c r="A174" s="200"/>
      <c r="B174" s="60" t="s">
        <v>240</v>
      </c>
      <c r="C174" s="61" t="s">
        <v>241</v>
      </c>
      <c r="D174" s="67"/>
      <c r="E174" s="159">
        <f>38.42</f>
        <v>38.42</v>
      </c>
      <c r="F174" s="159" t="s">
        <v>183</v>
      </c>
      <c r="G174" s="160">
        <v>215</v>
      </c>
      <c r="H174" s="161">
        <f t="shared" ref="H174" si="40">ROUND(E174*G174,2)</f>
        <v>8260.2999999999993</v>
      </c>
      <c r="I174" s="160">
        <v>52</v>
      </c>
      <c r="J174" s="161">
        <f t="shared" ref="J174" si="41">ROUND(E174*I174,2)</f>
        <v>1997.84</v>
      </c>
      <c r="K174" s="159">
        <f t="shared" ref="K174" si="42">ROUND(H174+J174,2)</f>
        <v>10258.14</v>
      </c>
      <c r="L174" s="162"/>
    </row>
    <row r="175" spans="1:12" ht="24">
      <c r="A175" s="200"/>
      <c r="B175" s="145"/>
      <c r="C175" s="61" t="s">
        <v>242</v>
      </c>
      <c r="D175" s="67"/>
      <c r="E175" s="159"/>
      <c r="F175" s="159"/>
      <c r="G175" s="160"/>
      <c r="H175" s="161"/>
      <c r="I175" s="160"/>
      <c r="J175" s="161"/>
      <c r="K175" s="159"/>
      <c r="L175" s="162"/>
    </row>
    <row r="176" spans="1:12" ht="24">
      <c r="A176" s="200"/>
      <c r="B176" s="60" t="s">
        <v>134</v>
      </c>
      <c r="C176" s="61" t="s">
        <v>160</v>
      </c>
      <c r="D176" s="67"/>
      <c r="E176" s="159"/>
      <c r="F176" s="159" t="s">
        <v>183</v>
      </c>
      <c r="G176" s="160">
        <v>264</v>
      </c>
      <c r="H176" s="161">
        <f t="shared" ref="H176" si="43">ROUND(E176*G176,2)</f>
        <v>0</v>
      </c>
      <c r="I176" s="160">
        <v>80</v>
      </c>
      <c r="J176" s="161">
        <f t="shared" ref="J176" si="44">ROUND(E176*I176,2)</f>
        <v>0</v>
      </c>
      <c r="K176" s="159">
        <f t="shared" ref="K176" si="45">ROUND(H176+J176,2)</f>
        <v>0</v>
      </c>
      <c r="L176" s="162"/>
    </row>
    <row r="177" spans="1:12" ht="24">
      <c r="A177" s="200"/>
      <c r="B177" s="60"/>
      <c r="C177" s="61" t="s">
        <v>236</v>
      </c>
      <c r="D177" s="67"/>
      <c r="E177" s="159"/>
      <c r="F177" s="159"/>
      <c r="G177" s="160"/>
      <c r="H177" s="161"/>
      <c r="I177" s="160"/>
      <c r="J177" s="161"/>
      <c r="K177" s="159"/>
      <c r="L177" s="162"/>
    </row>
    <row r="178" spans="1:12" ht="24">
      <c r="A178" s="200"/>
      <c r="B178" s="60" t="s">
        <v>134</v>
      </c>
      <c r="C178" s="61" t="s">
        <v>161</v>
      </c>
      <c r="D178" s="67"/>
      <c r="E178" s="159">
        <f>E166+E167+E169+E172+E174</f>
        <v>1432.28</v>
      </c>
      <c r="F178" s="159" t="s">
        <v>183</v>
      </c>
      <c r="G178" s="160">
        <v>55</v>
      </c>
      <c r="H178" s="161">
        <f t="shared" ref="H178" si="46">ROUND(E178*G178,2)</f>
        <v>78775.399999999994</v>
      </c>
      <c r="I178" s="160">
        <v>30</v>
      </c>
      <c r="J178" s="161">
        <f t="shared" ref="J178" si="47">ROUND(E178*I178,2)</f>
        <v>42968.4</v>
      </c>
      <c r="K178" s="159">
        <f t="shared" ref="K178" si="48">ROUND(H178+J178,2)</f>
        <v>121743.8</v>
      </c>
      <c r="L178" s="162"/>
    </row>
    <row r="179" spans="1:12" ht="24">
      <c r="A179" s="201"/>
      <c r="B179" s="60"/>
      <c r="C179" s="61"/>
      <c r="D179" s="67"/>
      <c r="E179" s="159"/>
      <c r="F179" s="159"/>
      <c r="G179" s="160"/>
      <c r="H179" s="161"/>
      <c r="I179" s="160"/>
      <c r="J179" s="161"/>
      <c r="K179" s="159"/>
      <c r="L179" s="162"/>
    </row>
    <row r="180" spans="1:12" ht="24">
      <c r="A180" s="201"/>
      <c r="B180" s="60"/>
      <c r="C180" s="61"/>
      <c r="D180" s="67"/>
      <c r="E180" s="159"/>
      <c r="F180" s="159"/>
      <c r="G180" s="160"/>
      <c r="H180" s="161"/>
      <c r="I180" s="160"/>
      <c r="J180" s="161"/>
      <c r="K180" s="159"/>
      <c r="L180" s="162"/>
    </row>
    <row r="181" spans="1:12" ht="24">
      <c r="A181" s="201"/>
      <c r="B181" s="60"/>
      <c r="C181" s="61"/>
      <c r="D181" s="67"/>
      <c r="E181" s="159"/>
      <c r="F181" s="159"/>
      <c r="G181" s="160"/>
      <c r="H181" s="161"/>
      <c r="I181" s="160"/>
      <c r="J181" s="161"/>
      <c r="K181" s="159"/>
      <c r="L181" s="162"/>
    </row>
    <row r="182" spans="1:12" ht="24">
      <c r="A182" s="201"/>
      <c r="B182" s="60"/>
      <c r="C182" s="61"/>
      <c r="D182" s="67"/>
      <c r="E182" s="159"/>
      <c r="F182" s="159"/>
      <c r="G182" s="160"/>
      <c r="H182" s="161"/>
      <c r="I182" s="160"/>
      <c r="J182" s="161"/>
      <c r="K182" s="159"/>
      <c r="L182" s="162"/>
    </row>
    <row r="183" spans="1:12" ht="24">
      <c r="A183" s="201"/>
      <c r="B183" s="60"/>
      <c r="C183" s="61"/>
      <c r="D183" s="67"/>
      <c r="E183" s="159"/>
      <c r="F183" s="159"/>
      <c r="G183" s="160"/>
      <c r="H183" s="161"/>
      <c r="I183" s="160"/>
      <c r="J183" s="161"/>
      <c r="K183" s="159"/>
      <c r="L183" s="162"/>
    </row>
    <row r="184" spans="1:12" ht="24.75" thickBot="1">
      <c r="A184" s="201"/>
      <c r="B184" s="60"/>
      <c r="C184" s="61"/>
      <c r="D184" s="67"/>
      <c r="E184" s="159"/>
      <c r="F184" s="159"/>
      <c r="G184" s="160"/>
      <c r="H184" s="161"/>
      <c r="I184" s="160"/>
      <c r="J184" s="161"/>
      <c r="K184" s="159"/>
      <c r="L184" s="162"/>
    </row>
    <row r="185" spans="1:12" ht="24.75" thickTop="1">
      <c r="A185" s="149"/>
      <c r="B185" s="1981" t="s">
        <v>69</v>
      </c>
      <c r="C185" s="1982"/>
      <c r="D185" s="1983"/>
      <c r="E185" s="164"/>
      <c r="F185" s="164"/>
      <c r="G185" s="165"/>
      <c r="H185" s="166"/>
      <c r="I185" s="165"/>
      <c r="J185" s="166"/>
      <c r="K185" s="164"/>
      <c r="L185" s="167"/>
    </row>
    <row r="186" spans="1:12" ht="24">
      <c r="A186" s="206" t="s">
        <v>193</v>
      </c>
      <c r="B186" s="146" t="s">
        <v>113</v>
      </c>
      <c r="C186" s="142"/>
      <c r="D186" s="143"/>
      <c r="E186" s="155"/>
      <c r="F186" s="155"/>
      <c r="G186" s="156"/>
      <c r="H186" s="157"/>
      <c r="I186" s="156"/>
      <c r="J186" s="157"/>
      <c r="K186" s="158"/>
      <c r="L186" s="158"/>
    </row>
    <row r="187" spans="1:12" ht="24">
      <c r="A187" s="205"/>
      <c r="B187" s="147" t="s">
        <v>186</v>
      </c>
      <c r="C187" s="61" t="s">
        <v>346</v>
      </c>
      <c r="D187" s="55"/>
      <c r="E187" s="194">
        <v>3</v>
      </c>
      <c r="F187" s="159" t="s">
        <v>185</v>
      </c>
      <c r="G187" s="160"/>
      <c r="H187" s="161"/>
      <c r="I187" s="160"/>
      <c r="J187" s="161"/>
      <c r="K187" s="159"/>
      <c r="L187" s="162"/>
    </row>
    <row r="188" spans="1:12" ht="24">
      <c r="A188" s="200"/>
      <c r="B188" s="60" t="s">
        <v>187</v>
      </c>
      <c r="C188" s="61" t="s">
        <v>345</v>
      </c>
      <c r="D188" s="62"/>
      <c r="E188" s="220">
        <v>2</v>
      </c>
      <c r="F188" s="159" t="s">
        <v>185</v>
      </c>
      <c r="G188" s="156"/>
      <c r="H188" s="157"/>
      <c r="I188" s="156"/>
      <c r="J188" s="157"/>
      <c r="K188" s="158"/>
      <c r="L188" s="163"/>
    </row>
    <row r="189" spans="1:12" ht="24">
      <c r="A189" s="200"/>
      <c r="B189" s="60" t="s">
        <v>300</v>
      </c>
      <c r="C189" s="61" t="s">
        <v>344</v>
      </c>
      <c r="D189" s="62"/>
      <c r="E189" s="220">
        <v>1</v>
      </c>
      <c r="F189" s="159" t="s">
        <v>185</v>
      </c>
      <c r="G189" s="156"/>
      <c r="H189" s="157"/>
      <c r="I189" s="156"/>
      <c r="J189" s="157"/>
      <c r="K189" s="158"/>
      <c r="L189" s="163"/>
    </row>
    <row r="190" spans="1:12" ht="24">
      <c r="A190" s="200"/>
      <c r="B190" s="60" t="s">
        <v>301</v>
      </c>
      <c r="C190" s="61" t="s">
        <v>347</v>
      </c>
      <c r="D190" s="67"/>
      <c r="E190" s="194">
        <v>1</v>
      </c>
      <c r="F190" s="159" t="s">
        <v>185</v>
      </c>
      <c r="G190" s="160"/>
      <c r="H190" s="161"/>
      <c r="I190" s="160"/>
      <c r="J190" s="161"/>
      <c r="K190" s="159"/>
      <c r="L190" s="162"/>
    </row>
    <row r="191" spans="1:12" ht="24">
      <c r="A191" s="200"/>
      <c r="B191" s="60" t="s">
        <v>302</v>
      </c>
      <c r="C191" s="61" t="s">
        <v>348</v>
      </c>
      <c r="D191" s="67"/>
      <c r="E191" s="194">
        <v>3</v>
      </c>
      <c r="F191" s="159" t="s">
        <v>185</v>
      </c>
      <c r="G191" s="160"/>
      <c r="H191" s="161"/>
      <c r="I191" s="160"/>
      <c r="J191" s="161"/>
      <c r="K191" s="159"/>
      <c r="L191" s="162"/>
    </row>
    <row r="192" spans="1:12" ht="24">
      <c r="A192" s="200"/>
      <c r="B192" s="60" t="s">
        <v>303</v>
      </c>
      <c r="C192" s="61" t="s">
        <v>349</v>
      </c>
      <c r="D192" s="67"/>
      <c r="E192" s="194">
        <v>1</v>
      </c>
      <c r="F192" s="159" t="s">
        <v>185</v>
      </c>
      <c r="G192" s="160"/>
      <c r="H192" s="161"/>
      <c r="I192" s="160"/>
      <c r="J192" s="161"/>
      <c r="K192" s="159"/>
      <c r="L192" s="162"/>
    </row>
    <row r="193" spans="1:12" ht="24">
      <c r="A193" s="200"/>
      <c r="B193" s="60" t="s">
        <v>304</v>
      </c>
      <c r="C193" s="61" t="s">
        <v>350</v>
      </c>
      <c r="D193" s="67"/>
      <c r="E193" s="194">
        <v>1</v>
      </c>
      <c r="F193" s="159" t="s">
        <v>185</v>
      </c>
      <c r="G193" s="160"/>
      <c r="H193" s="161"/>
      <c r="I193" s="160"/>
      <c r="J193" s="161"/>
      <c r="K193" s="159"/>
      <c r="L193" s="162"/>
    </row>
    <row r="194" spans="1:12" ht="24">
      <c r="A194" s="200"/>
      <c r="B194" s="60" t="s">
        <v>305</v>
      </c>
      <c r="C194" s="61" t="s">
        <v>351</v>
      </c>
      <c r="D194" s="67"/>
      <c r="E194" s="194">
        <v>4</v>
      </c>
      <c r="F194" s="159" t="s">
        <v>185</v>
      </c>
      <c r="G194" s="160"/>
      <c r="H194" s="161"/>
      <c r="I194" s="160"/>
      <c r="J194" s="161"/>
      <c r="K194" s="159"/>
      <c r="L194" s="162"/>
    </row>
    <row r="195" spans="1:12" ht="24">
      <c r="A195" s="200"/>
      <c r="B195" s="60" t="s">
        <v>306</v>
      </c>
      <c r="C195" s="61" t="s">
        <v>352</v>
      </c>
      <c r="D195" s="67"/>
      <c r="E195" s="194">
        <v>3</v>
      </c>
      <c r="F195" s="159" t="s">
        <v>185</v>
      </c>
      <c r="G195" s="160"/>
      <c r="H195" s="161"/>
      <c r="I195" s="160"/>
      <c r="J195" s="161"/>
      <c r="K195" s="159"/>
      <c r="L195" s="162"/>
    </row>
    <row r="196" spans="1:12" ht="24">
      <c r="A196" s="200"/>
      <c r="B196" s="60" t="s">
        <v>307</v>
      </c>
      <c r="C196" s="61" t="s">
        <v>353</v>
      </c>
      <c r="D196" s="67"/>
      <c r="E196" s="194">
        <v>2</v>
      </c>
      <c r="F196" s="159" t="s">
        <v>185</v>
      </c>
      <c r="G196" s="160"/>
      <c r="H196" s="161"/>
      <c r="I196" s="160"/>
      <c r="J196" s="161"/>
      <c r="K196" s="159"/>
      <c r="L196" s="162"/>
    </row>
    <row r="197" spans="1:12" ht="24">
      <c r="A197" s="200"/>
      <c r="B197" s="60" t="s">
        <v>308</v>
      </c>
      <c r="C197" s="225" t="s">
        <v>354</v>
      </c>
      <c r="D197" s="67"/>
      <c r="E197" s="194">
        <v>2</v>
      </c>
      <c r="F197" s="159" t="s">
        <v>185</v>
      </c>
      <c r="G197" s="160"/>
      <c r="H197" s="161"/>
      <c r="I197" s="160"/>
      <c r="J197" s="161"/>
      <c r="K197" s="159"/>
      <c r="L197" s="162"/>
    </row>
    <row r="198" spans="1:12" ht="24">
      <c r="A198" s="200"/>
      <c r="B198" s="60" t="s">
        <v>309</v>
      </c>
      <c r="C198" s="225" t="s">
        <v>355</v>
      </c>
      <c r="D198" s="67"/>
      <c r="E198" s="194">
        <v>3</v>
      </c>
      <c r="F198" s="159" t="s">
        <v>185</v>
      </c>
      <c r="G198" s="160"/>
      <c r="H198" s="161"/>
      <c r="I198" s="160"/>
      <c r="J198" s="161"/>
      <c r="K198" s="159"/>
      <c r="L198" s="162"/>
    </row>
    <row r="199" spans="1:12" ht="24">
      <c r="A199" s="200"/>
      <c r="B199" s="60" t="s">
        <v>310</v>
      </c>
      <c r="C199" s="61" t="s">
        <v>356</v>
      </c>
      <c r="D199" s="67"/>
      <c r="E199" s="194">
        <v>1</v>
      </c>
      <c r="F199" s="159" t="s">
        <v>185</v>
      </c>
      <c r="G199" s="160"/>
      <c r="H199" s="161"/>
      <c r="I199" s="160"/>
      <c r="J199" s="161"/>
      <c r="K199" s="159"/>
      <c r="L199" s="162"/>
    </row>
    <row r="200" spans="1:12" ht="24">
      <c r="A200" s="200"/>
      <c r="B200" s="60" t="s">
        <v>311</v>
      </c>
      <c r="C200" s="226" t="s">
        <v>357</v>
      </c>
      <c r="D200" s="67"/>
      <c r="E200" s="194">
        <v>1</v>
      </c>
      <c r="F200" s="159" t="s">
        <v>185</v>
      </c>
      <c r="G200" s="160"/>
      <c r="H200" s="161"/>
      <c r="I200" s="160"/>
      <c r="J200" s="161"/>
      <c r="K200" s="159"/>
      <c r="L200" s="162"/>
    </row>
    <row r="201" spans="1:12" ht="24">
      <c r="A201" s="201"/>
      <c r="B201" s="60" t="s">
        <v>312</v>
      </c>
      <c r="C201" s="61" t="s">
        <v>358</v>
      </c>
      <c r="D201" s="67"/>
      <c r="E201" s="194">
        <v>2</v>
      </c>
      <c r="F201" s="159" t="s">
        <v>185</v>
      </c>
      <c r="G201" s="160"/>
      <c r="H201" s="161"/>
      <c r="I201" s="160"/>
      <c r="J201" s="161"/>
      <c r="K201" s="159"/>
      <c r="L201" s="162"/>
    </row>
    <row r="202" spans="1:12" ht="24">
      <c r="A202" s="201"/>
      <c r="B202" s="60" t="s">
        <v>313</v>
      </c>
      <c r="C202" s="61" t="s">
        <v>359</v>
      </c>
      <c r="D202" s="67"/>
      <c r="E202" s="194">
        <v>1</v>
      </c>
      <c r="F202" s="159" t="s">
        <v>185</v>
      </c>
      <c r="G202" s="160"/>
      <c r="H202" s="161"/>
      <c r="I202" s="160"/>
      <c r="J202" s="161"/>
      <c r="K202" s="159"/>
      <c r="L202" s="162"/>
    </row>
    <row r="203" spans="1:12" ht="24">
      <c r="A203" s="201"/>
      <c r="B203" s="60" t="s">
        <v>314</v>
      </c>
      <c r="C203" s="61" t="s">
        <v>360</v>
      </c>
      <c r="D203" s="67"/>
      <c r="E203" s="194">
        <v>1</v>
      </c>
      <c r="F203" s="159" t="s">
        <v>185</v>
      </c>
      <c r="G203" s="160"/>
      <c r="H203" s="161"/>
      <c r="I203" s="160"/>
      <c r="J203" s="161"/>
      <c r="K203" s="159"/>
      <c r="L203" s="162"/>
    </row>
    <row r="204" spans="1:12" ht="24">
      <c r="A204" s="201"/>
      <c r="B204" s="221">
        <v>1</v>
      </c>
      <c r="C204" s="61" t="s">
        <v>361</v>
      </c>
      <c r="D204" s="67"/>
      <c r="E204" s="194">
        <v>1</v>
      </c>
      <c r="F204" s="159" t="s">
        <v>185</v>
      </c>
      <c r="G204" s="160"/>
      <c r="H204" s="161"/>
      <c r="I204" s="160"/>
      <c r="J204" s="161"/>
      <c r="K204" s="159"/>
      <c r="L204" s="162"/>
    </row>
    <row r="205" spans="1:12" ht="24">
      <c r="A205" s="201"/>
      <c r="B205" s="221">
        <v>2</v>
      </c>
      <c r="C205" s="61" t="s">
        <v>362</v>
      </c>
      <c r="D205" s="67"/>
      <c r="E205" s="194">
        <v>6</v>
      </c>
      <c r="F205" s="159" t="s">
        <v>185</v>
      </c>
      <c r="G205" s="160"/>
      <c r="H205" s="161"/>
      <c r="I205" s="160"/>
      <c r="J205" s="161"/>
      <c r="K205" s="159"/>
      <c r="L205" s="162"/>
    </row>
    <row r="206" spans="1:12" ht="24">
      <c r="A206" s="201"/>
      <c r="B206" s="221">
        <v>4</v>
      </c>
      <c r="C206" s="61" t="s">
        <v>364</v>
      </c>
      <c r="D206" s="67"/>
      <c r="E206" s="194">
        <v>10</v>
      </c>
      <c r="F206" s="159" t="s">
        <v>185</v>
      </c>
      <c r="G206" s="160"/>
      <c r="H206" s="161"/>
      <c r="I206" s="160"/>
      <c r="J206" s="161"/>
      <c r="K206" s="159"/>
      <c r="L206" s="162"/>
    </row>
    <row r="207" spans="1:12" ht="24">
      <c r="A207" s="201"/>
      <c r="B207" s="221">
        <v>5</v>
      </c>
      <c r="C207" s="61" t="s">
        <v>365</v>
      </c>
      <c r="D207" s="67"/>
      <c r="E207" s="194">
        <v>1</v>
      </c>
      <c r="F207" s="159" t="s">
        <v>185</v>
      </c>
      <c r="G207" s="160"/>
      <c r="H207" s="161"/>
      <c r="I207" s="160"/>
      <c r="J207" s="161"/>
      <c r="K207" s="159"/>
      <c r="L207" s="162"/>
    </row>
    <row r="208" spans="1:12" ht="24">
      <c r="A208" s="201"/>
      <c r="B208" s="221">
        <v>6</v>
      </c>
      <c r="C208" s="61" t="s">
        <v>366</v>
      </c>
      <c r="D208" s="67"/>
      <c r="E208" s="194">
        <v>1</v>
      </c>
      <c r="F208" s="159" t="s">
        <v>185</v>
      </c>
      <c r="G208" s="160"/>
      <c r="H208" s="161"/>
      <c r="I208" s="160"/>
      <c r="J208" s="161"/>
      <c r="K208" s="159"/>
      <c r="L208" s="162"/>
    </row>
    <row r="209" spans="1:12" ht="24">
      <c r="A209" s="201"/>
      <c r="B209" s="221">
        <v>7</v>
      </c>
      <c r="C209" s="61" t="s">
        <v>367</v>
      </c>
      <c r="D209" s="67"/>
      <c r="E209" s="194">
        <v>9</v>
      </c>
      <c r="F209" s="159" t="s">
        <v>185</v>
      </c>
      <c r="G209" s="160"/>
      <c r="H209" s="161"/>
      <c r="I209" s="160"/>
      <c r="J209" s="161"/>
      <c r="K209" s="159"/>
      <c r="L209" s="162"/>
    </row>
    <row r="210" spans="1:12" ht="24">
      <c r="A210" s="201"/>
      <c r="B210" s="221"/>
      <c r="C210" s="61"/>
      <c r="D210" s="67"/>
      <c r="E210" s="159"/>
      <c r="F210" s="159"/>
      <c r="G210" s="160"/>
      <c r="H210" s="161"/>
      <c r="I210" s="160"/>
      <c r="J210" s="161"/>
      <c r="K210" s="159"/>
      <c r="L210" s="162"/>
    </row>
    <row r="211" spans="1:12" ht="24">
      <c r="A211" s="201"/>
      <c r="B211" s="221"/>
      <c r="C211" s="61"/>
      <c r="D211" s="67"/>
      <c r="E211" s="159"/>
      <c r="F211" s="159"/>
      <c r="G211" s="160"/>
      <c r="H211" s="161"/>
      <c r="I211" s="160"/>
      <c r="J211" s="161"/>
      <c r="K211" s="159"/>
      <c r="L211" s="162"/>
    </row>
    <row r="212" spans="1:12" ht="24.75" thickBot="1">
      <c r="A212" s="201"/>
      <c r="B212" s="60"/>
      <c r="C212" s="61"/>
      <c r="D212" s="67"/>
      <c r="E212" s="159"/>
      <c r="F212" s="159"/>
      <c r="G212" s="160"/>
      <c r="H212" s="161"/>
      <c r="I212" s="160"/>
      <c r="J212" s="161"/>
      <c r="K212" s="159"/>
      <c r="L212" s="162"/>
    </row>
    <row r="213" spans="1:12" ht="24.75" thickTop="1">
      <c r="A213" s="149"/>
      <c r="B213" s="1981" t="s">
        <v>69</v>
      </c>
      <c r="C213" s="1982"/>
      <c r="D213" s="1983"/>
      <c r="E213" s="164"/>
      <c r="F213" s="164"/>
      <c r="G213" s="165"/>
      <c r="H213" s="166"/>
      <c r="I213" s="165"/>
      <c r="J213" s="166"/>
      <c r="K213" s="164"/>
      <c r="L213" s="167"/>
    </row>
    <row r="214" spans="1:12" ht="24">
      <c r="A214" s="206" t="s">
        <v>194</v>
      </c>
      <c r="B214" s="133" t="s">
        <v>114</v>
      </c>
      <c r="C214" s="142"/>
      <c r="D214" s="143"/>
      <c r="E214" s="155"/>
      <c r="F214" s="155"/>
      <c r="G214" s="156"/>
      <c r="H214" s="157"/>
      <c r="I214" s="156"/>
      <c r="J214" s="157"/>
      <c r="K214" s="158"/>
      <c r="L214" s="158"/>
    </row>
    <row r="215" spans="1:12" ht="24">
      <c r="A215" s="205"/>
      <c r="B215" s="222" t="s">
        <v>315</v>
      </c>
      <c r="C215" s="54"/>
      <c r="D215" s="55"/>
      <c r="E215" s="159">
        <v>8</v>
      </c>
      <c r="F215" s="159" t="s">
        <v>185</v>
      </c>
      <c r="G215" s="160"/>
      <c r="H215" s="161"/>
      <c r="I215" s="160"/>
      <c r="J215" s="161"/>
      <c r="K215" s="159"/>
      <c r="L215" s="162"/>
    </row>
    <row r="216" spans="1:12" ht="24">
      <c r="A216" s="200"/>
      <c r="B216" s="222" t="s">
        <v>316</v>
      </c>
      <c r="C216" s="61"/>
      <c r="D216" s="62"/>
      <c r="E216" s="158">
        <v>15</v>
      </c>
      <c r="F216" s="159" t="s">
        <v>185</v>
      </c>
      <c r="G216" s="156"/>
      <c r="H216" s="157"/>
      <c r="I216" s="156"/>
      <c r="J216" s="157"/>
      <c r="K216" s="158"/>
      <c r="L216" s="163"/>
    </row>
    <row r="217" spans="1:12" ht="24">
      <c r="A217" s="200"/>
      <c r="B217" s="222" t="s">
        <v>317</v>
      </c>
      <c r="C217" s="61"/>
      <c r="D217" s="62"/>
      <c r="E217" s="158">
        <v>13</v>
      </c>
      <c r="F217" s="159" t="s">
        <v>185</v>
      </c>
      <c r="G217" s="156"/>
      <c r="H217" s="157"/>
      <c r="I217" s="156"/>
      <c r="J217" s="157"/>
      <c r="K217" s="158"/>
      <c r="L217" s="163"/>
    </row>
    <row r="218" spans="1:12" ht="24">
      <c r="A218" s="200"/>
      <c r="B218" s="222" t="s">
        <v>336</v>
      </c>
      <c r="C218" s="61"/>
      <c r="D218" s="62"/>
      <c r="E218" s="158">
        <v>13</v>
      </c>
      <c r="F218" s="159" t="s">
        <v>185</v>
      </c>
      <c r="G218" s="156"/>
      <c r="H218" s="157"/>
      <c r="I218" s="156"/>
      <c r="J218" s="157"/>
      <c r="K218" s="158"/>
      <c r="L218" s="163"/>
    </row>
    <row r="219" spans="1:12" ht="24">
      <c r="A219" s="200"/>
      <c r="B219" s="222" t="s">
        <v>318</v>
      </c>
      <c r="C219" s="61"/>
      <c r="D219" s="67"/>
      <c r="E219" s="159">
        <v>5</v>
      </c>
      <c r="F219" s="159" t="s">
        <v>185</v>
      </c>
      <c r="G219" s="160"/>
      <c r="H219" s="161"/>
      <c r="I219" s="160"/>
      <c r="J219" s="161"/>
      <c r="K219" s="159"/>
      <c r="L219" s="162"/>
    </row>
    <row r="220" spans="1:12" ht="24">
      <c r="A220" s="200"/>
      <c r="B220" s="222" t="s">
        <v>319</v>
      </c>
      <c r="C220" s="61"/>
      <c r="D220" s="67"/>
      <c r="E220" s="159">
        <v>15</v>
      </c>
      <c r="F220" s="159" t="s">
        <v>185</v>
      </c>
      <c r="G220" s="160"/>
      <c r="H220" s="161"/>
      <c r="I220" s="160"/>
      <c r="J220" s="161"/>
      <c r="K220" s="159"/>
      <c r="L220" s="162"/>
    </row>
    <row r="221" spans="1:12" ht="24">
      <c r="A221" s="200"/>
      <c r="B221" s="222" t="s">
        <v>320</v>
      </c>
      <c r="C221" s="61"/>
      <c r="D221" s="67"/>
      <c r="E221" s="159">
        <v>15</v>
      </c>
      <c r="F221" s="159" t="s">
        <v>185</v>
      </c>
      <c r="G221" s="160"/>
      <c r="H221" s="161"/>
      <c r="I221" s="160"/>
      <c r="J221" s="161"/>
      <c r="K221" s="159"/>
      <c r="L221" s="162"/>
    </row>
    <row r="222" spans="1:12" ht="24">
      <c r="A222" s="200"/>
      <c r="B222" s="222" t="s">
        <v>322</v>
      </c>
      <c r="C222" s="61"/>
      <c r="D222" s="67"/>
      <c r="E222" s="159">
        <v>3</v>
      </c>
      <c r="F222" s="159" t="s">
        <v>185</v>
      </c>
      <c r="G222" s="160"/>
      <c r="H222" s="161"/>
      <c r="I222" s="160"/>
      <c r="J222" s="161"/>
      <c r="K222" s="159"/>
      <c r="L222" s="162"/>
    </row>
    <row r="223" spans="1:12" ht="24">
      <c r="A223" s="200"/>
      <c r="B223" s="222" t="s">
        <v>323</v>
      </c>
      <c r="C223" s="61"/>
      <c r="D223" s="67"/>
      <c r="E223" s="159">
        <v>1</v>
      </c>
      <c r="F223" s="159" t="s">
        <v>185</v>
      </c>
      <c r="G223" s="160"/>
      <c r="H223" s="161"/>
      <c r="I223" s="160"/>
      <c r="J223" s="161"/>
      <c r="K223" s="159"/>
      <c r="L223" s="162"/>
    </row>
    <row r="224" spans="1:12" ht="24">
      <c r="A224" s="200"/>
      <c r="B224" s="222" t="s">
        <v>324</v>
      </c>
      <c r="C224" s="61"/>
      <c r="D224" s="67"/>
      <c r="E224" s="159">
        <v>1</v>
      </c>
      <c r="F224" s="159" t="s">
        <v>185</v>
      </c>
      <c r="G224" s="160"/>
      <c r="H224" s="161"/>
      <c r="I224" s="160"/>
      <c r="J224" s="161"/>
      <c r="K224" s="159"/>
      <c r="L224" s="162"/>
    </row>
    <row r="225" spans="1:12" ht="24">
      <c r="A225" s="200"/>
      <c r="B225" s="222" t="s">
        <v>325</v>
      </c>
      <c r="C225" s="61"/>
      <c r="D225" s="67"/>
      <c r="E225" s="159">
        <v>1</v>
      </c>
      <c r="F225" s="159" t="s">
        <v>185</v>
      </c>
      <c r="G225" s="160"/>
      <c r="H225" s="161"/>
      <c r="I225" s="160"/>
      <c r="J225" s="161"/>
      <c r="K225" s="159"/>
      <c r="L225" s="162"/>
    </row>
    <row r="226" spans="1:12" ht="24">
      <c r="A226" s="200"/>
      <c r="B226" s="222" t="s">
        <v>337</v>
      </c>
      <c r="C226" s="61"/>
      <c r="D226" s="67"/>
      <c r="E226" s="159">
        <v>3</v>
      </c>
      <c r="F226" s="159" t="s">
        <v>185</v>
      </c>
      <c r="G226" s="160"/>
      <c r="H226" s="161"/>
      <c r="I226" s="160"/>
      <c r="J226" s="161"/>
      <c r="K226" s="159"/>
      <c r="L226" s="162"/>
    </row>
    <row r="227" spans="1:12" ht="24">
      <c r="A227" s="200"/>
      <c r="B227" s="222" t="s">
        <v>338</v>
      </c>
      <c r="C227" s="61"/>
      <c r="D227" s="67"/>
      <c r="E227" s="159">
        <v>1</v>
      </c>
      <c r="F227" s="159" t="s">
        <v>185</v>
      </c>
      <c r="G227" s="160"/>
      <c r="H227" s="161"/>
      <c r="I227" s="160"/>
      <c r="J227" s="161"/>
      <c r="K227" s="159"/>
      <c r="L227" s="162"/>
    </row>
    <row r="228" spans="1:12" ht="24">
      <c r="A228" s="200"/>
      <c r="B228" s="222" t="s">
        <v>340</v>
      </c>
      <c r="C228" s="61"/>
      <c r="D228" s="67"/>
      <c r="E228" s="159">
        <v>1</v>
      </c>
      <c r="F228" s="159" t="s">
        <v>185</v>
      </c>
      <c r="G228" s="160"/>
      <c r="H228" s="161"/>
      <c r="I228" s="160"/>
      <c r="J228" s="161"/>
      <c r="K228" s="159"/>
      <c r="L228" s="162"/>
    </row>
    <row r="229" spans="1:12" ht="24">
      <c r="A229" s="200"/>
      <c r="B229" s="222" t="s">
        <v>339</v>
      </c>
      <c r="C229" s="61"/>
      <c r="D229" s="67"/>
      <c r="E229" s="159">
        <v>1</v>
      </c>
      <c r="F229" s="159" t="s">
        <v>185</v>
      </c>
      <c r="G229" s="160"/>
      <c r="H229" s="161"/>
      <c r="I229" s="160"/>
      <c r="J229" s="161"/>
      <c r="K229" s="159"/>
      <c r="L229" s="162"/>
    </row>
    <row r="230" spans="1:12" ht="24">
      <c r="A230" s="200"/>
      <c r="B230" s="222" t="s">
        <v>321</v>
      </c>
      <c r="C230" s="61"/>
      <c r="D230" s="67"/>
      <c r="E230" s="159">
        <v>14</v>
      </c>
      <c r="F230" s="159" t="s">
        <v>185</v>
      </c>
      <c r="G230" s="160"/>
      <c r="H230" s="161"/>
      <c r="I230" s="160"/>
      <c r="J230" s="161"/>
      <c r="K230" s="159"/>
      <c r="L230" s="162"/>
    </row>
    <row r="231" spans="1:12" ht="24">
      <c r="A231" s="201"/>
      <c r="B231" s="222" t="s">
        <v>335</v>
      </c>
      <c r="C231" s="61"/>
      <c r="D231" s="67"/>
      <c r="E231" s="159">
        <v>12</v>
      </c>
      <c r="F231" s="159" t="s">
        <v>185</v>
      </c>
      <c r="G231" s="160"/>
      <c r="H231" s="161"/>
      <c r="I231" s="160"/>
      <c r="J231" s="161"/>
      <c r="K231" s="159"/>
      <c r="L231" s="162"/>
    </row>
    <row r="232" spans="1:12" ht="24">
      <c r="A232" s="201"/>
      <c r="B232" s="222" t="s">
        <v>341</v>
      </c>
      <c r="C232" s="61"/>
      <c r="D232" s="67"/>
      <c r="E232" s="159">
        <v>2</v>
      </c>
      <c r="F232" s="159" t="s">
        <v>185</v>
      </c>
      <c r="G232" s="160"/>
      <c r="H232" s="161"/>
      <c r="I232" s="160"/>
      <c r="J232" s="161"/>
      <c r="K232" s="159"/>
      <c r="L232" s="162"/>
    </row>
    <row r="233" spans="1:12" ht="24">
      <c r="A233" s="201"/>
      <c r="B233" s="222" t="s">
        <v>342</v>
      </c>
      <c r="C233" s="61"/>
      <c r="D233" s="67"/>
      <c r="E233" s="159">
        <v>3</v>
      </c>
      <c r="F233" s="159" t="s">
        <v>185</v>
      </c>
      <c r="G233" s="160"/>
      <c r="H233" s="161"/>
      <c r="I233" s="160"/>
      <c r="J233" s="161"/>
      <c r="K233" s="159"/>
      <c r="L233" s="162"/>
    </row>
    <row r="234" spans="1:12" ht="24.75" thickBot="1">
      <c r="A234" s="229"/>
      <c r="B234" s="230"/>
      <c r="C234" s="215"/>
      <c r="D234" s="231"/>
      <c r="E234" s="232"/>
      <c r="F234" s="232"/>
      <c r="G234" s="233"/>
      <c r="H234" s="234"/>
      <c r="I234" s="233"/>
      <c r="J234" s="234"/>
      <c r="K234" s="232"/>
      <c r="L234" s="235"/>
    </row>
    <row r="235" spans="1:12" ht="24.75" thickTop="1">
      <c r="A235" s="149"/>
      <c r="B235" s="1981" t="s">
        <v>69</v>
      </c>
      <c r="C235" s="1982"/>
      <c r="D235" s="1983"/>
      <c r="E235" s="164"/>
      <c r="F235" s="164"/>
      <c r="G235" s="165"/>
      <c r="H235" s="166"/>
      <c r="I235" s="165"/>
      <c r="J235" s="166"/>
      <c r="K235" s="164"/>
      <c r="L235" s="167"/>
    </row>
    <row r="236" spans="1:12" ht="24">
      <c r="A236" s="202" t="s">
        <v>108</v>
      </c>
      <c r="B236" s="2007" t="str">
        <f>B54</f>
        <v xml:space="preserve"> อาคาร 2  อาคารสำนักงาน และ Workshop ส่วนสุขาภิบาลและส่วนอาคาร </v>
      </c>
      <c r="C236" s="2008"/>
      <c r="D236" s="2009"/>
      <c r="E236" s="155"/>
      <c r="F236" s="155"/>
      <c r="G236" s="156"/>
      <c r="H236" s="157"/>
      <c r="I236" s="156"/>
      <c r="J236" s="157"/>
      <c r="K236" s="158"/>
      <c r="L236" s="158"/>
    </row>
    <row r="237" spans="1:12" ht="24">
      <c r="A237" s="202"/>
      <c r="B237" s="2001" t="str">
        <f>B55</f>
        <v xml:space="preserve"> ฝ่ายสนามบินและอาคาร ขนาด 3 ชั้น (อาคาร B)</v>
      </c>
      <c r="C237" s="2002"/>
      <c r="D237" s="2003"/>
      <c r="E237" s="155"/>
      <c r="F237" s="155"/>
      <c r="G237" s="156"/>
      <c r="H237" s="157"/>
      <c r="I237" s="156"/>
      <c r="J237" s="157"/>
      <c r="K237" s="158"/>
      <c r="L237" s="158"/>
    </row>
    <row r="238" spans="1:12" ht="24">
      <c r="A238" s="202"/>
      <c r="B238" s="2001" t="s">
        <v>284</v>
      </c>
      <c r="C238" s="2002"/>
      <c r="D238" s="2003"/>
      <c r="E238" s="196"/>
      <c r="F238" s="155"/>
      <c r="G238" s="156"/>
      <c r="H238" s="157"/>
      <c r="I238" s="156"/>
      <c r="J238" s="157"/>
      <c r="K238" s="158"/>
      <c r="L238" s="158"/>
    </row>
    <row r="239" spans="1:12" ht="24">
      <c r="A239" s="204" t="s">
        <v>195</v>
      </c>
      <c r="B239" s="134" t="s">
        <v>93</v>
      </c>
      <c r="C239" s="54"/>
      <c r="D239" s="55"/>
      <c r="E239" s="159"/>
      <c r="F239" s="159" t="s">
        <v>182</v>
      </c>
      <c r="G239" s="160"/>
      <c r="H239" s="161"/>
      <c r="I239" s="160"/>
      <c r="J239" s="161"/>
      <c r="K239" s="159"/>
      <c r="L239" s="162"/>
    </row>
    <row r="240" spans="1:12" ht="24">
      <c r="A240" s="199" t="s">
        <v>196</v>
      </c>
      <c r="B240" s="133" t="s">
        <v>109</v>
      </c>
      <c r="C240" s="61"/>
      <c r="D240" s="62"/>
      <c r="E240" s="158"/>
      <c r="F240" s="158" t="s">
        <v>182</v>
      </c>
      <c r="G240" s="156"/>
      <c r="H240" s="157"/>
      <c r="I240" s="156"/>
      <c r="J240" s="157"/>
      <c r="K240" s="158"/>
      <c r="L240" s="163"/>
    </row>
    <row r="241" spans="1:12" ht="24">
      <c r="A241" s="204" t="s">
        <v>197</v>
      </c>
      <c r="B241" s="133" t="s">
        <v>110</v>
      </c>
      <c r="C241" s="61"/>
      <c r="D241" s="62"/>
      <c r="E241" s="158"/>
      <c r="F241" s="158" t="s">
        <v>182</v>
      </c>
      <c r="G241" s="156"/>
      <c r="H241" s="157"/>
      <c r="I241" s="156"/>
      <c r="J241" s="157"/>
      <c r="K241" s="158"/>
      <c r="L241" s="163"/>
    </row>
    <row r="242" spans="1:12" ht="24">
      <c r="A242" s="199" t="s">
        <v>198</v>
      </c>
      <c r="B242" s="133" t="s">
        <v>111</v>
      </c>
      <c r="C242" s="61"/>
      <c r="D242" s="67"/>
      <c r="E242" s="159"/>
      <c r="F242" s="159" t="s">
        <v>182</v>
      </c>
      <c r="G242" s="160"/>
      <c r="H242" s="161"/>
      <c r="I242" s="160"/>
      <c r="J242" s="161"/>
      <c r="K242" s="159"/>
      <c r="L242" s="162"/>
    </row>
    <row r="243" spans="1:12" ht="24">
      <c r="A243" s="204" t="s">
        <v>199</v>
      </c>
      <c r="B243" s="133" t="s">
        <v>112</v>
      </c>
      <c r="C243" s="61"/>
      <c r="D243" s="67"/>
      <c r="E243" s="159"/>
      <c r="F243" s="159" t="s">
        <v>182</v>
      </c>
      <c r="G243" s="160"/>
      <c r="H243" s="161"/>
      <c r="I243" s="160"/>
      <c r="J243" s="161"/>
      <c r="K243" s="159"/>
      <c r="L243" s="162"/>
    </row>
    <row r="244" spans="1:12" ht="24">
      <c r="A244" s="199" t="s">
        <v>200</v>
      </c>
      <c r="B244" s="133" t="s">
        <v>113</v>
      </c>
      <c r="C244" s="61"/>
      <c r="D244" s="67"/>
      <c r="E244" s="159"/>
      <c r="F244" s="159" t="s">
        <v>182</v>
      </c>
      <c r="G244" s="160"/>
      <c r="H244" s="161"/>
      <c r="I244" s="160"/>
      <c r="J244" s="161"/>
      <c r="K244" s="159"/>
      <c r="L244" s="162"/>
    </row>
    <row r="245" spans="1:12" ht="24">
      <c r="A245" s="204" t="s">
        <v>201</v>
      </c>
      <c r="B245" s="133" t="s">
        <v>114</v>
      </c>
      <c r="C245" s="61"/>
      <c r="D245" s="67"/>
      <c r="E245" s="159"/>
      <c r="F245" s="159" t="s">
        <v>182</v>
      </c>
      <c r="G245" s="160"/>
      <c r="H245" s="161"/>
      <c r="I245" s="160"/>
      <c r="J245" s="161"/>
      <c r="K245" s="159"/>
      <c r="L245" s="162"/>
    </row>
    <row r="246" spans="1:12" ht="24">
      <c r="A246" s="199"/>
      <c r="B246" s="133"/>
      <c r="C246" s="61"/>
      <c r="D246" s="67"/>
      <c r="E246" s="159"/>
      <c r="F246" s="159"/>
      <c r="G246" s="160"/>
      <c r="H246" s="161"/>
      <c r="I246" s="160"/>
      <c r="J246" s="161"/>
      <c r="K246" s="159"/>
      <c r="L246" s="162"/>
    </row>
    <row r="247" spans="1:12" ht="24">
      <c r="A247" s="204"/>
      <c r="B247" s="133"/>
      <c r="C247" s="61"/>
      <c r="D247" s="67"/>
      <c r="E247" s="159"/>
      <c r="F247" s="159"/>
      <c r="G247" s="160"/>
      <c r="H247" s="161"/>
      <c r="I247" s="160"/>
      <c r="J247" s="161"/>
      <c r="K247" s="159"/>
      <c r="L247" s="162"/>
    </row>
    <row r="248" spans="1:12" ht="24">
      <c r="A248" s="199"/>
      <c r="B248" s="133"/>
      <c r="C248" s="61"/>
      <c r="D248" s="67"/>
      <c r="E248" s="159"/>
      <c r="F248" s="159"/>
      <c r="G248" s="160"/>
      <c r="H248" s="161"/>
      <c r="I248" s="160"/>
      <c r="J248" s="161"/>
      <c r="K248" s="159"/>
      <c r="L248" s="162"/>
    </row>
    <row r="249" spans="1:12" ht="24">
      <c r="A249" s="199"/>
      <c r="B249" s="133"/>
      <c r="C249" s="61"/>
      <c r="D249" s="67"/>
      <c r="E249" s="159"/>
      <c r="F249" s="159"/>
      <c r="G249" s="160"/>
      <c r="H249" s="161"/>
      <c r="I249" s="160"/>
      <c r="J249" s="161"/>
      <c r="K249" s="159"/>
      <c r="L249" s="162"/>
    </row>
    <row r="250" spans="1:12" ht="24">
      <c r="A250" s="199"/>
      <c r="B250" s="133"/>
      <c r="C250" s="61"/>
      <c r="D250" s="67"/>
      <c r="E250" s="159"/>
      <c r="F250" s="159"/>
      <c r="G250" s="160"/>
      <c r="H250" s="161"/>
      <c r="I250" s="160"/>
      <c r="J250" s="161"/>
      <c r="K250" s="159"/>
      <c r="L250" s="162"/>
    </row>
    <row r="251" spans="1:12" ht="24">
      <c r="A251" s="199"/>
      <c r="B251" s="133"/>
      <c r="C251" s="61"/>
      <c r="D251" s="67"/>
      <c r="E251" s="159"/>
      <c r="F251" s="159"/>
      <c r="G251" s="160"/>
      <c r="H251" s="161"/>
      <c r="I251" s="160"/>
      <c r="J251" s="161"/>
      <c r="K251" s="159"/>
      <c r="L251" s="162"/>
    </row>
    <row r="252" spans="1:12" ht="24">
      <c r="A252" s="199"/>
      <c r="B252" s="133"/>
      <c r="C252" s="61"/>
      <c r="D252" s="67"/>
      <c r="E252" s="159"/>
      <c r="F252" s="159"/>
      <c r="G252" s="160"/>
      <c r="H252" s="161"/>
      <c r="I252" s="160"/>
      <c r="J252" s="161"/>
      <c r="K252" s="159"/>
      <c r="L252" s="162"/>
    </row>
    <row r="253" spans="1:12" ht="24">
      <c r="A253" s="199"/>
      <c r="B253" s="133"/>
      <c r="C253" s="61"/>
      <c r="D253" s="67"/>
      <c r="E253" s="159"/>
      <c r="F253" s="159"/>
      <c r="G253" s="160"/>
      <c r="H253" s="161"/>
      <c r="I253" s="160"/>
      <c r="J253" s="161"/>
      <c r="K253" s="159"/>
      <c r="L253" s="162"/>
    </row>
    <row r="254" spans="1:12" ht="24">
      <c r="A254" s="201"/>
      <c r="B254" s="60"/>
      <c r="C254" s="61"/>
      <c r="D254" s="67"/>
      <c r="E254" s="159"/>
      <c r="F254" s="159"/>
      <c r="G254" s="160"/>
      <c r="H254" s="161"/>
      <c r="I254" s="160"/>
      <c r="J254" s="161"/>
      <c r="K254" s="159"/>
      <c r="L254" s="162"/>
    </row>
    <row r="255" spans="1:12" ht="24">
      <c r="A255" s="201"/>
      <c r="B255" s="60"/>
      <c r="C255" s="61"/>
      <c r="D255" s="67"/>
      <c r="E255" s="159"/>
      <c r="F255" s="159"/>
      <c r="G255" s="160"/>
      <c r="H255" s="161"/>
      <c r="I255" s="160"/>
      <c r="J255" s="161"/>
      <c r="K255" s="159"/>
      <c r="L255" s="162"/>
    </row>
    <row r="256" spans="1:12" ht="24.75" thickBot="1">
      <c r="A256" s="201"/>
      <c r="B256" s="60"/>
      <c r="C256" s="61"/>
      <c r="D256" s="67"/>
      <c r="E256" s="159"/>
      <c r="F256" s="159"/>
      <c r="G256" s="160"/>
      <c r="H256" s="161"/>
      <c r="I256" s="160"/>
      <c r="J256" s="161"/>
      <c r="K256" s="159"/>
      <c r="L256" s="162"/>
    </row>
    <row r="257" spans="1:12" ht="24.75" thickTop="1">
      <c r="A257" s="149"/>
      <c r="B257" s="2004" t="s">
        <v>69</v>
      </c>
      <c r="C257" s="2005"/>
      <c r="D257" s="2006"/>
      <c r="E257" s="168"/>
      <c r="F257" s="168"/>
      <c r="G257" s="169"/>
      <c r="H257" s="170"/>
      <c r="I257" s="169"/>
      <c r="J257" s="170"/>
      <c r="K257" s="168"/>
      <c r="L257" s="171"/>
    </row>
    <row r="258" spans="1:12" ht="24">
      <c r="A258" s="204" t="s">
        <v>195</v>
      </c>
      <c r="B258" s="53" t="s">
        <v>93</v>
      </c>
      <c r="C258" s="142"/>
      <c r="D258" s="143"/>
      <c r="E258" s="155"/>
      <c r="F258" s="155"/>
      <c r="G258" s="156"/>
      <c r="H258" s="157"/>
      <c r="I258" s="156"/>
      <c r="J258" s="157"/>
      <c r="K258" s="158"/>
      <c r="L258" s="158"/>
    </row>
    <row r="259" spans="1:12" ht="24">
      <c r="A259" s="205"/>
      <c r="B259" s="144" t="s">
        <v>117</v>
      </c>
      <c r="C259" s="61" t="s">
        <v>125</v>
      </c>
      <c r="D259" s="55"/>
      <c r="E259" s="159">
        <v>0</v>
      </c>
      <c r="F259" s="159" t="s">
        <v>183</v>
      </c>
      <c r="G259" s="160">
        <v>0</v>
      </c>
      <c r="H259" s="161">
        <f>ROUND(E259*G259,2)</f>
        <v>0</v>
      </c>
      <c r="I259" s="160">
        <v>0</v>
      </c>
      <c r="J259" s="161">
        <f>ROUND(E259*I259,2)</f>
        <v>0</v>
      </c>
      <c r="K259" s="159">
        <f>ROUND(H259+J259,2)</f>
        <v>0</v>
      </c>
      <c r="L259" s="162"/>
    </row>
    <row r="260" spans="1:12" ht="24">
      <c r="A260" s="200"/>
      <c r="B260" s="145" t="s">
        <v>118</v>
      </c>
      <c r="C260" s="61" t="s">
        <v>126</v>
      </c>
      <c r="D260" s="62"/>
      <c r="E260" s="158">
        <v>0</v>
      </c>
      <c r="F260" s="158" t="s">
        <v>183</v>
      </c>
      <c r="G260" s="156">
        <v>0</v>
      </c>
      <c r="H260" s="161">
        <f t="shared" ref="H260:H266" si="49">ROUND(E260*G260,2)</f>
        <v>0</v>
      </c>
      <c r="I260" s="160">
        <v>0</v>
      </c>
      <c r="J260" s="161">
        <f t="shared" ref="J260:J266" si="50">ROUND(E260*I260,2)</f>
        <v>0</v>
      </c>
      <c r="K260" s="159">
        <f t="shared" ref="K260:K266" si="51">ROUND(H260+J260,2)</f>
        <v>0</v>
      </c>
      <c r="L260" s="163"/>
    </row>
    <row r="261" spans="1:12" ht="24">
      <c r="A261" s="200"/>
      <c r="B261" s="145" t="s">
        <v>119</v>
      </c>
      <c r="C261" s="61" t="s">
        <v>210</v>
      </c>
      <c r="D261" s="62"/>
      <c r="E261" s="158"/>
      <c r="F261" s="158" t="s">
        <v>183</v>
      </c>
      <c r="G261" s="156">
        <v>76</v>
      </c>
      <c r="H261" s="161">
        <f t="shared" si="49"/>
        <v>0</v>
      </c>
      <c r="I261" s="160">
        <v>82</v>
      </c>
      <c r="J261" s="161">
        <f t="shared" si="50"/>
        <v>0</v>
      </c>
      <c r="K261" s="159">
        <f t="shared" si="51"/>
        <v>0</v>
      </c>
      <c r="L261" s="163"/>
    </row>
    <row r="262" spans="1:12" ht="24">
      <c r="A262" s="200"/>
      <c r="B262" s="145" t="s">
        <v>120</v>
      </c>
      <c r="C262" s="61" t="s">
        <v>211</v>
      </c>
      <c r="D262" s="67"/>
      <c r="E262" s="159"/>
      <c r="F262" s="159" t="s">
        <v>183</v>
      </c>
      <c r="G262" s="160">
        <v>83</v>
      </c>
      <c r="H262" s="161">
        <f t="shared" si="49"/>
        <v>0</v>
      </c>
      <c r="I262" s="160">
        <v>82</v>
      </c>
      <c r="J262" s="161">
        <f t="shared" si="50"/>
        <v>0</v>
      </c>
      <c r="K262" s="159">
        <f t="shared" si="51"/>
        <v>0</v>
      </c>
      <c r="L262" s="162"/>
    </row>
    <row r="263" spans="1:12" ht="24">
      <c r="A263" s="200"/>
      <c r="B263" s="145" t="s">
        <v>121</v>
      </c>
      <c r="C263" s="61" t="s">
        <v>212</v>
      </c>
      <c r="D263" s="67"/>
      <c r="E263" s="159"/>
      <c r="F263" s="159" t="s">
        <v>183</v>
      </c>
      <c r="G263" s="160">
        <v>105</v>
      </c>
      <c r="H263" s="161">
        <f t="shared" si="49"/>
        <v>0</v>
      </c>
      <c r="I263" s="160">
        <v>61</v>
      </c>
      <c r="J263" s="161">
        <f t="shared" si="50"/>
        <v>0</v>
      </c>
      <c r="K263" s="159">
        <f t="shared" si="51"/>
        <v>0</v>
      </c>
      <c r="L263" s="162"/>
    </row>
    <row r="264" spans="1:12" ht="24">
      <c r="A264" s="200"/>
      <c r="B264" s="145" t="s">
        <v>122</v>
      </c>
      <c r="C264" s="61" t="s">
        <v>127</v>
      </c>
      <c r="D264" s="67"/>
      <c r="E264" s="159">
        <v>65.42</v>
      </c>
      <c r="F264" s="159" t="s">
        <v>183</v>
      </c>
      <c r="G264" s="160">
        <v>690</v>
      </c>
      <c r="H264" s="161">
        <f t="shared" si="49"/>
        <v>45139.8</v>
      </c>
      <c r="I264" s="160">
        <v>175</v>
      </c>
      <c r="J264" s="161">
        <f t="shared" si="50"/>
        <v>11448.5</v>
      </c>
      <c r="K264" s="159">
        <f t="shared" si="51"/>
        <v>56588.3</v>
      </c>
      <c r="L264" s="162"/>
    </row>
    <row r="265" spans="1:12" ht="24">
      <c r="A265" s="200"/>
      <c r="B265" s="145" t="s">
        <v>123</v>
      </c>
      <c r="C265" s="61" t="s">
        <v>213</v>
      </c>
      <c r="D265" s="67"/>
      <c r="E265" s="159">
        <f>26.7+20.16</f>
        <v>46.86</v>
      </c>
      <c r="F265" s="159" t="s">
        <v>183</v>
      </c>
      <c r="G265" s="160">
        <v>850</v>
      </c>
      <c r="H265" s="161">
        <f t="shared" si="49"/>
        <v>39831</v>
      </c>
      <c r="I265" s="160">
        <v>175</v>
      </c>
      <c r="J265" s="161">
        <f t="shared" si="50"/>
        <v>8200.5</v>
      </c>
      <c r="K265" s="159">
        <f t="shared" si="51"/>
        <v>48031.5</v>
      </c>
      <c r="L265" s="162"/>
    </row>
    <row r="266" spans="1:12" ht="24">
      <c r="A266" s="200"/>
      <c r="B266" s="145" t="s">
        <v>124</v>
      </c>
      <c r="C266" s="61" t="s">
        <v>288</v>
      </c>
      <c r="D266" s="67"/>
      <c r="E266" s="159"/>
      <c r="F266" s="159" t="s">
        <v>183</v>
      </c>
      <c r="G266" s="160">
        <v>2000</v>
      </c>
      <c r="H266" s="161">
        <f t="shared" si="49"/>
        <v>0</v>
      </c>
      <c r="I266" s="160">
        <v>198</v>
      </c>
      <c r="J266" s="161">
        <f t="shared" si="50"/>
        <v>0</v>
      </c>
      <c r="K266" s="159">
        <f t="shared" si="51"/>
        <v>0</v>
      </c>
      <c r="L266" s="162"/>
    </row>
    <row r="267" spans="1:12" ht="24">
      <c r="A267" s="200"/>
      <c r="B267" s="145" t="s">
        <v>216</v>
      </c>
      <c r="C267" s="61" t="s">
        <v>289</v>
      </c>
      <c r="D267" s="67"/>
      <c r="E267" s="159"/>
      <c r="F267" s="159" t="s">
        <v>183</v>
      </c>
      <c r="G267" s="183">
        <f>500+105</f>
        <v>605</v>
      </c>
      <c r="H267" s="161">
        <f>ROUND(E267*G267,2)</f>
        <v>0</v>
      </c>
      <c r="I267" s="160">
        <f>100+61</f>
        <v>161</v>
      </c>
      <c r="J267" s="161">
        <f>ROUND(E267*I267,2)</f>
        <v>0</v>
      </c>
      <c r="K267" s="159">
        <f>ROUND(H267+J267,2)</f>
        <v>0</v>
      </c>
      <c r="L267" s="162"/>
    </row>
    <row r="268" spans="1:12" ht="24">
      <c r="A268" s="200"/>
      <c r="B268" s="60"/>
      <c r="C268" s="61" t="s">
        <v>290</v>
      </c>
      <c r="D268" s="67"/>
      <c r="E268" s="159"/>
      <c r="F268" s="159"/>
      <c r="G268" s="160"/>
      <c r="H268" s="161"/>
      <c r="I268" s="160"/>
      <c r="J268" s="161"/>
      <c r="K268" s="159"/>
      <c r="L268" s="162"/>
    </row>
    <row r="269" spans="1:12" ht="24">
      <c r="A269" s="200"/>
      <c r="B269" s="145" t="s">
        <v>219</v>
      </c>
      <c r="C269" s="61" t="s">
        <v>291</v>
      </c>
      <c r="D269" s="67"/>
      <c r="E269" s="159">
        <f>9.48+10.8+75.75+463.48+21.6+9.45+45.36+33.6+32+15.96+18.13+9.88+468+31.88</f>
        <v>1245.3700000000003</v>
      </c>
      <c r="F269" s="159" t="s">
        <v>183</v>
      </c>
      <c r="G269" s="183">
        <f>250+105</f>
        <v>355</v>
      </c>
      <c r="H269" s="161">
        <f t="shared" ref="H269:H274" si="52">ROUND(E269*G269,2)</f>
        <v>442106.35</v>
      </c>
      <c r="I269" s="160">
        <f>50+61</f>
        <v>111</v>
      </c>
      <c r="J269" s="161">
        <f t="shared" ref="J269:J274" si="53">ROUND(E269*I269,2)</f>
        <v>138236.07</v>
      </c>
      <c r="K269" s="159">
        <f t="shared" ref="K269:K270" si="54">ROUND(H269+J269,2)</f>
        <v>580342.42000000004</v>
      </c>
      <c r="L269" s="162"/>
    </row>
    <row r="270" spans="1:12" ht="24">
      <c r="A270" s="200"/>
      <c r="C270" s="215" t="s">
        <v>292</v>
      </c>
      <c r="D270" s="67"/>
      <c r="E270" s="159"/>
      <c r="F270" s="159" t="s">
        <v>183</v>
      </c>
      <c r="G270" s="183">
        <v>3200</v>
      </c>
      <c r="H270" s="161">
        <f t="shared" si="52"/>
        <v>0</v>
      </c>
      <c r="I270" s="160">
        <v>167</v>
      </c>
      <c r="J270" s="161">
        <f t="shared" si="53"/>
        <v>0</v>
      </c>
      <c r="K270" s="159">
        <f t="shared" si="54"/>
        <v>0</v>
      </c>
      <c r="L270" s="162"/>
    </row>
    <row r="271" spans="1:12" ht="24">
      <c r="A271" s="200"/>
      <c r="B271" s="145" t="s">
        <v>221</v>
      </c>
      <c r="C271" s="61" t="s">
        <v>293</v>
      </c>
      <c r="D271" s="67"/>
      <c r="E271" s="159"/>
      <c r="F271" s="159"/>
      <c r="G271" s="183"/>
      <c r="H271" s="161"/>
      <c r="I271" s="160"/>
      <c r="J271" s="161"/>
      <c r="K271" s="159"/>
      <c r="L271" s="162"/>
    </row>
    <row r="272" spans="1:12" ht="24">
      <c r="A272" s="200"/>
      <c r="B272" s="145" t="s">
        <v>285</v>
      </c>
      <c r="C272" s="61" t="s">
        <v>294</v>
      </c>
      <c r="D272" s="67"/>
      <c r="E272" s="159"/>
      <c r="F272" s="159" t="s">
        <v>183</v>
      </c>
      <c r="G272" s="183"/>
      <c r="H272" s="161"/>
      <c r="I272" s="160"/>
      <c r="J272" s="161"/>
      <c r="K272" s="159"/>
      <c r="L272" s="162"/>
    </row>
    <row r="273" spans="1:12" ht="24">
      <c r="A273" s="200"/>
      <c r="B273" s="60" t="s">
        <v>134</v>
      </c>
      <c r="C273" s="61" t="s">
        <v>233</v>
      </c>
      <c r="D273" s="67"/>
      <c r="E273" s="159"/>
      <c r="F273" s="159" t="s">
        <v>183</v>
      </c>
      <c r="G273" s="160">
        <v>320</v>
      </c>
      <c r="H273" s="161">
        <f t="shared" si="52"/>
        <v>0</v>
      </c>
      <c r="I273" s="160">
        <v>35</v>
      </c>
      <c r="J273" s="161">
        <f t="shared" si="53"/>
        <v>0</v>
      </c>
      <c r="K273" s="159">
        <f t="shared" ref="K273:K274" si="55">H273+J273</f>
        <v>0</v>
      </c>
      <c r="L273" s="162"/>
    </row>
    <row r="274" spans="1:12" ht="24">
      <c r="A274" s="201"/>
      <c r="B274" s="188" t="s">
        <v>134</v>
      </c>
      <c r="C274" s="189" t="s">
        <v>253</v>
      </c>
      <c r="E274" s="184"/>
      <c r="F274" s="185" t="s">
        <v>183</v>
      </c>
      <c r="G274" s="186">
        <v>120</v>
      </c>
      <c r="H274" s="161">
        <f t="shared" si="52"/>
        <v>0</v>
      </c>
      <c r="I274" s="190">
        <v>45</v>
      </c>
      <c r="J274" s="159">
        <f t="shared" si="53"/>
        <v>0</v>
      </c>
      <c r="K274" s="159">
        <f t="shared" si="55"/>
        <v>0</v>
      </c>
      <c r="L274" s="187"/>
    </row>
    <row r="275" spans="1:12" ht="24">
      <c r="A275" s="201"/>
      <c r="B275" s="60"/>
      <c r="C275" s="61"/>
      <c r="D275" s="67"/>
      <c r="E275" s="223"/>
      <c r="F275" s="208"/>
      <c r="G275" s="209"/>
      <c r="H275" s="161"/>
      <c r="I275" s="209"/>
      <c r="J275" s="159"/>
      <c r="K275" s="159"/>
      <c r="L275" s="210"/>
    </row>
    <row r="276" spans="1:12" ht="24">
      <c r="A276" s="201"/>
      <c r="B276" s="60"/>
      <c r="C276" s="61"/>
      <c r="D276" s="67"/>
      <c r="E276" s="223"/>
      <c r="F276" s="208"/>
      <c r="G276" s="209"/>
      <c r="H276" s="161"/>
      <c r="I276" s="209"/>
      <c r="J276" s="159"/>
      <c r="K276" s="159"/>
      <c r="L276" s="210"/>
    </row>
    <row r="277" spans="1:12" ht="24">
      <c r="A277" s="201"/>
      <c r="B277" s="60"/>
      <c r="C277" s="61"/>
      <c r="D277" s="67"/>
      <c r="E277" s="159"/>
      <c r="F277" s="159"/>
      <c r="G277" s="160"/>
      <c r="H277" s="161"/>
      <c r="I277" s="160"/>
      <c r="J277" s="161"/>
      <c r="K277" s="159"/>
      <c r="L277" s="162"/>
    </row>
    <row r="278" spans="1:12" ht="24.75" thickBot="1">
      <c r="A278" s="201"/>
      <c r="B278" s="60"/>
      <c r="C278" s="61"/>
      <c r="D278" s="67"/>
      <c r="E278" s="159"/>
      <c r="F278" s="159"/>
      <c r="G278" s="160"/>
      <c r="H278" s="161"/>
      <c r="I278" s="160"/>
      <c r="J278" s="161"/>
      <c r="K278" s="159"/>
      <c r="L278" s="162"/>
    </row>
    <row r="279" spans="1:12" ht="24.75" thickTop="1">
      <c r="A279" s="149"/>
      <c r="B279" s="1981" t="s">
        <v>69</v>
      </c>
      <c r="C279" s="1982"/>
      <c r="D279" s="1983"/>
      <c r="E279" s="164"/>
      <c r="F279" s="164"/>
      <c r="G279" s="165"/>
      <c r="H279" s="166"/>
      <c r="I279" s="165"/>
      <c r="J279" s="166"/>
      <c r="K279" s="164">
        <f>SUM(K259:K278)</f>
        <v>684962.22000000009</v>
      </c>
      <c r="L279" s="167"/>
    </row>
    <row r="280" spans="1:12" ht="24">
      <c r="A280" s="199" t="s">
        <v>196</v>
      </c>
      <c r="B280" s="146" t="s">
        <v>109</v>
      </c>
      <c r="C280" s="142"/>
      <c r="D280" s="143"/>
      <c r="E280" s="155"/>
      <c r="F280" s="155"/>
      <c r="G280" s="156"/>
      <c r="H280" s="157"/>
      <c r="I280" s="156"/>
      <c r="J280" s="157"/>
      <c r="K280" s="158"/>
      <c r="L280" s="158"/>
    </row>
    <row r="281" spans="1:12" ht="24">
      <c r="A281" s="205"/>
      <c r="B281" s="144" t="s">
        <v>117</v>
      </c>
      <c r="C281" s="61" t="s">
        <v>125</v>
      </c>
      <c r="D281" s="55"/>
      <c r="E281" s="194">
        <v>0</v>
      </c>
      <c r="F281" s="159" t="s">
        <v>183</v>
      </c>
      <c r="G281" s="160">
        <v>0</v>
      </c>
      <c r="H281" s="161">
        <f>ROUND(E281*G281,2)</f>
        <v>0</v>
      </c>
      <c r="I281" s="160">
        <v>0</v>
      </c>
      <c r="J281" s="161">
        <f>ROUND(E281*I281,2)</f>
        <v>0</v>
      </c>
      <c r="K281" s="159">
        <f>ROUND(H281+J281,2)</f>
        <v>0</v>
      </c>
      <c r="L281" s="162"/>
    </row>
    <row r="282" spans="1:12" ht="24">
      <c r="A282" s="200"/>
      <c r="B282" s="145" t="s">
        <v>128</v>
      </c>
      <c r="C282" s="61" t="s">
        <v>135</v>
      </c>
      <c r="D282" s="62"/>
      <c r="E282" s="220">
        <f>433.44</f>
        <v>433.44</v>
      </c>
      <c r="F282" s="158" t="s">
        <v>183</v>
      </c>
      <c r="G282" s="156">
        <v>0</v>
      </c>
      <c r="H282" s="161">
        <f>ROUND(E282*G282,2)</f>
        <v>0</v>
      </c>
      <c r="I282" s="156">
        <v>0</v>
      </c>
      <c r="J282" s="161">
        <f>ROUND(E282*I282,2)</f>
        <v>0</v>
      </c>
      <c r="K282" s="159">
        <f>ROUND(H282+J282,2)</f>
        <v>0</v>
      </c>
      <c r="L282" s="163"/>
    </row>
    <row r="283" spans="1:12" ht="24">
      <c r="A283" s="200"/>
      <c r="B283" s="145" t="s">
        <v>129</v>
      </c>
      <c r="C283" s="61" t="s">
        <v>222</v>
      </c>
      <c r="D283" s="62"/>
      <c r="E283" s="220">
        <f>((1.6+5.8+3.2+1.5+0.77+6.6+2.1)*(4.2))+(31.59)</f>
        <v>122.18400000000001</v>
      </c>
      <c r="F283" s="158" t="s">
        <v>183</v>
      </c>
      <c r="G283" s="156">
        <v>156</v>
      </c>
      <c r="H283" s="161">
        <f>ROUND(E283*G283,2)</f>
        <v>19060.7</v>
      </c>
      <c r="I283" s="156">
        <v>89</v>
      </c>
      <c r="J283" s="161">
        <f>ROUND(E283*I283,2)</f>
        <v>10874.38</v>
      </c>
      <c r="K283" s="159">
        <f>ROUND(H283+J283,2)</f>
        <v>29935.08</v>
      </c>
      <c r="L283" s="163"/>
    </row>
    <row r="284" spans="1:12" ht="24">
      <c r="A284" s="200"/>
      <c r="B284" s="145" t="s">
        <v>130</v>
      </c>
      <c r="C284" s="61" t="s">
        <v>223</v>
      </c>
      <c r="D284" s="67"/>
      <c r="E284" s="194">
        <f>(8.6+6.7)*5.9</f>
        <v>90.27000000000001</v>
      </c>
      <c r="F284" s="159" t="s">
        <v>183</v>
      </c>
      <c r="G284" s="160">
        <v>324</v>
      </c>
      <c r="H284" s="161">
        <f>ROUND(E284*G284,2)</f>
        <v>29247.48</v>
      </c>
      <c r="I284" s="156">
        <v>144</v>
      </c>
      <c r="J284" s="161">
        <f>ROUND(E284*I284,2)</f>
        <v>12998.88</v>
      </c>
      <c r="K284" s="159">
        <f>ROUND(H284+J284,2)</f>
        <v>42246.36</v>
      </c>
      <c r="L284" s="162"/>
    </row>
    <row r="285" spans="1:12" ht="24">
      <c r="A285" s="200"/>
      <c r="B285" s="145" t="s">
        <v>224</v>
      </c>
      <c r="C285" s="61" t="s">
        <v>225</v>
      </c>
      <c r="D285" s="67"/>
      <c r="E285" s="194">
        <f>(7.4+2.7+5.3+8+2.7+3+5.3+8+6+2+3.65+3.95+3.9+8+4.05+4.05+3.85)*4.2</f>
        <v>343.77</v>
      </c>
      <c r="F285" s="159" t="s">
        <v>183</v>
      </c>
      <c r="G285" s="160">
        <v>798</v>
      </c>
      <c r="H285" s="161">
        <f t="shared" ref="H285" si="56">ROUND(E285*G285,2)</f>
        <v>274328.46000000002</v>
      </c>
      <c r="I285" s="156">
        <v>130</v>
      </c>
      <c r="J285" s="161">
        <f t="shared" ref="J285" si="57">ROUND(E285*I285,2)</f>
        <v>44690.1</v>
      </c>
      <c r="K285" s="159">
        <f t="shared" ref="K285" si="58">ROUND(H285+J285,2)</f>
        <v>319018.56</v>
      </c>
      <c r="L285" s="162"/>
    </row>
    <row r="286" spans="1:12" ht="24">
      <c r="A286" s="200"/>
      <c r="B286" s="145"/>
      <c r="C286" s="61" t="s">
        <v>226</v>
      </c>
      <c r="D286" s="67"/>
      <c r="E286" s="194"/>
      <c r="F286" s="159"/>
      <c r="G286" s="160"/>
      <c r="H286" s="161"/>
      <c r="I286" s="156"/>
      <c r="J286" s="161"/>
      <c r="K286" s="159"/>
      <c r="L286" s="162"/>
    </row>
    <row r="287" spans="1:12" ht="24">
      <c r="A287" s="200"/>
      <c r="B287" s="145" t="s">
        <v>131</v>
      </c>
      <c r="C287" s="61" t="s">
        <v>228</v>
      </c>
      <c r="D287" s="67"/>
      <c r="E287" s="194">
        <f>((5.1+2.7+5+2.13+4.35+5.2+5+22+7.4+3.7+3.7+0.6+1.5+1.58+4.4)*(4.2))+(281.4)+(120.96)+(281.96)+(120.96)+(121.66)</f>
        <v>1239.2520000000002</v>
      </c>
      <c r="F287" s="159" t="s">
        <v>183</v>
      </c>
      <c r="G287" s="160">
        <v>225</v>
      </c>
      <c r="H287" s="161">
        <f t="shared" ref="H287:H289" si="59">ROUND(E287*G287,2)</f>
        <v>278831.7</v>
      </c>
      <c r="I287" s="156">
        <v>55</v>
      </c>
      <c r="J287" s="161">
        <f t="shared" ref="J287:J289" si="60">ROUND(E287*I287,2)</f>
        <v>68158.86</v>
      </c>
      <c r="K287" s="159">
        <f t="shared" ref="K287:K289" si="61">ROUND(H287+J287,2)</f>
        <v>346990.56</v>
      </c>
      <c r="L287" s="162"/>
    </row>
    <row r="288" spans="1:12" ht="24">
      <c r="A288" s="200"/>
      <c r="B288" s="145" t="s">
        <v>132</v>
      </c>
      <c r="C288" s="61" t="s">
        <v>229</v>
      </c>
      <c r="D288" s="67"/>
      <c r="E288" s="194">
        <f>(3.8+3.9+3)*4.2</f>
        <v>44.94</v>
      </c>
      <c r="F288" s="159" t="s">
        <v>183</v>
      </c>
      <c r="G288" s="160">
        <v>375</v>
      </c>
      <c r="H288" s="161">
        <f t="shared" si="59"/>
        <v>16852.5</v>
      </c>
      <c r="I288" s="156">
        <v>55</v>
      </c>
      <c r="J288" s="161">
        <f t="shared" si="60"/>
        <v>2471.6999999999998</v>
      </c>
      <c r="K288" s="159">
        <f t="shared" si="61"/>
        <v>19324.2</v>
      </c>
      <c r="L288" s="162"/>
    </row>
    <row r="289" spans="1:12" ht="24">
      <c r="A289" s="200"/>
      <c r="B289" s="145" t="s">
        <v>133</v>
      </c>
      <c r="C289" s="61" t="s">
        <v>227</v>
      </c>
      <c r="D289" s="67"/>
      <c r="E289" s="194">
        <v>0</v>
      </c>
      <c r="F289" s="159" t="s">
        <v>183</v>
      </c>
      <c r="G289" s="160">
        <v>2000</v>
      </c>
      <c r="H289" s="161">
        <f t="shared" si="59"/>
        <v>0</v>
      </c>
      <c r="I289" s="156">
        <v>200</v>
      </c>
      <c r="J289" s="161">
        <f t="shared" si="60"/>
        <v>0</v>
      </c>
      <c r="K289" s="159">
        <f t="shared" si="61"/>
        <v>0</v>
      </c>
      <c r="L289" s="162"/>
    </row>
    <row r="290" spans="1:12" ht="24">
      <c r="A290" s="200"/>
      <c r="B290" s="145" t="s">
        <v>134</v>
      </c>
      <c r="C290" s="61" t="s">
        <v>136</v>
      </c>
      <c r="D290" s="67"/>
      <c r="E290" s="194"/>
      <c r="F290" s="159"/>
      <c r="G290" s="160"/>
      <c r="H290" s="161"/>
      <c r="I290" s="160"/>
      <c r="J290" s="161"/>
      <c r="K290" s="159"/>
      <c r="L290" s="162"/>
    </row>
    <row r="291" spans="1:12" ht="24">
      <c r="A291" s="200"/>
      <c r="B291" s="60"/>
      <c r="C291" s="61" t="s">
        <v>137</v>
      </c>
      <c r="D291" s="67"/>
      <c r="E291" s="194">
        <f>(E283+E287)*0.8</f>
        <v>1089.1488000000002</v>
      </c>
      <c r="F291" s="159" t="s">
        <v>184</v>
      </c>
      <c r="G291" s="160">
        <v>70</v>
      </c>
      <c r="H291" s="161">
        <f t="shared" ref="H291:H293" si="62">ROUND(E291*G291,2)</f>
        <v>76240.42</v>
      </c>
      <c r="I291" s="156">
        <v>35</v>
      </c>
      <c r="J291" s="161">
        <f t="shared" ref="J291:J293" si="63">ROUND(E291*I291,2)</f>
        <v>38120.21</v>
      </c>
      <c r="K291" s="159">
        <f t="shared" ref="K291:K293" si="64">ROUND(H291+J291,2)</f>
        <v>114360.63</v>
      </c>
      <c r="L291" s="162"/>
    </row>
    <row r="292" spans="1:12" ht="24">
      <c r="A292" s="200"/>
      <c r="B292" s="60"/>
      <c r="C292" s="61" t="s">
        <v>230</v>
      </c>
      <c r="D292" s="67"/>
      <c r="E292" s="194">
        <f>E288*0.8</f>
        <v>35.951999999999998</v>
      </c>
      <c r="F292" s="159" t="s">
        <v>184</v>
      </c>
      <c r="G292" s="160">
        <v>90</v>
      </c>
      <c r="H292" s="161">
        <f t="shared" si="62"/>
        <v>3235.68</v>
      </c>
      <c r="I292" s="156">
        <v>40</v>
      </c>
      <c r="J292" s="161">
        <f t="shared" si="63"/>
        <v>1438.08</v>
      </c>
      <c r="K292" s="159">
        <f t="shared" si="64"/>
        <v>4673.76</v>
      </c>
      <c r="L292" s="162"/>
    </row>
    <row r="293" spans="1:12" ht="24">
      <c r="A293" s="200"/>
      <c r="B293" s="60"/>
      <c r="C293" s="61" t="s">
        <v>138</v>
      </c>
      <c r="D293" s="67"/>
      <c r="E293" s="194">
        <f>E284*0.8</f>
        <v>72.216000000000008</v>
      </c>
      <c r="F293" s="159" t="s">
        <v>184</v>
      </c>
      <c r="G293" s="160">
        <v>115</v>
      </c>
      <c r="H293" s="161">
        <f t="shared" si="62"/>
        <v>8304.84</v>
      </c>
      <c r="I293" s="156">
        <v>40</v>
      </c>
      <c r="J293" s="161">
        <f t="shared" si="63"/>
        <v>2888.64</v>
      </c>
      <c r="K293" s="159">
        <f t="shared" si="64"/>
        <v>11193.48</v>
      </c>
      <c r="L293" s="162"/>
    </row>
    <row r="294" spans="1:12" ht="24">
      <c r="A294" s="201"/>
      <c r="B294" s="60"/>
      <c r="C294" s="61"/>
      <c r="D294" s="67"/>
      <c r="E294" s="194"/>
      <c r="F294" s="159"/>
      <c r="G294" s="160"/>
      <c r="H294" s="161"/>
      <c r="I294" s="160"/>
      <c r="J294" s="161"/>
      <c r="K294" s="159"/>
      <c r="L294" s="162"/>
    </row>
    <row r="295" spans="1:12" ht="24">
      <c r="A295" s="201"/>
      <c r="B295" s="60"/>
      <c r="C295" s="61"/>
      <c r="D295" s="67"/>
      <c r="E295" s="159"/>
      <c r="F295" s="159"/>
      <c r="G295" s="160"/>
      <c r="H295" s="161"/>
      <c r="I295" s="160"/>
      <c r="J295" s="161"/>
      <c r="K295" s="159"/>
      <c r="L295" s="162"/>
    </row>
    <row r="296" spans="1:12" ht="24">
      <c r="A296" s="201"/>
      <c r="B296" s="60"/>
      <c r="C296" s="61"/>
      <c r="D296" s="67"/>
      <c r="E296" s="159"/>
      <c r="F296" s="159"/>
      <c r="G296" s="160"/>
      <c r="H296" s="161"/>
      <c r="I296" s="160"/>
      <c r="J296" s="161"/>
      <c r="K296" s="159"/>
      <c r="L296" s="162"/>
    </row>
    <row r="297" spans="1:12" ht="24">
      <c r="A297" s="201"/>
      <c r="B297" s="60"/>
      <c r="C297" s="61"/>
      <c r="D297" s="67"/>
      <c r="E297" s="159"/>
      <c r="F297" s="159"/>
      <c r="G297" s="160"/>
      <c r="H297" s="161"/>
      <c r="I297" s="160"/>
      <c r="J297" s="161"/>
      <c r="K297" s="159"/>
      <c r="L297" s="162"/>
    </row>
    <row r="298" spans="1:12" ht="24">
      <c r="A298" s="201"/>
      <c r="B298" s="60"/>
      <c r="C298" s="61"/>
      <c r="D298" s="67"/>
      <c r="E298" s="159"/>
      <c r="F298" s="159"/>
      <c r="G298" s="160"/>
      <c r="H298" s="161"/>
      <c r="I298" s="160"/>
      <c r="J298" s="161"/>
      <c r="K298" s="159"/>
      <c r="L298" s="162"/>
    </row>
    <row r="299" spans="1:12" ht="24">
      <c r="A299" s="201"/>
      <c r="B299" s="60"/>
      <c r="C299" s="61"/>
      <c r="D299" s="67"/>
      <c r="E299" s="159"/>
      <c r="F299" s="159"/>
      <c r="G299" s="160"/>
      <c r="H299" s="161"/>
      <c r="I299" s="160"/>
      <c r="J299" s="161"/>
      <c r="K299" s="159"/>
      <c r="L299" s="162"/>
    </row>
    <row r="300" spans="1:12" ht="24.75" thickBot="1">
      <c r="A300" s="201"/>
      <c r="B300" s="60"/>
      <c r="C300" s="61"/>
      <c r="D300" s="67"/>
      <c r="E300" s="159"/>
      <c r="F300" s="159"/>
      <c r="G300" s="160"/>
      <c r="H300" s="161"/>
      <c r="I300" s="160"/>
      <c r="J300" s="161"/>
      <c r="K300" s="159"/>
      <c r="L300" s="162"/>
    </row>
    <row r="301" spans="1:12" ht="24.75" thickTop="1">
      <c r="A301" s="149"/>
      <c r="B301" s="1981" t="s">
        <v>69</v>
      </c>
      <c r="C301" s="1982"/>
      <c r="D301" s="1983"/>
      <c r="E301" s="164"/>
      <c r="F301" s="164"/>
      <c r="G301" s="165"/>
      <c r="H301" s="166"/>
      <c r="I301" s="165"/>
      <c r="J301" s="166"/>
      <c r="K301" s="164">
        <f>SUM(K281:K300)</f>
        <v>887742.63</v>
      </c>
      <c r="L301" s="167"/>
    </row>
    <row r="302" spans="1:12" ht="24">
      <c r="A302" s="206" t="s">
        <v>197</v>
      </c>
      <c r="B302" s="146" t="s">
        <v>110</v>
      </c>
      <c r="C302" s="142"/>
      <c r="D302" s="143"/>
      <c r="E302" s="155"/>
      <c r="F302" s="155"/>
      <c r="G302" s="156"/>
      <c r="H302" s="157"/>
      <c r="I302" s="156"/>
      <c r="J302" s="157"/>
      <c r="K302" s="158"/>
      <c r="L302" s="158"/>
    </row>
    <row r="303" spans="1:12" ht="24">
      <c r="A303" s="205"/>
      <c r="B303" s="144" t="s">
        <v>117</v>
      </c>
      <c r="C303" s="61" t="s">
        <v>125</v>
      </c>
      <c r="D303" s="55"/>
      <c r="E303" s="194">
        <v>0</v>
      </c>
      <c r="F303" s="159" t="s">
        <v>183</v>
      </c>
      <c r="G303" s="160">
        <v>0</v>
      </c>
      <c r="H303" s="161">
        <f t="shared" ref="H303:H309" si="65">ROUND(E303*G303,2)</f>
        <v>0</v>
      </c>
      <c r="I303" s="156">
        <v>0</v>
      </c>
      <c r="J303" s="161">
        <f t="shared" ref="J303:J309" si="66">ROUND(E303*I303,2)</f>
        <v>0</v>
      </c>
      <c r="K303" s="159">
        <f t="shared" ref="K303:K309" si="67">ROUND(H303+J303,2)</f>
        <v>0</v>
      </c>
      <c r="L303" s="162"/>
    </row>
    <row r="304" spans="1:12" ht="24">
      <c r="A304" s="200"/>
      <c r="B304" s="145" t="s">
        <v>139</v>
      </c>
      <c r="C304" s="61" t="s">
        <v>140</v>
      </c>
      <c r="D304" s="62"/>
      <c r="E304" s="220">
        <v>0</v>
      </c>
      <c r="F304" s="158" t="s">
        <v>183</v>
      </c>
      <c r="G304" s="156">
        <v>55</v>
      </c>
      <c r="H304" s="161">
        <f t="shared" si="65"/>
        <v>0</v>
      </c>
      <c r="I304" s="156">
        <v>30</v>
      </c>
      <c r="J304" s="161">
        <f t="shared" si="66"/>
        <v>0</v>
      </c>
      <c r="K304" s="159">
        <f t="shared" si="67"/>
        <v>0</v>
      </c>
      <c r="L304" s="191"/>
    </row>
    <row r="305" spans="1:12" ht="24">
      <c r="A305" s="200"/>
      <c r="B305" s="145" t="s">
        <v>141</v>
      </c>
      <c r="C305" s="61" t="s">
        <v>142</v>
      </c>
      <c r="D305" s="62"/>
      <c r="E305" s="220">
        <f>(12.4+21.4+18+23.5+26.7+24+16+120+17.2+12.9+12.7+24.4+34.4+13.2+46.2+87)*4.2+(161.28)+308.7</f>
        <v>2611.9799999999996</v>
      </c>
      <c r="F305" s="158" t="s">
        <v>183</v>
      </c>
      <c r="G305" s="156">
        <v>50</v>
      </c>
      <c r="H305" s="161">
        <f t="shared" si="65"/>
        <v>130599</v>
      </c>
      <c r="I305" s="156">
        <v>30</v>
      </c>
      <c r="J305" s="161">
        <f t="shared" si="66"/>
        <v>78359.399999999994</v>
      </c>
      <c r="K305" s="159">
        <f t="shared" si="67"/>
        <v>208958.4</v>
      </c>
      <c r="L305" s="163"/>
    </row>
    <row r="306" spans="1:12" ht="24">
      <c r="A306" s="200"/>
      <c r="B306" s="145" t="s">
        <v>143</v>
      </c>
      <c r="C306" s="61" t="s">
        <v>332</v>
      </c>
      <c r="D306" s="67"/>
      <c r="E306" s="194">
        <v>167.58</v>
      </c>
      <c r="F306" s="159" t="s">
        <v>183</v>
      </c>
      <c r="G306" s="160">
        <v>430</v>
      </c>
      <c r="H306" s="161">
        <f t="shared" si="65"/>
        <v>72059.399999999994</v>
      </c>
      <c r="I306" s="156">
        <v>138</v>
      </c>
      <c r="J306" s="161">
        <f t="shared" si="66"/>
        <v>23126.04</v>
      </c>
      <c r="K306" s="159">
        <f t="shared" si="67"/>
        <v>95185.44</v>
      </c>
      <c r="L306" s="162"/>
    </row>
    <row r="307" spans="1:12" ht="24">
      <c r="A307" s="200"/>
      <c r="B307" s="60" t="s">
        <v>134</v>
      </c>
      <c r="C307" s="61" t="s">
        <v>231</v>
      </c>
      <c r="D307" s="67"/>
      <c r="E307" s="194">
        <f>E305</f>
        <v>2611.9799999999996</v>
      </c>
      <c r="F307" s="159" t="s">
        <v>183</v>
      </c>
      <c r="G307" s="160">
        <v>58</v>
      </c>
      <c r="H307" s="161">
        <f t="shared" si="65"/>
        <v>151494.84</v>
      </c>
      <c r="I307" s="156">
        <v>82</v>
      </c>
      <c r="J307" s="161">
        <f t="shared" si="66"/>
        <v>214182.36</v>
      </c>
      <c r="K307" s="159">
        <f t="shared" si="67"/>
        <v>365677.2</v>
      </c>
      <c r="L307" s="162"/>
    </row>
    <row r="308" spans="1:12" ht="24">
      <c r="A308" s="200"/>
      <c r="B308" s="60" t="s">
        <v>134</v>
      </c>
      <c r="C308" s="61" t="s">
        <v>232</v>
      </c>
      <c r="D308" s="67"/>
      <c r="E308" s="194">
        <v>0</v>
      </c>
      <c r="F308" s="159" t="s">
        <v>183</v>
      </c>
      <c r="G308" s="160">
        <v>58</v>
      </c>
      <c r="H308" s="161">
        <f t="shared" si="65"/>
        <v>0</v>
      </c>
      <c r="I308" s="156">
        <v>82</v>
      </c>
      <c r="J308" s="161">
        <f t="shared" si="66"/>
        <v>0</v>
      </c>
      <c r="K308" s="159">
        <f t="shared" si="67"/>
        <v>0</v>
      </c>
      <c r="L308" s="191"/>
    </row>
    <row r="309" spans="1:12" ht="24">
      <c r="A309" s="200"/>
      <c r="B309" s="60" t="s">
        <v>134</v>
      </c>
      <c r="C309" s="61" t="s">
        <v>144</v>
      </c>
      <c r="D309" s="67"/>
      <c r="E309" s="194">
        <f>E282</f>
        <v>433.44</v>
      </c>
      <c r="F309" s="159" t="s">
        <v>183</v>
      </c>
      <c r="G309" s="160">
        <v>63</v>
      </c>
      <c r="H309" s="161">
        <f t="shared" si="65"/>
        <v>27306.720000000001</v>
      </c>
      <c r="I309" s="156">
        <v>100</v>
      </c>
      <c r="J309" s="161">
        <f t="shared" si="66"/>
        <v>43344</v>
      </c>
      <c r="K309" s="159">
        <f t="shared" si="67"/>
        <v>70650.720000000001</v>
      </c>
      <c r="L309" s="162"/>
    </row>
    <row r="310" spans="1:12" ht="24">
      <c r="A310" s="200"/>
      <c r="B310" s="60"/>
      <c r="C310" s="61"/>
      <c r="D310" s="67"/>
      <c r="E310" s="159"/>
      <c r="F310" s="159"/>
      <c r="G310" s="160"/>
      <c r="H310" s="161"/>
      <c r="I310" s="160"/>
      <c r="J310" s="161"/>
      <c r="K310" s="159"/>
      <c r="L310" s="162"/>
    </row>
    <row r="311" spans="1:12" ht="24">
      <c r="A311" s="200"/>
      <c r="B311" s="60"/>
      <c r="C311" s="61"/>
      <c r="D311" s="67"/>
      <c r="E311" s="159"/>
      <c r="F311" s="159"/>
      <c r="G311" s="160"/>
      <c r="H311" s="161"/>
      <c r="I311" s="160"/>
      <c r="J311" s="161"/>
      <c r="K311" s="159"/>
      <c r="L311" s="162"/>
    </row>
    <row r="312" spans="1:12" ht="24">
      <c r="A312" s="200"/>
      <c r="B312" s="60"/>
      <c r="C312" s="61"/>
      <c r="D312" s="67"/>
      <c r="E312" s="159"/>
      <c r="F312" s="159"/>
      <c r="G312" s="160"/>
      <c r="H312" s="161"/>
      <c r="I312" s="160"/>
      <c r="J312" s="161"/>
      <c r="K312" s="159"/>
      <c r="L312" s="162"/>
    </row>
    <row r="313" spans="1:12" ht="24">
      <c r="A313" s="200"/>
      <c r="B313" s="60"/>
      <c r="C313" s="61"/>
      <c r="D313" s="67"/>
      <c r="E313" s="159"/>
      <c r="F313" s="159"/>
      <c r="G313" s="160"/>
      <c r="H313" s="161"/>
      <c r="I313" s="160"/>
      <c r="J313" s="161"/>
      <c r="K313" s="159"/>
      <c r="L313" s="162"/>
    </row>
    <row r="314" spans="1:12" ht="24">
      <c r="A314" s="200"/>
      <c r="B314" s="60"/>
      <c r="C314" s="61"/>
      <c r="D314" s="67"/>
      <c r="E314" s="159"/>
      <c r="F314" s="159"/>
      <c r="G314" s="160"/>
      <c r="H314" s="161"/>
      <c r="I314" s="160"/>
      <c r="J314" s="161"/>
      <c r="K314" s="159"/>
      <c r="L314" s="162"/>
    </row>
    <row r="315" spans="1:12" ht="24">
      <c r="A315" s="200"/>
      <c r="B315" s="60"/>
      <c r="C315" s="61"/>
      <c r="D315" s="67"/>
      <c r="E315" s="159"/>
      <c r="F315" s="159"/>
      <c r="G315" s="160"/>
      <c r="H315" s="161"/>
      <c r="I315" s="160"/>
      <c r="J315" s="161"/>
      <c r="K315" s="159"/>
      <c r="L315" s="162"/>
    </row>
    <row r="316" spans="1:12" ht="24">
      <c r="A316" s="201"/>
      <c r="B316" s="60"/>
      <c r="C316" s="61"/>
      <c r="D316" s="67"/>
      <c r="E316" s="159"/>
      <c r="F316" s="159"/>
      <c r="G316" s="160"/>
      <c r="H316" s="161"/>
      <c r="I316" s="160"/>
      <c r="J316" s="161"/>
      <c r="K316" s="159"/>
      <c r="L316" s="162"/>
    </row>
    <row r="317" spans="1:12" ht="24">
      <c r="A317" s="201"/>
      <c r="B317" s="60"/>
      <c r="C317" s="61"/>
      <c r="D317" s="67"/>
      <c r="E317" s="159"/>
      <c r="F317" s="159"/>
      <c r="G317" s="160"/>
      <c r="H317" s="161"/>
      <c r="I317" s="160"/>
      <c r="J317" s="161"/>
      <c r="K317" s="159"/>
      <c r="L317" s="162"/>
    </row>
    <row r="318" spans="1:12" ht="24">
      <c r="A318" s="201"/>
      <c r="B318" s="60"/>
      <c r="C318" s="61"/>
      <c r="D318" s="67"/>
      <c r="E318" s="159"/>
      <c r="F318" s="159"/>
      <c r="G318" s="160"/>
      <c r="H318" s="161"/>
      <c r="I318" s="160"/>
      <c r="J318" s="161"/>
      <c r="K318" s="159"/>
      <c r="L318" s="162"/>
    </row>
    <row r="319" spans="1:12" ht="24">
      <c r="A319" s="201"/>
      <c r="B319" s="60"/>
      <c r="C319" s="61"/>
      <c r="D319" s="67"/>
      <c r="E319" s="159"/>
      <c r="F319" s="159"/>
      <c r="G319" s="160"/>
      <c r="H319" s="161"/>
      <c r="I319" s="160"/>
      <c r="J319" s="161"/>
      <c r="K319" s="159"/>
      <c r="L319" s="162"/>
    </row>
    <row r="320" spans="1:12" ht="24">
      <c r="A320" s="201"/>
      <c r="B320" s="60"/>
      <c r="C320" s="61"/>
      <c r="D320" s="67"/>
      <c r="E320" s="159"/>
      <c r="F320" s="159"/>
      <c r="G320" s="160"/>
      <c r="H320" s="161"/>
      <c r="I320" s="160"/>
      <c r="J320" s="161"/>
      <c r="K320" s="159"/>
      <c r="L320" s="162"/>
    </row>
    <row r="321" spans="1:12" ht="24">
      <c r="A321" s="201"/>
      <c r="B321" s="60"/>
      <c r="C321" s="61"/>
      <c r="D321" s="67"/>
      <c r="E321" s="159"/>
      <c r="F321" s="159"/>
      <c r="G321" s="160"/>
      <c r="H321" s="161"/>
      <c r="I321" s="160"/>
      <c r="J321" s="161"/>
      <c r="K321" s="159"/>
      <c r="L321" s="162"/>
    </row>
    <row r="322" spans="1:12" ht="24.75" thickBot="1">
      <c r="A322" s="201"/>
      <c r="B322" s="60"/>
      <c r="C322" s="61"/>
      <c r="D322" s="67"/>
      <c r="E322" s="159"/>
      <c r="F322" s="159"/>
      <c r="G322" s="160"/>
      <c r="H322" s="161"/>
      <c r="I322" s="160"/>
      <c r="J322" s="161"/>
      <c r="K322" s="159"/>
      <c r="L322" s="162"/>
    </row>
    <row r="323" spans="1:12" ht="24.75" thickTop="1">
      <c r="A323" s="149"/>
      <c r="B323" s="1981" t="s">
        <v>69</v>
      </c>
      <c r="C323" s="1982"/>
      <c r="D323" s="1983"/>
      <c r="E323" s="164"/>
      <c r="F323" s="164"/>
      <c r="G323" s="165"/>
      <c r="H323" s="166"/>
      <c r="I323" s="165"/>
      <c r="J323" s="166"/>
      <c r="K323" s="164">
        <f>SUM(K303:K322)</f>
        <v>740471.76</v>
      </c>
      <c r="L323" s="167"/>
    </row>
    <row r="324" spans="1:12" ht="24">
      <c r="A324" s="206" t="s">
        <v>198</v>
      </c>
      <c r="B324" s="146" t="s">
        <v>111</v>
      </c>
      <c r="C324" s="142"/>
      <c r="D324" s="143"/>
      <c r="E324" s="155"/>
      <c r="F324" s="155"/>
      <c r="G324" s="156"/>
      <c r="H324" s="157"/>
      <c r="I324" s="156"/>
      <c r="J324" s="157"/>
      <c r="K324" s="158"/>
      <c r="L324" s="158"/>
    </row>
    <row r="325" spans="1:12" ht="24">
      <c r="A325" s="205"/>
      <c r="B325" s="144" t="s">
        <v>117</v>
      </c>
      <c r="C325" s="61" t="s">
        <v>145</v>
      </c>
      <c r="D325" s="55"/>
      <c r="E325" s="159">
        <v>0</v>
      </c>
      <c r="F325" s="159" t="s">
        <v>184</v>
      </c>
      <c r="G325" s="160">
        <v>0</v>
      </c>
      <c r="H325" s="161">
        <f t="shared" ref="H325:H329" si="68">ROUND(E325*G325,2)</f>
        <v>0</v>
      </c>
      <c r="I325" s="160">
        <v>0</v>
      </c>
      <c r="J325" s="161">
        <f t="shared" ref="J325:J329" si="69">ROUND(E325*I325,2)</f>
        <v>0</v>
      </c>
      <c r="K325" s="159">
        <f t="shared" ref="K325:K329" si="70">ROUND(H325+J325,2)</f>
        <v>0</v>
      </c>
      <c r="L325" s="162"/>
    </row>
    <row r="326" spans="1:12" ht="24">
      <c r="A326" s="200"/>
      <c r="B326" s="145" t="s">
        <v>146</v>
      </c>
      <c r="C326" s="61" t="s">
        <v>147</v>
      </c>
      <c r="D326" s="62"/>
      <c r="E326" s="158"/>
      <c r="F326" s="158" t="s">
        <v>184</v>
      </c>
      <c r="G326" s="156">
        <v>15</v>
      </c>
      <c r="H326" s="161">
        <f t="shared" si="68"/>
        <v>0</v>
      </c>
      <c r="I326" s="156">
        <v>18</v>
      </c>
      <c r="J326" s="161">
        <f t="shared" si="69"/>
        <v>0</v>
      </c>
      <c r="K326" s="159">
        <f t="shared" si="70"/>
        <v>0</v>
      </c>
      <c r="L326" s="163"/>
    </row>
    <row r="327" spans="1:12" ht="24">
      <c r="A327" s="200"/>
      <c r="B327" s="145" t="s">
        <v>148</v>
      </c>
      <c r="C327" s="61" t="s">
        <v>149</v>
      </c>
      <c r="D327" s="62"/>
      <c r="E327" s="158"/>
      <c r="F327" s="158" t="s">
        <v>184</v>
      </c>
      <c r="G327" s="156">
        <v>50</v>
      </c>
      <c r="H327" s="161">
        <f t="shared" si="68"/>
        <v>0</v>
      </c>
      <c r="I327" s="156">
        <v>35</v>
      </c>
      <c r="J327" s="161">
        <f t="shared" si="69"/>
        <v>0</v>
      </c>
      <c r="K327" s="159">
        <f t="shared" si="70"/>
        <v>0</v>
      </c>
      <c r="L327" s="163"/>
    </row>
    <row r="328" spans="1:12" ht="24">
      <c r="A328" s="200"/>
      <c r="B328" s="145" t="s">
        <v>150</v>
      </c>
      <c r="C328" s="61" t="s">
        <v>151</v>
      </c>
      <c r="D328" s="67"/>
      <c r="E328" s="159">
        <v>46.2</v>
      </c>
      <c r="F328" s="159" t="s">
        <v>184</v>
      </c>
      <c r="G328" s="160">
        <v>230</v>
      </c>
      <c r="H328" s="161">
        <f t="shared" si="68"/>
        <v>10626</v>
      </c>
      <c r="I328" s="156">
        <v>50</v>
      </c>
      <c r="J328" s="161">
        <f t="shared" si="69"/>
        <v>2310</v>
      </c>
      <c r="K328" s="159">
        <f t="shared" si="70"/>
        <v>12936</v>
      </c>
      <c r="L328" s="162"/>
    </row>
    <row r="329" spans="1:12" ht="24">
      <c r="A329" s="200"/>
      <c r="B329" s="145" t="s">
        <v>152</v>
      </c>
      <c r="C329" s="61" t="s">
        <v>266</v>
      </c>
      <c r="D329" s="67"/>
      <c r="E329" s="159"/>
      <c r="F329" s="159" t="s">
        <v>184</v>
      </c>
      <c r="G329" s="160">
        <v>320</v>
      </c>
      <c r="H329" s="161">
        <f t="shared" si="68"/>
        <v>0</v>
      </c>
      <c r="I329" s="156">
        <v>41</v>
      </c>
      <c r="J329" s="161">
        <f t="shared" si="69"/>
        <v>0</v>
      </c>
      <c r="K329" s="159">
        <f t="shared" si="70"/>
        <v>0</v>
      </c>
      <c r="L329" s="162"/>
    </row>
    <row r="330" spans="1:12" ht="24">
      <c r="A330" s="200"/>
      <c r="B330" s="145" t="s">
        <v>295</v>
      </c>
      <c r="C330" s="61" t="s">
        <v>296</v>
      </c>
      <c r="D330" s="67"/>
      <c r="E330" s="159">
        <f>12.7+13.2+34.4+114+21.4+23.5+12.4+27.6+24.4+24+16+17.2+12.9+87</f>
        <v>440.7</v>
      </c>
      <c r="F330" s="159" t="s">
        <v>184</v>
      </c>
      <c r="G330" s="160"/>
      <c r="H330" s="161"/>
      <c r="I330" s="160"/>
      <c r="J330" s="161"/>
      <c r="K330" s="159"/>
      <c r="L330" s="162"/>
    </row>
    <row r="331" spans="1:12" ht="24">
      <c r="A331" s="200"/>
      <c r="B331" s="60"/>
      <c r="C331" s="61"/>
      <c r="D331" s="67"/>
      <c r="E331" s="159"/>
      <c r="F331" s="159"/>
      <c r="G331" s="160"/>
      <c r="H331" s="161"/>
      <c r="I331" s="160"/>
      <c r="J331" s="161"/>
      <c r="K331" s="159"/>
      <c r="L331" s="162"/>
    </row>
    <row r="332" spans="1:12" ht="24">
      <c r="A332" s="200"/>
      <c r="B332" s="60"/>
      <c r="C332" s="61"/>
      <c r="D332" s="67"/>
      <c r="E332" s="159"/>
      <c r="F332" s="159"/>
      <c r="G332" s="160"/>
      <c r="H332" s="161"/>
      <c r="I332" s="160"/>
      <c r="J332" s="161"/>
      <c r="K332" s="159"/>
      <c r="L332" s="162"/>
    </row>
    <row r="333" spans="1:12" ht="24">
      <c r="A333" s="200"/>
      <c r="B333" s="60"/>
      <c r="C333" s="61"/>
      <c r="D333" s="67"/>
      <c r="E333" s="159"/>
      <c r="F333" s="159"/>
      <c r="G333" s="160"/>
      <c r="H333" s="161"/>
      <c r="I333" s="160"/>
      <c r="J333" s="161"/>
      <c r="K333" s="159"/>
      <c r="L333" s="162"/>
    </row>
    <row r="334" spans="1:12" ht="24">
      <c r="A334" s="200"/>
      <c r="B334" s="60"/>
      <c r="C334" s="61"/>
      <c r="D334" s="67"/>
      <c r="E334" s="159"/>
      <c r="F334" s="159"/>
      <c r="G334" s="160"/>
      <c r="H334" s="161"/>
      <c r="I334" s="160"/>
      <c r="J334" s="161"/>
      <c r="K334" s="159"/>
      <c r="L334" s="162"/>
    </row>
    <row r="335" spans="1:12" ht="24">
      <c r="A335" s="200"/>
      <c r="B335" s="60"/>
      <c r="C335" s="61"/>
      <c r="D335" s="67"/>
      <c r="E335" s="159"/>
      <c r="F335" s="159"/>
      <c r="G335" s="160"/>
      <c r="H335" s="161"/>
      <c r="I335" s="160"/>
      <c r="J335" s="161"/>
      <c r="K335" s="159"/>
      <c r="L335" s="162"/>
    </row>
    <row r="336" spans="1:12" ht="24">
      <c r="A336" s="200"/>
      <c r="B336" s="60"/>
      <c r="C336" s="61"/>
      <c r="D336" s="67"/>
      <c r="E336" s="159"/>
      <c r="F336" s="159"/>
      <c r="G336" s="160"/>
      <c r="H336" s="161"/>
      <c r="I336" s="160"/>
      <c r="J336" s="161"/>
      <c r="K336" s="159"/>
      <c r="L336" s="162"/>
    </row>
    <row r="337" spans="1:12" ht="24">
      <c r="A337" s="200"/>
      <c r="B337" s="60"/>
      <c r="C337" s="61"/>
      <c r="D337" s="67"/>
      <c r="E337" s="159"/>
      <c r="F337" s="159"/>
      <c r="G337" s="160"/>
      <c r="H337" s="161"/>
      <c r="I337" s="160"/>
      <c r="J337" s="161"/>
      <c r="K337" s="159"/>
      <c r="L337" s="162"/>
    </row>
    <row r="338" spans="1:12" ht="24">
      <c r="A338" s="200"/>
      <c r="B338" s="60"/>
      <c r="C338" s="61"/>
      <c r="D338" s="67"/>
      <c r="E338" s="159"/>
      <c r="F338" s="159"/>
      <c r="G338" s="160"/>
      <c r="H338" s="161"/>
      <c r="I338" s="160"/>
      <c r="J338" s="161"/>
      <c r="K338" s="159"/>
      <c r="L338" s="162"/>
    </row>
    <row r="339" spans="1:12" ht="24">
      <c r="A339" s="200"/>
      <c r="B339" s="60"/>
      <c r="C339" s="61"/>
      <c r="D339" s="67"/>
      <c r="E339" s="159"/>
      <c r="F339" s="159"/>
      <c r="G339" s="160"/>
      <c r="H339" s="161"/>
      <c r="I339" s="160"/>
      <c r="J339" s="161"/>
      <c r="K339" s="159"/>
      <c r="L339" s="162"/>
    </row>
    <row r="340" spans="1:12" ht="24">
      <c r="A340" s="201"/>
      <c r="B340" s="60"/>
      <c r="C340" s="61"/>
      <c r="D340" s="67"/>
      <c r="E340" s="159"/>
      <c r="F340" s="159"/>
      <c r="G340" s="160"/>
      <c r="H340" s="161"/>
      <c r="I340" s="160"/>
      <c r="J340" s="161"/>
      <c r="K340" s="159"/>
      <c r="L340" s="162"/>
    </row>
    <row r="341" spans="1:12" ht="24">
      <c r="A341" s="201"/>
      <c r="B341" s="60"/>
      <c r="C341" s="61"/>
      <c r="D341" s="67"/>
      <c r="E341" s="159"/>
      <c r="F341" s="159"/>
      <c r="G341" s="160"/>
      <c r="H341" s="161"/>
      <c r="I341" s="160"/>
      <c r="J341" s="161"/>
      <c r="K341" s="159"/>
      <c r="L341" s="162"/>
    </row>
    <row r="342" spans="1:12" ht="24">
      <c r="A342" s="201"/>
      <c r="B342" s="60"/>
      <c r="C342" s="61"/>
      <c r="D342" s="67"/>
      <c r="E342" s="159"/>
      <c r="F342" s="159"/>
      <c r="G342" s="160"/>
      <c r="H342" s="161"/>
      <c r="I342" s="160"/>
      <c r="J342" s="161"/>
      <c r="K342" s="159"/>
      <c r="L342" s="162"/>
    </row>
    <row r="343" spans="1:12" ht="24">
      <c r="A343" s="201"/>
      <c r="B343" s="60"/>
      <c r="C343" s="61"/>
      <c r="D343" s="67"/>
      <c r="E343" s="159"/>
      <c r="F343" s="159"/>
      <c r="G343" s="160"/>
      <c r="H343" s="161"/>
      <c r="I343" s="160"/>
      <c r="J343" s="161"/>
      <c r="K343" s="159"/>
      <c r="L343" s="162"/>
    </row>
    <row r="344" spans="1:12" ht="24.75" thickBot="1">
      <c r="A344" s="201"/>
      <c r="B344" s="60"/>
      <c r="C344" s="61"/>
      <c r="D344" s="67"/>
      <c r="E344" s="159"/>
      <c r="F344" s="159"/>
      <c r="G344" s="160"/>
      <c r="H344" s="161"/>
      <c r="I344" s="160"/>
      <c r="J344" s="161"/>
      <c r="K344" s="159"/>
      <c r="L344" s="162"/>
    </row>
    <row r="345" spans="1:12" ht="24.75" thickTop="1">
      <c r="A345" s="149"/>
      <c r="B345" s="1981" t="s">
        <v>69</v>
      </c>
      <c r="C345" s="1982"/>
      <c r="D345" s="1983"/>
      <c r="E345" s="164"/>
      <c r="F345" s="164"/>
      <c r="G345" s="165"/>
      <c r="H345" s="166"/>
      <c r="I345" s="165"/>
      <c r="J345" s="166"/>
      <c r="K345" s="164"/>
      <c r="L345" s="167"/>
    </row>
    <row r="346" spans="1:12" ht="24">
      <c r="A346" s="206" t="s">
        <v>199</v>
      </c>
      <c r="B346" s="146" t="s">
        <v>112</v>
      </c>
      <c r="C346" s="142"/>
      <c r="D346" s="143"/>
      <c r="E346" s="155"/>
      <c r="F346" s="155"/>
      <c r="G346" s="156"/>
      <c r="H346" s="157"/>
      <c r="I346" s="156"/>
      <c r="J346" s="157"/>
      <c r="K346" s="158"/>
      <c r="L346" s="158"/>
    </row>
    <row r="347" spans="1:12" ht="24">
      <c r="A347" s="205"/>
      <c r="B347" s="144" t="s">
        <v>117</v>
      </c>
      <c r="C347" s="61" t="s">
        <v>145</v>
      </c>
      <c r="D347" s="55"/>
      <c r="E347" s="159">
        <v>0</v>
      </c>
      <c r="F347" s="159" t="s">
        <v>183</v>
      </c>
      <c r="G347" s="160">
        <v>0</v>
      </c>
      <c r="H347" s="161">
        <f t="shared" ref="H347:H349" si="71">ROUND(E347*G347,2)</f>
        <v>0</v>
      </c>
      <c r="I347" s="160">
        <v>0</v>
      </c>
      <c r="J347" s="161">
        <f t="shared" ref="J347:J349" si="72">ROUND(E347*I347,2)</f>
        <v>0</v>
      </c>
      <c r="K347" s="159">
        <f t="shared" ref="K347:K349" si="73">ROUND(H347+J347,2)</f>
        <v>0</v>
      </c>
      <c r="L347" s="162"/>
    </row>
    <row r="348" spans="1:12" ht="24">
      <c r="A348" s="200"/>
      <c r="B348" s="145" t="s">
        <v>153</v>
      </c>
      <c r="C348" s="61" t="s">
        <v>154</v>
      </c>
      <c r="D348" s="62"/>
      <c r="E348" s="158">
        <f>10.8+9.45+468</f>
        <v>488.25</v>
      </c>
      <c r="F348" s="158" t="s">
        <v>183</v>
      </c>
      <c r="G348" s="156">
        <v>30</v>
      </c>
      <c r="H348" s="161">
        <f t="shared" si="71"/>
        <v>14647.5</v>
      </c>
      <c r="I348" s="160">
        <v>35</v>
      </c>
      <c r="J348" s="161">
        <f t="shared" si="72"/>
        <v>17088.75</v>
      </c>
      <c r="K348" s="159">
        <f t="shared" si="73"/>
        <v>31736.25</v>
      </c>
      <c r="L348" s="163"/>
    </row>
    <row r="349" spans="1:12" ht="24">
      <c r="A349" s="200"/>
      <c r="B349" s="145" t="s">
        <v>155</v>
      </c>
      <c r="C349" s="61" t="s">
        <v>156</v>
      </c>
      <c r="D349" s="62"/>
      <c r="E349" s="158">
        <f>65.42+75.75+463.48+21.6+31.88+32+15.96+18.13+9.88</f>
        <v>734.10000000000014</v>
      </c>
      <c r="F349" s="158" t="s">
        <v>183</v>
      </c>
      <c r="G349" s="156">
        <v>262</v>
      </c>
      <c r="H349" s="161">
        <f t="shared" si="71"/>
        <v>192334.2</v>
      </c>
      <c r="I349" s="160">
        <v>75</v>
      </c>
      <c r="J349" s="161">
        <f t="shared" si="72"/>
        <v>55057.5</v>
      </c>
      <c r="K349" s="159">
        <f t="shared" si="73"/>
        <v>247391.7</v>
      </c>
      <c r="L349" s="163"/>
    </row>
    <row r="350" spans="1:12" ht="24">
      <c r="A350" s="200"/>
      <c r="B350" s="145"/>
      <c r="C350" s="61" t="s">
        <v>234</v>
      </c>
      <c r="D350" s="67"/>
      <c r="E350" s="159"/>
      <c r="F350" s="159"/>
      <c r="G350" s="160"/>
      <c r="H350" s="161"/>
      <c r="I350" s="160"/>
      <c r="J350" s="161"/>
      <c r="K350" s="159"/>
      <c r="L350" s="162"/>
    </row>
    <row r="351" spans="1:12" ht="24">
      <c r="A351" s="200"/>
      <c r="B351" s="145" t="s">
        <v>157</v>
      </c>
      <c r="C351" s="61" t="s">
        <v>237</v>
      </c>
      <c r="D351" s="67"/>
      <c r="E351" s="159">
        <f>45.36+33.6</f>
        <v>78.960000000000008</v>
      </c>
      <c r="F351" s="159" t="s">
        <v>183</v>
      </c>
      <c r="G351" s="160">
        <v>650</v>
      </c>
      <c r="H351" s="161">
        <f t="shared" ref="H351" si="74">ROUND(E351*G351,2)</f>
        <v>51324</v>
      </c>
      <c r="I351" s="160">
        <v>52</v>
      </c>
      <c r="J351" s="161">
        <f t="shared" ref="J351" si="75">ROUND(E351*I351,2)</f>
        <v>4105.92</v>
      </c>
      <c r="K351" s="159">
        <f t="shared" ref="K351" si="76">ROUND(H351+J351,2)</f>
        <v>55429.919999999998</v>
      </c>
      <c r="L351" s="162"/>
    </row>
    <row r="352" spans="1:12" ht="24">
      <c r="A352" s="200"/>
      <c r="B352" s="145"/>
      <c r="C352" s="61" t="s">
        <v>238</v>
      </c>
      <c r="D352" s="67"/>
      <c r="E352" s="159"/>
      <c r="F352" s="159"/>
      <c r="G352" s="160"/>
      <c r="H352" s="161"/>
      <c r="I352" s="160"/>
      <c r="J352" s="161"/>
      <c r="K352" s="159"/>
      <c r="L352" s="162"/>
    </row>
    <row r="353" spans="1:12" ht="24">
      <c r="A353" s="200"/>
      <c r="B353" s="145"/>
      <c r="C353" s="61" t="s">
        <v>239</v>
      </c>
      <c r="D353" s="67"/>
      <c r="E353" s="159"/>
      <c r="F353" s="159"/>
      <c r="G353" s="160"/>
      <c r="H353" s="161"/>
      <c r="I353" s="160"/>
      <c r="J353" s="161"/>
      <c r="K353" s="159"/>
      <c r="L353" s="162"/>
    </row>
    <row r="354" spans="1:12" ht="24">
      <c r="A354" s="200"/>
      <c r="B354" s="145" t="s">
        <v>159</v>
      </c>
      <c r="C354" s="61" t="s">
        <v>158</v>
      </c>
      <c r="D354" s="67"/>
      <c r="E354" s="159">
        <f>26.7+20.16+9.48</f>
        <v>56.34</v>
      </c>
      <c r="F354" s="159" t="s">
        <v>183</v>
      </c>
      <c r="G354" s="160">
        <v>329</v>
      </c>
      <c r="H354" s="161">
        <f t="shared" ref="H354" si="77">ROUND(E354*G354,2)</f>
        <v>18535.86</v>
      </c>
      <c r="I354" s="160">
        <v>75</v>
      </c>
      <c r="J354" s="161">
        <f t="shared" ref="J354" si="78">ROUND(E354*I354,2)</f>
        <v>4225.5</v>
      </c>
      <c r="K354" s="159">
        <f t="shared" ref="K354" si="79">ROUND(H354+J354,2)</f>
        <v>22761.360000000001</v>
      </c>
      <c r="L354" s="162"/>
    </row>
    <row r="355" spans="1:12" ht="24">
      <c r="A355" s="200"/>
      <c r="B355" s="60"/>
      <c r="C355" s="61" t="s">
        <v>235</v>
      </c>
      <c r="D355" s="67"/>
      <c r="E355" s="159"/>
      <c r="F355" s="159"/>
      <c r="G355" s="160"/>
      <c r="H355" s="161"/>
      <c r="I355" s="160"/>
      <c r="J355" s="161"/>
      <c r="K355" s="159"/>
      <c r="L355" s="162"/>
    </row>
    <row r="356" spans="1:12" ht="24">
      <c r="A356" s="200"/>
      <c r="B356" s="60" t="s">
        <v>240</v>
      </c>
      <c r="C356" s="61" t="s">
        <v>241</v>
      </c>
      <c r="D356" s="67"/>
      <c r="E356" s="159"/>
      <c r="F356" s="159" t="s">
        <v>183</v>
      </c>
      <c r="G356" s="160">
        <v>215</v>
      </c>
      <c r="H356" s="161">
        <f t="shared" ref="H356" si="80">ROUND(E356*G356,2)</f>
        <v>0</v>
      </c>
      <c r="I356" s="160">
        <v>52</v>
      </c>
      <c r="J356" s="161">
        <f t="shared" ref="J356" si="81">ROUND(E356*I356,2)</f>
        <v>0</v>
      </c>
      <c r="K356" s="159">
        <f t="shared" ref="K356" si="82">ROUND(H356+J356,2)</f>
        <v>0</v>
      </c>
      <c r="L356" s="162"/>
    </row>
    <row r="357" spans="1:12" ht="24">
      <c r="A357" s="200"/>
      <c r="B357" s="145"/>
      <c r="C357" s="61" t="s">
        <v>242</v>
      </c>
      <c r="D357" s="67"/>
      <c r="E357" s="159"/>
      <c r="F357" s="159"/>
      <c r="G357" s="160"/>
      <c r="H357" s="161"/>
      <c r="I357" s="160"/>
      <c r="J357" s="161"/>
      <c r="K357" s="159"/>
      <c r="L357" s="162"/>
    </row>
    <row r="358" spans="1:12" ht="24">
      <c r="A358" s="200"/>
      <c r="B358" s="60" t="s">
        <v>134</v>
      </c>
      <c r="C358" s="61" t="s">
        <v>160</v>
      </c>
      <c r="D358" s="67"/>
      <c r="E358" s="159"/>
      <c r="F358" s="159" t="s">
        <v>183</v>
      </c>
      <c r="G358" s="160">
        <v>264</v>
      </c>
      <c r="H358" s="161">
        <f t="shared" ref="H358" si="83">ROUND(E358*G358,2)</f>
        <v>0</v>
      </c>
      <c r="I358" s="160">
        <v>80</v>
      </c>
      <c r="J358" s="161">
        <f t="shared" ref="J358" si="84">ROUND(E358*I358,2)</f>
        <v>0</v>
      </c>
      <c r="K358" s="159">
        <f t="shared" ref="K358" si="85">ROUND(H358+J358,2)</f>
        <v>0</v>
      </c>
      <c r="L358" s="162"/>
    </row>
    <row r="359" spans="1:12" ht="24">
      <c r="A359" s="200"/>
      <c r="B359" s="60"/>
      <c r="C359" s="61" t="s">
        <v>236</v>
      </c>
      <c r="D359" s="67"/>
      <c r="E359" s="159"/>
      <c r="F359" s="159"/>
      <c r="G359" s="160"/>
      <c r="H359" s="161"/>
      <c r="I359" s="160"/>
      <c r="J359" s="161"/>
      <c r="K359" s="159"/>
      <c r="L359" s="162"/>
    </row>
    <row r="360" spans="1:12" ht="24">
      <c r="A360" s="200"/>
      <c r="B360" s="60" t="s">
        <v>134</v>
      </c>
      <c r="C360" s="61" t="s">
        <v>161</v>
      </c>
      <c r="D360" s="67"/>
      <c r="E360" s="159">
        <f>E348+E349+E351+E354+E356</f>
        <v>1357.65</v>
      </c>
      <c r="F360" s="159" t="s">
        <v>183</v>
      </c>
      <c r="G360" s="160">
        <v>55</v>
      </c>
      <c r="H360" s="161">
        <f t="shared" ref="H360" si="86">ROUND(E360*G360,2)</f>
        <v>74670.75</v>
      </c>
      <c r="I360" s="160">
        <v>30</v>
      </c>
      <c r="J360" s="161">
        <f t="shared" ref="J360" si="87">ROUND(E360*I360,2)</f>
        <v>40729.5</v>
      </c>
      <c r="K360" s="159">
        <f t="shared" ref="K360" si="88">ROUND(H360+J360,2)</f>
        <v>115400.25</v>
      </c>
      <c r="L360" s="162"/>
    </row>
    <row r="361" spans="1:12" ht="24">
      <c r="A361" s="201"/>
      <c r="B361" s="60"/>
      <c r="C361" s="61"/>
      <c r="D361" s="67"/>
      <c r="E361" s="159"/>
      <c r="F361" s="159"/>
      <c r="G361" s="160"/>
      <c r="H361" s="161"/>
      <c r="I361" s="160"/>
      <c r="J361" s="161"/>
      <c r="K361" s="159"/>
      <c r="L361" s="162"/>
    </row>
    <row r="362" spans="1:12" ht="24">
      <c r="A362" s="201"/>
      <c r="B362" s="60"/>
      <c r="C362" s="61"/>
      <c r="D362" s="67"/>
      <c r="E362" s="159"/>
      <c r="F362" s="159"/>
      <c r="G362" s="160"/>
      <c r="H362" s="161"/>
      <c r="I362" s="160"/>
      <c r="J362" s="161"/>
      <c r="K362" s="159"/>
      <c r="L362" s="162"/>
    </row>
    <row r="363" spans="1:12" ht="24">
      <c r="A363" s="201"/>
      <c r="B363" s="60"/>
      <c r="C363" s="61"/>
      <c r="D363" s="67"/>
      <c r="E363" s="159"/>
      <c r="F363" s="159"/>
      <c r="G363" s="160"/>
      <c r="H363" s="161"/>
      <c r="I363" s="160"/>
      <c r="J363" s="161"/>
      <c r="K363" s="159"/>
      <c r="L363" s="162"/>
    </row>
    <row r="364" spans="1:12" ht="24">
      <c r="A364" s="201"/>
      <c r="B364" s="60"/>
      <c r="C364" s="61"/>
      <c r="D364" s="67"/>
      <c r="E364" s="159"/>
      <c r="F364" s="159"/>
      <c r="G364" s="160"/>
      <c r="H364" s="161"/>
      <c r="I364" s="160"/>
      <c r="J364" s="161"/>
      <c r="K364" s="159"/>
      <c r="L364" s="162"/>
    </row>
    <row r="365" spans="1:12" ht="24">
      <c r="A365" s="201"/>
      <c r="B365" s="60"/>
      <c r="C365" s="61"/>
      <c r="D365" s="67"/>
      <c r="E365" s="159"/>
      <c r="F365" s="159"/>
      <c r="G365" s="160"/>
      <c r="H365" s="161"/>
      <c r="I365" s="160"/>
      <c r="J365" s="161"/>
      <c r="K365" s="159"/>
      <c r="L365" s="162"/>
    </row>
    <row r="366" spans="1:12" ht="24.75" thickBot="1">
      <c r="A366" s="201"/>
      <c r="B366" s="60"/>
      <c r="C366" s="61"/>
      <c r="D366" s="67"/>
      <c r="E366" s="159"/>
      <c r="F366" s="159"/>
      <c r="G366" s="160"/>
      <c r="H366" s="161"/>
      <c r="I366" s="160"/>
      <c r="J366" s="161"/>
      <c r="K366" s="159"/>
      <c r="L366" s="162"/>
    </row>
    <row r="367" spans="1:12" ht="24.75" thickTop="1">
      <c r="A367" s="149"/>
      <c r="B367" s="1981" t="s">
        <v>69</v>
      </c>
      <c r="C367" s="1982"/>
      <c r="D367" s="1983"/>
      <c r="E367" s="164"/>
      <c r="F367" s="164"/>
      <c r="G367" s="165"/>
      <c r="H367" s="166"/>
      <c r="I367" s="165"/>
      <c r="J367" s="166"/>
      <c r="K367" s="164"/>
      <c r="L367" s="167"/>
    </row>
    <row r="368" spans="1:12" ht="24">
      <c r="A368" s="206" t="s">
        <v>200</v>
      </c>
      <c r="B368" s="146" t="s">
        <v>113</v>
      </c>
      <c r="C368" s="142"/>
      <c r="D368" s="143"/>
      <c r="E368" s="155"/>
      <c r="F368" s="155"/>
      <c r="G368" s="156"/>
      <c r="H368" s="157"/>
      <c r="I368" s="156"/>
      <c r="J368" s="157"/>
      <c r="K368" s="158"/>
      <c r="L368" s="158"/>
    </row>
    <row r="369" spans="1:21" ht="24">
      <c r="A369" s="205"/>
      <c r="B369" s="147" t="s">
        <v>186</v>
      </c>
      <c r="C369" s="61" t="s">
        <v>346</v>
      </c>
      <c r="D369" s="55"/>
      <c r="E369" s="194">
        <v>2</v>
      </c>
      <c r="F369" s="159" t="s">
        <v>185</v>
      </c>
      <c r="G369" s="160"/>
      <c r="H369" s="161"/>
      <c r="I369" s="160"/>
      <c r="J369" s="161"/>
      <c r="K369" s="159"/>
      <c r="L369" s="162"/>
    </row>
    <row r="370" spans="1:21" ht="24">
      <c r="A370" s="200"/>
      <c r="B370" s="60" t="s">
        <v>187</v>
      </c>
      <c r="C370" s="61" t="s">
        <v>345</v>
      </c>
      <c r="D370" s="62"/>
      <c r="E370" s="220">
        <v>3</v>
      </c>
      <c r="F370" s="159" t="s">
        <v>185</v>
      </c>
      <c r="G370" s="156"/>
      <c r="H370" s="157"/>
      <c r="I370" s="156"/>
      <c r="J370" s="157"/>
      <c r="K370" s="158"/>
      <c r="L370" s="163"/>
    </row>
    <row r="371" spans="1:21" ht="24">
      <c r="A371" s="200"/>
      <c r="B371" s="60" t="s">
        <v>188</v>
      </c>
      <c r="C371" s="61" t="s">
        <v>368</v>
      </c>
      <c r="D371" s="62"/>
      <c r="E371" s="220">
        <v>3</v>
      </c>
      <c r="F371" s="159" t="s">
        <v>185</v>
      </c>
      <c r="G371" s="156"/>
      <c r="H371" s="157"/>
      <c r="I371" s="156"/>
      <c r="J371" s="157"/>
      <c r="K371" s="158"/>
      <c r="L371" s="163"/>
    </row>
    <row r="372" spans="1:21" ht="24">
      <c r="A372" s="200"/>
      <c r="B372" s="60" t="s">
        <v>302</v>
      </c>
      <c r="C372" s="61" t="s">
        <v>348</v>
      </c>
      <c r="D372" s="62"/>
      <c r="E372" s="220">
        <v>2</v>
      </c>
      <c r="F372" s="159" t="s">
        <v>185</v>
      </c>
      <c r="G372" s="156"/>
      <c r="H372" s="157"/>
      <c r="I372" s="156"/>
      <c r="J372" s="157"/>
      <c r="K372" s="158"/>
      <c r="L372" s="163"/>
    </row>
    <row r="373" spans="1:21" ht="24">
      <c r="A373" s="200"/>
      <c r="B373" s="60" t="s">
        <v>305</v>
      </c>
      <c r="C373" s="61" t="s">
        <v>351</v>
      </c>
      <c r="D373" s="67"/>
      <c r="E373" s="194">
        <v>2</v>
      </c>
      <c r="F373" s="159" t="s">
        <v>185</v>
      </c>
      <c r="G373" s="160"/>
      <c r="H373" s="161"/>
      <c r="I373" s="160"/>
      <c r="J373" s="161"/>
      <c r="K373" s="159"/>
      <c r="L373" s="162"/>
      <c r="U373" s="61" t="s">
        <v>353</v>
      </c>
    </row>
    <row r="374" spans="1:21" ht="24">
      <c r="A374" s="200"/>
      <c r="B374" s="60" t="s">
        <v>307</v>
      </c>
      <c r="C374" s="61" t="s">
        <v>353</v>
      </c>
      <c r="D374" s="67"/>
      <c r="E374" s="194">
        <v>2</v>
      </c>
      <c r="F374" s="159" t="s">
        <v>185</v>
      </c>
      <c r="G374" s="160"/>
      <c r="H374" s="161"/>
      <c r="I374" s="160"/>
      <c r="J374" s="161"/>
      <c r="K374" s="159"/>
      <c r="L374" s="162"/>
      <c r="U374" s="225" t="s">
        <v>354</v>
      </c>
    </row>
    <row r="375" spans="1:21" ht="24">
      <c r="A375" s="200"/>
      <c r="B375" s="60" t="s">
        <v>308</v>
      </c>
      <c r="C375" s="225" t="s">
        <v>354</v>
      </c>
      <c r="D375" s="67"/>
      <c r="E375" s="194">
        <v>2</v>
      </c>
      <c r="F375" s="159" t="s">
        <v>185</v>
      </c>
      <c r="G375" s="160"/>
      <c r="H375" s="161"/>
      <c r="I375" s="160"/>
      <c r="J375" s="161"/>
      <c r="K375" s="159"/>
      <c r="L375" s="162"/>
      <c r="U375" s="225"/>
    </row>
    <row r="376" spans="1:21" ht="24">
      <c r="A376" s="200"/>
      <c r="B376" s="60" t="s">
        <v>310</v>
      </c>
      <c r="C376" s="61" t="s">
        <v>356</v>
      </c>
      <c r="D376" s="67"/>
      <c r="E376" s="194">
        <v>1</v>
      </c>
      <c r="F376" s="159" t="s">
        <v>185</v>
      </c>
      <c r="G376" s="160"/>
      <c r="H376" s="161"/>
      <c r="I376" s="160"/>
      <c r="J376" s="161"/>
      <c r="K376" s="159"/>
      <c r="L376" s="162"/>
      <c r="U376" s="61"/>
    </row>
    <row r="377" spans="1:21" ht="24">
      <c r="A377" s="200"/>
      <c r="B377" s="60" t="s">
        <v>326</v>
      </c>
      <c r="C377" s="61" t="s">
        <v>369</v>
      </c>
      <c r="D377" s="67"/>
      <c r="E377" s="194">
        <v>1</v>
      </c>
      <c r="F377" s="159" t="s">
        <v>185</v>
      </c>
      <c r="G377" s="160"/>
      <c r="H377" s="161"/>
      <c r="I377" s="160"/>
      <c r="J377" s="161"/>
      <c r="K377" s="159"/>
      <c r="L377" s="162"/>
    </row>
    <row r="378" spans="1:21" ht="24">
      <c r="A378" s="200"/>
      <c r="B378" s="60" t="s">
        <v>327</v>
      </c>
      <c r="C378" s="61" t="s">
        <v>370</v>
      </c>
      <c r="D378" s="67"/>
      <c r="E378" s="194">
        <v>1</v>
      </c>
      <c r="F378" s="159" t="s">
        <v>185</v>
      </c>
      <c r="G378" s="160"/>
      <c r="H378" s="161"/>
      <c r="I378" s="160"/>
      <c r="J378" s="161"/>
      <c r="K378" s="159"/>
      <c r="L378" s="162"/>
    </row>
    <row r="379" spans="1:21" ht="24">
      <c r="A379" s="200"/>
      <c r="B379" s="60" t="s">
        <v>328</v>
      </c>
      <c r="C379" s="61" t="s">
        <v>371</v>
      </c>
      <c r="D379" s="67"/>
      <c r="E379" s="194">
        <v>2</v>
      </c>
      <c r="F379" s="159" t="s">
        <v>185</v>
      </c>
      <c r="G379" s="160"/>
      <c r="H379" s="161"/>
      <c r="I379" s="160"/>
      <c r="J379" s="161"/>
      <c r="K379" s="159"/>
      <c r="L379" s="162"/>
    </row>
    <row r="380" spans="1:21" ht="24">
      <c r="A380" s="200"/>
      <c r="B380" s="60" t="s">
        <v>329</v>
      </c>
      <c r="C380" s="61" t="s">
        <v>372</v>
      </c>
      <c r="D380" s="67"/>
      <c r="E380" s="194">
        <v>1</v>
      </c>
      <c r="F380" s="159" t="s">
        <v>185</v>
      </c>
      <c r="G380" s="160"/>
      <c r="H380" s="161"/>
      <c r="I380" s="160"/>
      <c r="J380" s="161"/>
      <c r="K380" s="159"/>
      <c r="L380" s="162"/>
    </row>
    <row r="381" spans="1:21" ht="24">
      <c r="A381" s="200"/>
      <c r="B381" s="60" t="s">
        <v>330</v>
      </c>
      <c r="C381" s="61" t="s">
        <v>373</v>
      </c>
      <c r="D381" s="67"/>
      <c r="E381" s="194">
        <v>1</v>
      </c>
      <c r="F381" s="159" t="s">
        <v>185</v>
      </c>
      <c r="G381" s="160"/>
      <c r="H381" s="161"/>
      <c r="I381" s="160"/>
      <c r="J381" s="161"/>
      <c r="K381" s="159"/>
      <c r="L381" s="162"/>
    </row>
    <row r="382" spans="1:21" ht="24">
      <c r="A382" s="200"/>
      <c r="B382" s="221">
        <v>2</v>
      </c>
      <c r="C382" s="61" t="s">
        <v>362</v>
      </c>
      <c r="D382" s="67"/>
      <c r="E382" s="194">
        <v>15</v>
      </c>
      <c r="F382" s="159" t="s">
        <v>185</v>
      </c>
      <c r="G382" s="160"/>
      <c r="H382" s="161"/>
      <c r="I382" s="160"/>
      <c r="J382" s="161"/>
      <c r="K382" s="159"/>
      <c r="L382" s="162"/>
      <c r="S382" s="61"/>
      <c r="T382" s="67"/>
    </row>
    <row r="383" spans="1:21" ht="24">
      <c r="A383" s="200"/>
      <c r="B383" s="221">
        <v>3</v>
      </c>
      <c r="C383" s="61" t="s">
        <v>363</v>
      </c>
      <c r="D383" s="67"/>
      <c r="E383" s="194">
        <v>2</v>
      </c>
      <c r="F383" s="159" t="s">
        <v>185</v>
      </c>
      <c r="G383" s="160"/>
      <c r="H383" s="161"/>
      <c r="I383" s="160"/>
      <c r="J383" s="161"/>
      <c r="K383" s="159"/>
      <c r="L383" s="162"/>
      <c r="S383" s="61"/>
      <c r="T383" s="67"/>
    </row>
    <row r="384" spans="1:21" ht="24">
      <c r="A384" s="200"/>
      <c r="B384" s="221">
        <v>4</v>
      </c>
      <c r="C384" s="61" t="s">
        <v>364</v>
      </c>
      <c r="D384" s="67"/>
      <c r="E384" s="194">
        <v>8</v>
      </c>
      <c r="F384" s="159" t="s">
        <v>185</v>
      </c>
      <c r="G384" s="160"/>
      <c r="H384" s="161"/>
      <c r="I384" s="160"/>
      <c r="J384" s="161"/>
      <c r="K384" s="159"/>
      <c r="L384" s="162"/>
      <c r="S384" s="61"/>
      <c r="T384" s="67"/>
    </row>
    <row r="385" spans="1:20" ht="24">
      <c r="A385" s="200"/>
      <c r="B385" s="221">
        <v>7</v>
      </c>
      <c r="C385" s="61" t="s">
        <v>367</v>
      </c>
      <c r="D385" s="67"/>
      <c r="E385" s="194">
        <v>3</v>
      </c>
      <c r="F385" s="159" t="s">
        <v>185</v>
      </c>
      <c r="G385" s="160"/>
      <c r="H385" s="161"/>
      <c r="I385" s="160"/>
      <c r="J385" s="161"/>
      <c r="K385" s="159"/>
      <c r="L385" s="162"/>
      <c r="S385" s="61"/>
      <c r="T385" s="67"/>
    </row>
    <row r="386" spans="1:20" ht="24">
      <c r="A386" s="200"/>
      <c r="B386" s="221"/>
      <c r="C386" s="61"/>
      <c r="D386" s="67"/>
      <c r="E386" s="194"/>
      <c r="F386" s="159"/>
      <c r="G386" s="160"/>
      <c r="H386" s="161"/>
      <c r="I386" s="160"/>
      <c r="J386" s="161"/>
      <c r="K386" s="159"/>
      <c r="L386" s="162"/>
      <c r="S386" s="61"/>
      <c r="T386" s="67"/>
    </row>
    <row r="387" spans="1:20" ht="24">
      <c r="A387" s="200"/>
      <c r="B387" s="221"/>
      <c r="C387" s="61"/>
      <c r="D387" s="67"/>
      <c r="E387" s="194"/>
      <c r="F387" s="159"/>
      <c r="G387" s="160"/>
      <c r="H387" s="161"/>
      <c r="I387" s="160"/>
      <c r="J387" s="161"/>
      <c r="K387" s="159"/>
      <c r="L387" s="162"/>
      <c r="S387" s="61"/>
      <c r="T387" s="67"/>
    </row>
    <row r="388" spans="1:20" ht="24.75" thickBot="1">
      <c r="A388" s="200"/>
      <c r="B388" s="221"/>
      <c r="C388" s="61"/>
      <c r="D388" s="67"/>
      <c r="E388" s="194"/>
      <c r="F388" s="159"/>
      <c r="G388" s="160"/>
      <c r="H388" s="161"/>
      <c r="I388" s="160"/>
      <c r="J388" s="161"/>
      <c r="K388" s="159"/>
      <c r="L388" s="162"/>
      <c r="S388" s="61"/>
      <c r="T388" s="67"/>
    </row>
    <row r="389" spans="1:20" ht="24.75" thickTop="1">
      <c r="A389" s="149"/>
      <c r="B389" s="1981" t="s">
        <v>69</v>
      </c>
      <c r="C389" s="1982"/>
      <c r="D389" s="1983"/>
      <c r="E389" s="164"/>
      <c r="F389" s="164"/>
      <c r="G389" s="165"/>
      <c r="H389" s="166"/>
      <c r="I389" s="165"/>
      <c r="J389" s="166"/>
      <c r="K389" s="164"/>
      <c r="L389" s="167"/>
      <c r="S389" s="61"/>
      <c r="T389" s="67"/>
    </row>
    <row r="390" spans="1:20" ht="24">
      <c r="A390" s="206" t="s">
        <v>201</v>
      </c>
      <c r="B390" s="133" t="s">
        <v>114</v>
      </c>
      <c r="C390" s="142"/>
      <c r="D390" s="143"/>
      <c r="E390" s="155"/>
      <c r="F390" s="155"/>
      <c r="G390" s="156"/>
      <c r="H390" s="157"/>
      <c r="I390" s="156"/>
      <c r="J390" s="157"/>
      <c r="K390" s="158"/>
      <c r="L390" s="158"/>
    </row>
    <row r="391" spans="1:20" ht="24">
      <c r="A391" s="205"/>
      <c r="B391" s="222" t="s">
        <v>315</v>
      </c>
      <c r="C391" s="54"/>
      <c r="D391" s="55"/>
      <c r="E391" s="159">
        <v>5</v>
      </c>
      <c r="F391" s="159" t="s">
        <v>185</v>
      </c>
      <c r="G391" s="160"/>
      <c r="H391" s="161"/>
      <c r="I391" s="160"/>
      <c r="J391" s="161"/>
      <c r="K391" s="159"/>
      <c r="L391" s="162"/>
    </row>
    <row r="392" spans="1:20" ht="24">
      <c r="A392" s="200"/>
      <c r="B392" s="222" t="s">
        <v>316</v>
      </c>
      <c r="C392" s="61"/>
      <c r="D392" s="62"/>
      <c r="E392" s="158">
        <v>9</v>
      </c>
      <c r="F392" s="159" t="s">
        <v>185</v>
      </c>
      <c r="G392" s="156"/>
      <c r="H392" s="157"/>
      <c r="I392" s="156"/>
      <c r="J392" s="157"/>
      <c r="K392" s="158"/>
      <c r="L392" s="163"/>
    </row>
    <row r="393" spans="1:20" ht="24">
      <c r="A393" s="200"/>
      <c r="B393" s="222" t="s">
        <v>317</v>
      </c>
      <c r="C393" s="61"/>
      <c r="D393" s="62"/>
      <c r="E393" s="158">
        <v>8</v>
      </c>
      <c r="F393" s="159" t="s">
        <v>185</v>
      </c>
      <c r="G393" s="156"/>
      <c r="H393" s="157"/>
      <c r="I393" s="156"/>
      <c r="J393" s="157"/>
      <c r="K393" s="158"/>
      <c r="L393" s="163"/>
    </row>
    <row r="394" spans="1:20" ht="24">
      <c r="A394" s="200"/>
      <c r="B394" s="222" t="s">
        <v>336</v>
      </c>
      <c r="C394" s="61"/>
      <c r="D394" s="62"/>
      <c r="E394" s="158">
        <v>8</v>
      </c>
      <c r="F394" s="159" t="s">
        <v>185</v>
      </c>
      <c r="G394" s="160"/>
      <c r="H394" s="161"/>
      <c r="I394" s="160"/>
      <c r="J394" s="161"/>
      <c r="K394" s="159"/>
      <c r="L394" s="162"/>
    </row>
    <row r="395" spans="1:20" ht="24">
      <c r="A395" s="200"/>
      <c r="B395" s="222" t="s">
        <v>318</v>
      </c>
      <c r="C395" s="61"/>
      <c r="D395" s="67"/>
      <c r="E395" s="159">
        <v>2</v>
      </c>
      <c r="F395" s="159" t="s">
        <v>185</v>
      </c>
      <c r="G395" s="160"/>
      <c r="H395" s="161"/>
      <c r="I395" s="160"/>
      <c r="J395" s="161"/>
      <c r="K395" s="159"/>
      <c r="L395" s="162"/>
    </row>
    <row r="396" spans="1:20" ht="24">
      <c r="A396" s="200"/>
      <c r="B396" s="222" t="s">
        <v>319</v>
      </c>
      <c r="C396" s="61"/>
      <c r="D396" s="67"/>
      <c r="E396" s="159">
        <v>9</v>
      </c>
      <c r="F396" s="159" t="s">
        <v>185</v>
      </c>
      <c r="G396" s="160"/>
      <c r="H396" s="161"/>
      <c r="I396" s="160"/>
      <c r="J396" s="161"/>
      <c r="K396" s="159"/>
      <c r="L396" s="162"/>
    </row>
    <row r="397" spans="1:20" ht="24">
      <c r="A397" s="200"/>
      <c r="B397" s="222" t="s">
        <v>320</v>
      </c>
      <c r="C397" s="61"/>
      <c r="D397" s="67"/>
      <c r="E397" s="159">
        <v>9</v>
      </c>
      <c r="F397" s="159" t="s">
        <v>185</v>
      </c>
      <c r="G397" s="160"/>
      <c r="H397" s="161"/>
      <c r="I397" s="160"/>
      <c r="J397" s="161"/>
      <c r="K397" s="159"/>
      <c r="L397" s="162"/>
    </row>
    <row r="398" spans="1:20" ht="24">
      <c r="A398" s="200"/>
      <c r="B398" s="222" t="s">
        <v>323</v>
      </c>
      <c r="C398" s="61"/>
      <c r="D398" s="67"/>
      <c r="E398" s="159">
        <v>1</v>
      </c>
      <c r="F398" s="159" t="s">
        <v>185</v>
      </c>
      <c r="G398" s="160"/>
      <c r="H398" s="161"/>
      <c r="I398" s="160"/>
      <c r="J398" s="161"/>
      <c r="K398" s="159"/>
      <c r="L398" s="162"/>
    </row>
    <row r="399" spans="1:20" ht="24">
      <c r="A399" s="200"/>
      <c r="B399" s="222" t="s">
        <v>324</v>
      </c>
      <c r="C399" s="61"/>
      <c r="D399" s="67"/>
      <c r="E399" s="159">
        <v>1</v>
      </c>
      <c r="F399" s="159" t="s">
        <v>185</v>
      </c>
      <c r="G399" s="160"/>
      <c r="H399" s="161"/>
      <c r="I399" s="160"/>
      <c r="J399" s="161"/>
      <c r="K399" s="159"/>
      <c r="L399" s="162"/>
    </row>
    <row r="400" spans="1:20" ht="24">
      <c r="A400" s="200"/>
      <c r="B400" s="222" t="s">
        <v>338</v>
      </c>
      <c r="C400" s="61"/>
      <c r="D400" s="67"/>
      <c r="E400" s="159">
        <v>1</v>
      </c>
      <c r="F400" s="159" t="s">
        <v>185</v>
      </c>
      <c r="G400" s="160"/>
      <c r="H400" s="161"/>
      <c r="I400" s="160"/>
      <c r="J400" s="161"/>
      <c r="K400" s="159"/>
      <c r="L400" s="162"/>
    </row>
    <row r="401" spans="1:12" ht="24" customHeight="1">
      <c r="A401" s="200"/>
      <c r="B401" s="222" t="s">
        <v>340</v>
      </c>
      <c r="C401" s="61"/>
      <c r="D401" s="67"/>
      <c r="E401" s="159">
        <v>1</v>
      </c>
      <c r="F401" s="159" t="s">
        <v>185</v>
      </c>
      <c r="G401" s="160"/>
      <c r="H401" s="161"/>
      <c r="I401" s="160"/>
      <c r="J401" s="161"/>
      <c r="K401" s="159"/>
      <c r="L401" s="162"/>
    </row>
    <row r="402" spans="1:12" ht="24">
      <c r="A402" s="200"/>
      <c r="B402" s="222" t="s">
        <v>321</v>
      </c>
      <c r="C402" s="61"/>
      <c r="D402" s="67"/>
      <c r="E402" s="159">
        <v>11</v>
      </c>
      <c r="F402" s="159" t="s">
        <v>185</v>
      </c>
      <c r="G402" s="160"/>
      <c r="H402" s="161"/>
      <c r="I402" s="160"/>
      <c r="J402" s="161"/>
      <c r="K402" s="159"/>
      <c r="L402" s="162"/>
    </row>
    <row r="403" spans="1:12" ht="24">
      <c r="A403" s="200"/>
      <c r="B403" s="222" t="s">
        <v>335</v>
      </c>
      <c r="C403" s="61"/>
      <c r="D403" s="67"/>
      <c r="E403" s="159">
        <v>4</v>
      </c>
      <c r="F403" s="159" t="s">
        <v>185</v>
      </c>
      <c r="G403" s="160"/>
      <c r="H403" s="161"/>
      <c r="I403" s="160"/>
      <c r="J403" s="161"/>
      <c r="K403" s="159"/>
      <c r="L403" s="162"/>
    </row>
    <row r="404" spans="1:12" ht="24">
      <c r="A404" s="200"/>
      <c r="B404" s="222" t="s">
        <v>341</v>
      </c>
      <c r="C404" s="61"/>
      <c r="D404" s="67"/>
      <c r="E404" s="159">
        <v>1</v>
      </c>
      <c r="F404" s="159" t="s">
        <v>185</v>
      </c>
      <c r="G404" s="160"/>
      <c r="H404" s="161"/>
      <c r="I404" s="160"/>
      <c r="J404" s="161"/>
      <c r="K404" s="159"/>
      <c r="L404" s="162"/>
    </row>
    <row r="405" spans="1:12" ht="24">
      <c r="A405" s="199"/>
      <c r="B405" s="133"/>
      <c r="C405" s="61"/>
      <c r="D405" s="67"/>
      <c r="E405" s="159"/>
      <c r="F405" s="159"/>
      <c r="G405" s="160"/>
      <c r="H405" s="161"/>
      <c r="I405" s="160"/>
      <c r="J405" s="161"/>
      <c r="K405" s="159"/>
      <c r="L405" s="162"/>
    </row>
    <row r="406" spans="1:12" ht="24">
      <c r="A406" s="199"/>
      <c r="B406" s="133"/>
      <c r="C406" s="61"/>
      <c r="D406" s="67"/>
      <c r="E406" s="159"/>
      <c r="F406" s="159"/>
      <c r="G406" s="160"/>
      <c r="H406" s="161"/>
      <c r="I406" s="160"/>
      <c r="J406" s="161"/>
      <c r="K406" s="159"/>
      <c r="L406" s="162"/>
    </row>
    <row r="407" spans="1:12" ht="24">
      <c r="A407" s="199"/>
      <c r="B407" s="133"/>
      <c r="C407" s="61"/>
      <c r="D407" s="67"/>
      <c r="E407" s="159"/>
      <c r="F407" s="159"/>
      <c r="G407" s="160"/>
      <c r="H407" s="161"/>
      <c r="I407" s="160"/>
      <c r="J407" s="161"/>
      <c r="K407" s="159"/>
      <c r="L407" s="162"/>
    </row>
    <row r="408" spans="1:12" ht="24">
      <c r="A408" s="199"/>
      <c r="B408" s="133"/>
      <c r="C408" s="61"/>
      <c r="D408" s="67"/>
      <c r="E408" s="159"/>
      <c r="F408" s="159"/>
      <c r="G408" s="160"/>
      <c r="H408" s="161"/>
      <c r="I408" s="160"/>
      <c r="J408" s="161"/>
      <c r="K408" s="159"/>
      <c r="L408" s="162"/>
    </row>
    <row r="409" spans="1:12" ht="24">
      <c r="A409" s="199"/>
      <c r="B409" s="133"/>
      <c r="C409" s="61"/>
      <c r="D409" s="67"/>
      <c r="E409" s="159"/>
      <c r="F409" s="159"/>
      <c r="G409" s="160"/>
      <c r="H409" s="161"/>
      <c r="I409" s="160"/>
      <c r="J409" s="161"/>
      <c r="K409" s="159"/>
      <c r="L409" s="162"/>
    </row>
    <row r="410" spans="1:12" ht="24.75" thickBot="1">
      <c r="A410" s="199"/>
      <c r="B410" s="133"/>
      <c r="C410" s="61"/>
      <c r="D410" s="67"/>
      <c r="E410" s="159"/>
      <c r="F410" s="159"/>
      <c r="G410" s="160"/>
      <c r="H410" s="161"/>
      <c r="I410" s="160"/>
      <c r="J410" s="161"/>
      <c r="K410" s="159"/>
      <c r="L410" s="162"/>
    </row>
    <row r="411" spans="1:12" ht="24.75" thickTop="1">
      <c r="A411" s="149"/>
      <c r="B411" s="1981" t="s">
        <v>69</v>
      </c>
      <c r="C411" s="1982"/>
      <c r="D411" s="1983"/>
      <c r="E411" s="164"/>
      <c r="F411" s="164"/>
      <c r="G411" s="165"/>
      <c r="H411" s="166"/>
      <c r="I411" s="165"/>
      <c r="J411" s="166"/>
      <c r="K411" s="164"/>
      <c r="L411" s="167"/>
    </row>
    <row r="412" spans="1:12" ht="24">
      <c r="A412" s="202" t="s">
        <v>108</v>
      </c>
      <c r="B412" s="2007" t="str">
        <f>B54</f>
        <v xml:space="preserve"> อาคาร 2  อาคารสำนักงาน และ Workshop ส่วนสุขาภิบาลและส่วนอาคาร </v>
      </c>
      <c r="C412" s="2008"/>
      <c r="D412" s="2009"/>
      <c r="E412" s="155"/>
      <c r="F412" s="155"/>
      <c r="G412" s="156"/>
      <c r="H412" s="157"/>
      <c r="I412" s="156"/>
      <c r="J412" s="157"/>
      <c r="K412" s="158"/>
      <c r="L412" s="158"/>
    </row>
    <row r="413" spans="1:12" ht="24">
      <c r="A413" s="202"/>
      <c r="B413" s="2001" t="str">
        <f>B237</f>
        <v xml:space="preserve"> ฝ่ายสนามบินและอาคาร ขนาด 3 ชั้น (อาคาร B)</v>
      </c>
      <c r="C413" s="2002"/>
      <c r="D413" s="2003"/>
      <c r="E413" s="155"/>
      <c r="F413" s="155"/>
      <c r="G413" s="156"/>
      <c r="H413" s="157"/>
      <c r="I413" s="156"/>
      <c r="J413" s="157"/>
      <c r="K413" s="158"/>
      <c r="L413" s="158"/>
    </row>
    <row r="414" spans="1:12" ht="24">
      <c r="A414" s="202"/>
      <c r="B414" s="2001" t="s">
        <v>283</v>
      </c>
      <c r="C414" s="2002"/>
      <c r="D414" s="2003"/>
      <c r="E414" s="155"/>
      <c r="F414" s="155"/>
      <c r="G414" s="156"/>
      <c r="H414" s="157"/>
      <c r="I414" s="156"/>
      <c r="J414" s="157"/>
      <c r="K414" s="158"/>
      <c r="L414" s="158"/>
    </row>
    <row r="415" spans="1:12" ht="24">
      <c r="A415" s="204" t="s">
        <v>195</v>
      </c>
      <c r="B415" s="134" t="s">
        <v>93</v>
      </c>
      <c r="C415" s="54"/>
      <c r="D415" s="55"/>
      <c r="E415" s="159"/>
      <c r="F415" s="159" t="s">
        <v>182</v>
      </c>
      <c r="G415" s="160"/>
      <c r="H415" s="161"/>
      <c r="I415" s="160"/>
      <c r="J415" s="161"/>
      <c r="K415" s="159"/>
      <c r="L415" s="162"/>
    </row>
    <row r="416" spans="1:12" ht="24">
      <c r="A416" s="199" t="s">
        <v>196</v>
      </c>
      <c r="B416" s="133" t="s">
        <v>109</v>
      </c>
      <c r="C416" s="61"/>
      <c r="D416" s="62"/>
      <c r="E416" s="158"/>
      <c r="F416" s="158" t="s">
        <v>182</v>
      </c>
      <c r="G416" s="156"/>
      <c r="H416" s="157"/>
      <c r="I416" s="156"/>
      <c r="J416" s="157"/>
      <c r="K416" s="158"/>
      <c r="L416" s="163"/>
    </row>
    <row r="417" spans="1:12" ht="24">
      <c r="A417" s="204" t="s">
        <v>197</v>
      </c>
      <c r="B417" s="133" t="s">
        <v>110</v>
      </c>
      <c r="C417" s="61"/>
      <c r="D417" s="62"/>
      <c r="E417" s="158"/>
      <c r="F417" s="158" t="s">
        <v>182</v>
      </c>
      <c r="G417" s="156"/>
      <c r="H417" s="157"/>
      <c r="I417" s="156"/>
      <c r="J417" s="157"/>
      <c r="K417" s="158"/>
      <c r="L417" s="163"/>
    </row>
    <row r="418" spans="1:12" ht="24">
      <c r="A418" s="199" t="s">
        <v>198</v>
      </c>
      <c r="B418" s="133" t="s">
        <v>111</v>
      </c>
      <c r="C418" s="61"/>
      <c r="D418" s="67"/>
      <c r="E418" s="159"/>
      <c r="F418" s="159" t="s">
        <v>182</v>
      </c>
      <c r="G418" s="160"/>
      <c r="H418" s="161"/>
      <c r="I418" s="160"/>
      <c r="J418" s="161"/>
      <c r="K418" s="159"/>
      <c r="L418" s="162"/>
    </row>
    <row r="419" spans="1:12" ht="24">
      <c r="A419" s="204" t="s">
        <v>199</v>
      </c>
      <c r="B419" s="133" t="s">
        <v>112</v>
      </c>
      <c r="C419" s="61"/>
      <c r="D419" s="67"/>
      <c r="E419" s="159"/>
      <c r="F419" s="159" t="s">
        <v>182</v>
      </c>
      <c r="G419" s="160"/>
      <c r="H419" s="161"/>
      <c r="I419" s="160"/>
      <c r="J419" s="161"/>
      <c r="K419" s="159"/>
      <c r="L419" s="162"/>
    </row>
    <row r="420" spans="1:12" ht="24">
      <c r="A420" s="199" t="s">
        <v>200</v>
      </c>
      <c r="B420" s="133" t="s">
        <v>113</v>
      </c>
      <c r="C420" s="61"/>
      <c r="D420" s="67"/>
      <c r="E420" s="159"/>
      <c r="F420" s="159" t="s">
        <v>182</v>
      </c>
      <c r="G420" s="160"/>
      <c r="H420" s="161"/>
      <c r="I420" s="160"/>
      <c r="J420" s="161"/>
      <c r="K420" s="159"/>
      <c r="L420" s="162"/>
    </row>
    <row r="421" spans="1:12" ht="24">
      <c r="A421" s="204" t="s">
        <v>201</v>
      </c>
      <c r="B421" s="133" t="s">
        <v>114</v>
      </c>
      <c r="C421" s="61"/>
      <c r="D421" s="67"/>
      <c r="E421" s="159"/>
      <c r="F421" s="159" t="s">
        <v>182</v>
      </c>
      <c r="G421" s="160"/>
      <c r="H421" s="161"/>
      <c r="I421" s="160"/>
      <c r="J421" s="161"/>
      <c r="K421" s="159"/>
      <c r="L421" s="162"/>
    </row>
    <row r="422" spans="1:12" ht="24">
      <c r="A422" s="199"/>
      <c r="B422" s="133"/>
      <c r="C422" s="61"/>
      <c r="D422" s="67"/>
      <c r="E422" s="159"/>
      <c r="F422" s="159"/>
      <c r="G422" s="160"/>
      <c r="H422" s="161"/>
      <c r="I422" s="160"/>
      <c r="J422" s="161"/>
      <c r="K422" s="159"/>
      <c r="L422" s="162"/>
    </row>
    <row r="423" spans="1:12" ht="24">
      <c r="A423" s="204"/>
      <c r="B423" s="133"/>
      <c r="C423" s="61"/>
      <c r="D423" s="67"/>
      <c r="E423" s="159"/>
      <c r="F423" s="159"/>
      <c r="G423" s="160"/>
      <c r="H423" s="161"/>
      <c r="I423" s="160"/>
      <c r="J423" s="161"/>
      <c r="K423" s="159"/>
      <c r="L423" s="162"/>
    </row>
    <row r="424" spans="1:12" ht="24">
      <c r="A424" s="199"/>
      <c r="B424" s="133"/>
      <c r="C424" s="61"/>
      <c r="D424" s="67"/>
      <c r="E424" s="159"/>
      <c r="F424" s="159"/>
      <c r="G424" s="160"/>
      <c r="H424" s="161"/>
      <c r="I424" s="160"/>
      <c r="J424" s="161"/>
      <c r="K424" s="159"/>
      <c r="L424" s="162"/>
    </row>
    <row r="425" spans="1:12" ht="24">
      <c r="A425" s="199"/>
      <c r="B425" s="133"/>
      <c r="C425" s="61"/>
      <c r="D425" s="67"/>
      <c r="E425" s="159"/>
      <c r="F425" s="159"/>
      <c r="G425" s="160"/>
      <c r="H425" s="161"/>
      <c r="I425" s="160"/>
      <c r="J425" s="161"/>
      <c r="K425" s="159"/>
      <c r="L425" s="162"/>
    </row>
    <row r="426" spans="1:12" ht="24">
      <c r="A426" s="199"/>
      <c r="B426" s="133"/>
      <c r="C426" s="61"/>
      <c r="D426" s="67"/>
      <c r="E426" s="159"/>
      <c r="F426" s="159"/>
      <c r="G426" s="160"/>
      <c r="H426" s="161"/>
      <c r="I426" s="160"/>
      <c r="J426" s="161"/>
      <c r="K426" s="159"/>
      <c r="L426" s="162"/>
    </row>
    <row r="427" spans="1:12" ht="24">
      <c r="A427" s="199"/>
      <c r="B427" s="133"/>
      <c r="C427" s="61"/>
      <c r="D427" s="67"/>
      <c r="E427" s="159"/>
      <c r="F427" s="159"/>
      <c r="G427" s="160"/>
      <c r="H427" s="161"/>
      <c r="I427" s="160"/>
      <c r="J427" s="161"/>
      <c r="K427" s="159"/>
      <c r="L427" s="162"/>
    </row>
    <row r="428" spans="1:12" ht="24">
      <c r="A428" s="199"/>
      <c r="B428" s="133"/>
      <c r="C428" s="61"/>
      <c r="D428" s="67"/>
      <c r="E428" s="159"/>
      <c r="F428" s="159"/>
      <c r="G428" s="160"/>
      <c r="H428" s="161"/>
      <c r="I428" s="160"/>
      <c r="J428" s="161"/>
      <c r="K428" s="159"/>
      <c r="L428" s="162"/>
    </row>
    <row r="429" spans="1:12" ht="24">
      <c r="A429" s="199"/>
      <c r="B429" s="133"/>
      <c r="C429" s="61"/>
      <c r="D429" s="67"/>
      <c r="E429" s="159"/>
      <c r="F429" s="159"/>
      <c r="G429" s="160"/>
      <c r="H429" s="161"/>
      <c r="I429" s="160"/>
      <c r="J429" s="161"/>
      <c r="K429" s="159"/>
      <c r="L429" s="162"/>
    </row>
    <row r="430" spans="1:12" ht="24">
      <c r="A430" s="201"/>
      <c r="B430" s="60"/>
      <c r="C430" s="61"/>
      <c r="D430" s="67"/>
      <c r="E430" s="159"/>
      <c r="F430" s="159"/>
      <c r="G430" s="160"/>
      <c r="H430" s="161"/>
      <c r="I430" s="160"/>
      <c r="J430" s="161"/>
      <c r="K430" s="159"/>
      <c r="L430" s="162"/>
    </row>
    <row r="431" spans="1:12" ht="24">
      <c r="A431" s="201"/>
      <c r="B431" s="60"/>
      <c r="C431" s="61"/>
      <c r="D431" s="67"/>
      <c r="E431" s="159"/>
      <c r="F431" s="159"/>
      <c r="G431" s="160"/>
      <c r="H431" s="161"/>
      <c r="I431" s="160"/>
      <c r="J431" s="161"/>
      <c r="K431" s="159"/>
      <c r="L431" s="162"/>
    </row>
    <row r="432" spans="1:12" ht="24.75" thickBot="1">
      <c r="A432" s="201"/>
      <c r="B432" s="60"/>
      <c r="C432" s="61"/>
      <c r="D432" s="67"/>
      <c r="E432" s="159"/>
      <c r="F432" s="159"/>
      <c r="G432" s="160"/>
      <c r="H432" s="161"/>
      <c r="I432" s="160"/>
      <c r="J432" s="161"/>
      <c r="K432" s="159"/>
      <c r="L432" s="162"/>
    </row>
    <row r="433" spans="1:12" ht="24.75" thickTop="1">
      <c r="A433" s="149"/>
      <c r="B433" s="2004" t="s">
        <v>69</v>
      </c>
      <c r="C433" s="2005"/>
      <c r="D433" s="2006"/>
      <c r="E433" s="168"/>
      <c r="F433" s="168"/>
      <c r="G433" s="169"/>
      <c r="H433" s="170"/>
      <c r="I433" s="169"/>
      <c r="J433" s="170"/>
      <c r="K433" s="168"/>
      <c r="L433" s="171"/>
    </row>
    <row r="434" spans="1:12" ht="24">
      <c r="A434" s="204" t="s">
        <v>195</v>
      </c>
      <c r="B434" s="53" t="s">
        <v>93</v>
      </c>
      <c r="C434" s="142"/>
      <c r="D434" s="143"/>
      <c r="E434" s="155"/>
      <c r="F434" s="155"/>
      <c r="G434" s="156"/>
      <c r="H434" s="157"/>
      <c r="I434" s="156"/>
      <c r="J434" s="157"/>
      <c r="K434" s="158"/>
      <c r="L434" s="158"/>
    </row>
    <row r="435" spans="1:12" ht="24">
      <c r="A435" s="205"/>
      <c r="B435" s="144" t="s">
        <v>117</v>
      </c>
      <c r="C435" s="61" t="s">
        <v>125</v>
      </c>
      <c r="D435" s="55"/>
      <c r="E435" s="159">
        <v>0</v>
      </c>
      <c r="F435" s="159" t="s">
        <v>183</v>
      </c>
      <c r="G435" s="160">
        <v>0</v>
      </c>
      <c r="H435" s="161">
        <f>ROUND(E435*G435,2)</f>
        <v>0</v>
      </c>
      <c r="I435" s="160">
        <v>0</v>
      </c>
      <c r="J435" s="161">
        <f>ROUND(E435*I435,2)</f>
        <v>0</v>
      </c>
      <c r="K435" s="159">
        <f>ROUND(H435+J435,2)</f>
        <v>0</v>
      </c>
      <c r="L435" s="162"/>
    </row>
    <row r="436" spans="1:12" ht="24">
      <c r="A436" s="200"/>
      <c r="B436" s="145" t="s">
        <v>118</v>
      </c>
      <c r="C436" s="61" t="s">
        <v>126</v>
      </c>
      <c r="D436" s="62"/>
      <c r="E436" s="158">
        <v>0</v>
      </c>
      <c r="F436" s="158" t="s">
        <v>183</v>
      </c>
      <c r="G436" s="156">
        <v>0</v>
      </c>
      <c r="H436" s="161">
        <f t="shared" ref="H436:H442" si="89">ROUND(E436*G436,2)</f>
        <v>0</v>
      </c>
      <c r="I436" s="160">
        <v>0</v>
      </c>
      <c r="J436" s="161">
        <f t="shared" ref="J436:J442" si="90">ROUND(E436*I436,2)</f>
        <v>0</v>
      </c>
      <c r="K436" s="159">
        <f t="shared" ref="K436:K442" si="91">ROUND(H436+J436,2)</f>
        <v>0</v>
      </c>
      <c r="L436" s="163"/>
    </row>
    <row r="437" spans="1:12" ht="24">
      <c r="A437" s="200"/>
      <c r="B437" s="145" t="s">
        <v>119</v>
      </c>
      <c r="C437" s="61" t="s">
        <v>210</v>
      </c>
      <c r="D437" s="62"/>
      <c r="E437" s="158"/>
      <c r="F437" s="158" t="s">
        <v>183</v>
      </c>
      <c r="G437" s="156">
        <v>76</v>
      </c>
      <c r="H437" s="161">
        <f t="shared" si="89"/>
        <v>0</v>
      </c>
      <c r="I437" s="160">
        <v>82</v>
      </c>
      <c r="J437" s="161">
        <f t="shared" si="90"/>
        <v>0</v>
      </c>
      <c r="K437" s="159">
        <f t="shared" si="91"/>
        <v>0</v>
      </c>
      <c r="L437" s="163"/>
    </row>
    <row r="438" spans="1:12" ht="24">
      <c r="A438" s="200"/>
      <c r="B438" s="145" t="s">
        <v>120</v>
      </c>
      <c r="C438" s="61" t="s">
        <v>211</v>
      </c>
      <c r="D438" s="67"/>
      <c r="E438" s="159"/>
      <c r="F438" s="159" t="s">
        <v>183</v>
      </c>
      <c r="G438" s="160">
        <v>83</v>
      </c>
      <c r="H438" s="161">
        <f t="shared" si="89"/>
        <v>0</v>
      </c>
      <c r="I438" s="160">
        <v>82</v>
      </c>
      <c r="J438" s="161">
        <f t="shared" si="90"/>
        <v>0</v>
      </c>
      <c r="K438" s="159">
        <f t="shared" si="91"/>
        <v>0</v>
      </c>
      <c r="L438" s="162"/>
    </row>
    <row r="439" spans="1:12" ht="24">
      <c r="A439" s="200"/>
      <c r="B439" s="145" t="s">
        <v>121</v>
      </c>
      <c r="C439" s="61" t="s">
        <v>212</v>
      </c>
      <c r="D439" s="67"/>
      <c r="E439" s="159"/>
      <c r="F439" s="159" t="s">
        <v>183</v>
      </c>
      <c r="G439" s="160">
        <v>105</v>
      </c>
      <c r="H439" s="161">
        <f t="shared" si="89"/>
        <v>0</v>
      </c>
      <c r="I439" s="160">
        <v>61</v>
      </c>
      <c r="J439" s="161">
        <f t="shared" si="90"/>
        <v>0</v>
      </c>
      <c r="K439" s="159">
        <f t="shared" si="91"/>
        <v>0</v>
      </c>
      <c r="L439" s="162"/>
    </row>
    <row r="440" spans="1:12" ht="24">
      <c r="A440" s="200"/>
      <c r="B440" s="145" t="s">
        <v>122</v>
      </c>
      <c r="C440" s="61" t="s">
        <v>127</v>
      </c>
      <c r="D440" s="67"/>
      <c r="E440" s="159">
        <v>65.42</v>
      </c>
      <c r="F440" s="159" t="s">
        <v>183</v>
      </c>
      <c r="G440" s="160">
        <v>690</v>
      </c>
      <c r="H440" s="161">
        <f t="shared" si="89"/>
        <v>45139.8</v>
      </c>
      <c r="I440" s="160">
        <v>175</v>
      </c>
      <c r="J440" s="161">
        <f t="shared" si="90"/>
        <v>11448.5</v>
      </c>
      <c r="K440" s="159">
        <f t="shared" si="91"/>
        <v>56588.3</v>
      </c>
      <c r="L440" s="162"/>
    </row>
    <row r="441" spans="1:12" ht="24">
      <c r="A441" s="200"/>
      <c r="B441" s="145" t="s">
        <v>123</v>
      </c>
      <c r="C441" s="61" t="s">
        <v>213</v>
      </c>
      <c r="D441" s="67"/>
      <c r="E441" s="159">
        <f>26.7+20.16</f>
        <v>46.86</v>
      </c>
      <c r="F441" s="159" t="s">
        <v>183</v>
      </c>
      <c r="G441" s="160">
        <v>850</v>
      </c>
      <c r="H441" s="161">
        <f t="shared" si="89"/>
        <v>39831</v>
      </c>
      <c r="I441" s="160">
        <v>175</v>
      </c>
      <c r="J441" s="161">
        <f t="shared" si="90"/>
        <v>8200.5</v>
      </c>
      <c r="K441" s="159">
        <f t="shared" si="91"/>
        <v>48031.5</v>
      </c>
      <c r="L441" s="162"/>
    </row>
    <row r="442" spans="1:12" ht="24">
      <c r="A442" s="200"/>
      <c r="B442" s="145" t="s">
        <v>124</v>
      </c>
      <c r="C442" s="61" t="s">
        <v>214</v>
      </c>
      <c r="D442" s="67"/>
      <c r="E442" s="159">
        <v>7.14</v>
      </c>
      <c r="F442" s="159" t="s">
        <v>183</v>
      </c>
      <c r="G442" s="160">
        <v>2000</v>
      </c>
      <c r="H442" s="161">
        <f t="shared" si="89"/>
        <v>14280</v>
      </c>
      <c r="I442" s="160">
        <v>198</v>
      </c>
      <c r="J442" s="161">
        <f t="shared" si="90"/>
        <v>1413.72</v>
      </c>
      <c r="K442" s="159">
        <f t="shared" si="91"/>
        <v>15693.72</v>
      </c>
      <c r="L442" s="162"/>
    </row>
    <row r="443" spans="1:12" ht="24">
      <c r="A443" s="200"/>
      <c r="B443" s="60"/>
      <c r="C443" s="61" t="s">
        <v>215</v>
      </c>
      <c r="D443" s="67"/>
      <c r="E443" s="159"/>
      <c r="F443" s="159"/>
      <c r="G443" s="160"/>
      <c r="H443" s="161"/>
      <c r="I443" s="160"/>
      <c r="J443" s="161"/>
      <c r="K443" s="159"/>
      <c r="L443" s="162"/>
    </row>
    <row r="444" spans="1:12" ht="24">
      <c r="A444" s="200"/>
      <c r="B444" s="145" t="s">
        <v>216</v>
      </c>
      <c r="C444" s="61" t="s">
        <v>217</v>
      </c>
      <c r="D444" s="67"/>
      <c r="E444" s="159"/>
      <c r="F444" s="159" t="s">
        <v>183</v>
      </c>
      <c r="G444" s="183">
        <f>500+105</f>
        <v>605</v>
      </c>
      <c r="H444" s="161">
        <f>ROUND(E444*G444,2)</f>
        <v>0</v>
      </c>
      <c r="I444" s="160">
        <f>100+61</f>
        <v>161</v>
      </c>
      <c r="J444" s="161">
        <f>ROUND(E444*I444,2)</f>
        <v>0</v>
      </c>
      <c r="K444" s="159">
        <f>ROUND(H444+J444,2)</f>
        <v>0</v>
      </c>
      <c r="L444" s="162"/>
    </row>
    <row r="445" spans="1:12" ht="24">
      <c r="A445" s="200"/>
      <c r="B445" s="60"/>
      <c r="C445" s="61" t="s">
        <v>218</v>
      </c>
      <c r="D445" s="67"/>
      <c r="E445" s="159"/>
      <c r="F445" s="159"/>
      <c r="G445" s="160"/>
      <c r="H445" s="161"/>
      <c r="I445" s="160"/>
      <c r="J445" s="161"/>
      <c r="K445" s="159"/>
      <c r="L445" s="162"/>
    </row>
    <row r="446" spans="1:12" ht="24">
      <c r="A446" s="200"/>
      <c r="B446" s="145" t="s">
        <v>219</v>
      </c>
      <c r="C446" s="61" t="s">
        <v>220</v>
      </c>
      <c r="D446" s="67"/>
      <c r="E446" s="159">
        <f>9.48+10.8+66.52+42.4+83.2+570.34+6.48+21.6+9.45+32+15.96+19.86+18.13+9.89</f>
        <v>916.11000000000013</v>
      </c>
      <c r="F446" s="159" t="s">
        <v>183</v>
      </c>
      <c r="G446" s="183">
        <f>250+105</f>
        <v>355</v>
      </c>
      <c r="H446" s="161">
        <f t="shared" ref="H446:H447" si="92">ROUND(E446*G446,2)</f>
        <v>325219.05</v>
      </c>
      <c r="I446" s="160">
        <f>50+61</f>
        <v>111</v>
      </c>
      <c r="J446" s="161">
        <f t="shared" ref="J446:J447" si="93">ROUND(E446*I446,2)</f>
        <v>101688.21</v>
      </c>
      <c r="K446" s="159">
        <f t="shared" ref="K446:K447" si="94">ROUND(H446+J446,2)</f>
        <v>426907.26</v>
      </c>
      <c r="L446" s="162"/>
    </row>
    <row r="447" spans="1:12" ht="24">
      <c r="A447" s="200"/>
      <c r="B447" s="145" t="s">
        <v>221</v>
      </c>
      <c r="C447" s="61" t="s">
        <v>286</v>
      </c>
      <c r="D447" s="67"/>
      <c r="E447" s="159"/>
      <c r="F447" s="159" t="s">
        <v>183</v>
      </c>
      <c r="G447" s="183">
        <v>3200</v>
      </c>
      <c r="H447" s="161">
        <f t="shared" si="92"/>
        <v>0</v>
      </c>
      <c r="I447" s="160">
        <v>167</v>
      </c>
      <c r="J447" s="161">
        <f t="shared" si="93"/>
        <v>0</v>
      </c>
      <c r="K447" s="159">
        <f t="shared" si="94"/>
        <v>0</v>
      </c>
      <c r="L447" s="162"/>
    </row>
    <row r="448" spans="1:12" ht="24">
      <c r="A448" s="201"/>
      <c r="B448" s="145" t="s">
        <v>285</v>
      </c>
      <c r="C448" s="61" t="s">
        <v>287</v>
      </c>
      <c r="D448" s="67"/>
      <c r="E448" s="159">
        <v>468</v>
      </c>
      <c r="F448" s="159"/>
      <c r="G448" s="160"/>
      <c r="H448" s="161"/>
      <c r="I448" s="160"/>
      <c r="J448" s="161"/>
      <c r="K448" s="159"/>
      <c r="L448" s="162"/>
    </row>
    <row r="449" spans="1:12" ht="24">
      <c r="A449" s="200"/>
      <c r="B449" s="60" t="s">
        <v>134</v>
      </c>
      <c r="C449" s="61" t="s">
        <v>233</v>
      </c>
      <c r="D449" s="61"/>
      <c r="E449" s="213"/>
      <c r="F449" s="159" t="s">
        <v>183</v>
      </c>
      <c r="G449" s="160">
        <v>320</v>
      </c>
      <c r="H449" s="161">
        <f t="shared" ref="H449" si="95">ROUND(E449*G449,2)</f>
        <v>0</v>
      </c>
      <c r="I449" s="160">
        <v>35</v>
      </c>
      <c r="J449" s="161">
        <f t="shared" ref="J449" si="96">ROUND(E449*I449,2)</f>
        <v>0</v>
      </c>
      <c r="K449" s="159">
        <f t="shared" ref="K449" si="97">H449+J449</f>
        <v>0</v>
      </c>
      <c r="L449" s="162"/>
    </row>
    <row r="450" spans="1:12" ht="24">
      <c r="A450" s="201"/>
      <c r="B450" s="211" t="s">
        <v>134</v>
      </c>
      <c r="C450" s="212" t="s">
        <v>253</v>
      </c>
      <c r="D450" s="42"/>
      <c r="E450" s="213"/>
      <c r="F450" s="208"/>
      <c r="G450" s="209"/>
      <c r="H450" s="161"/>
      <c r="I450" s="209"/>
      <c r="J450" s="161"/>
      <c r="K450" s="159"/>
      <c r="L450" s="210"/>
    </row>
    <row r="451" spans="1:12" ht="24">
      <c r="A451" s="201"/>
      <c r="B451" s="211"/>
      <c r="C451" s="212"/>
      <c r="D451" s="42"/>
      <c r="E451" s="213"/>
      <c r="F451" s="208"/>
      <c r="G451" s="209"/>
      <c r="H451" s="161"/>
      <c r="I451" s="209"/>
      <c r="J451" s="161"/>
      <c r="K451" s="159"/>
      <c r="L451" s="210"/>
    </row>
    <row r="452" spans="1:12" ht="24">
      <c r="A452" s="201"/>
      <c r="B452" s="211"/>
      <c r="C452" s="212"/>
      <c r="D452" s="42"/>
      <c r="E452" s="213"/>
      <c r="F452" s="208"/>
      <c r="G452" s="209"/>
      <c r="H452" s="161"/>
      <c r="I452" s="209"/>
      <c r="J452" s="161"/>
      <c r="K452" s="159"/>
      <c r="L452" s="210"/>
    </row>
    <row r="453" spans="1:12" ht="24">
      <c r="A453" s="201"/>
      <c r="B453" s="211"/>
      <c r="C453" s="212"/>
      <c r="D453" s="42"/>
      <c r="E453" s="213"/>
      <c r="F453" s="208"/>
      <c r="G453" s="209"/>
      <c r="H453" s="161"/>
      <c r="I453" s="209"/>
      <c r="J453" s="161"/>
      <c r="K453" s="159"/>
      <c r="L453" s="210"/>
    </row>
    <row r="454" spans="1:12" ht="24.75" thickBot="1">
      <c r="A454" s="201"/>
      <c r="B454" s="60"/>
      <c r="C454" s="61"/>
      <c r="D454" s="61"/>
      <c r="E454" s="214"/>
      <c r="F454" s="159"/>
      <c r="G454" s="160"/>
      <c r="H454" s="161"/>
      <c r="I454" s="160"/>
      <c r="J454" s="161"/>
      <c r="K454" s="159"/>
      <c r="L454" s="162"/>
    </row>
    <row r="455" spans="1:12" ht="24.75" thickTop="1">
      <c r="A455" s="149"/>
      <c r="B455" s="1981" t="s">
        <v>69</v>
      </c>
      <c r="C455" s="1982"/>
      <c r="D455" s="1983"/>
      <c r="E455" s="164"/>
      <c r="F455" s="164"/>
      <c r="G455" s="165"/>
      <c r="H455" s="166"/>
      <c r="I455" s="165"/>
      <c r="J455" s="166"/>
      <c r="K455" s="164">
        <f>SUM(K435:K454)</f>
        <v>547220.78</v>
      </c>
      <c r="L455" s="167"/>
    </row>
    <row r="456" spans="1:12" ht="24">
      <c r="A456" s="199" t="s">
        <v>196</v>
      </c>
      <c r="B456" s="146" t="s">
        <v>109</v>
      </c>
      <c r="C456" s="142"/>
      <c r="D456" s="143"/>
      <c r="E456" s="155"/>
      <c r="F456" s="155"/>
      <c r="G456" s="156"/>
      <c r="H456" s="157"/>
      <c r="I456" s="156"/>
      <c r="J456" s="157"/>
      <c r="K456" s="158"/>
      <c r="L456" s="158"/>
    </row>
    <row r="457" spans="1:12" ht="24">
      <c r="A457" s="205"/>
      <c r="B457" s="144" t="s">
        <v>117</v>
      </c>
      <c r="C457" s="61" t="s">
        <v>125</v>
      </c>
      <c r="D457" s="55"/>
      <c r="E457" s="159">
        <v>0</v>
      </c>
      <c r="F457" s="159" t="s">
        <v>183</v>
      </c>
      <c r="G457" s="160">
        <v>0</v>
      </c>
      <c r="H457" s="161">
        <f>ROUND(E457*G457,2)</f>
        <v>0</v>
      </c>
      <c r="I457" s="160">
        <v>0</v>
      </c>
      <c r="J457" s="161">
        <f>ROUND(E457*I457,2)</f>
        <v>0</v>
      </c>
      <c r="K457" s="159">
        <f>ROUND(H457+J457,2)</f>
        <v>0</v>
      </c>
      <c r="L457" s="162"/>
    </row>
    <row r="458" spans="1:12" ht="24">
      <c r="A458" s="200"/>
      <c r="B458" s="145" t="s">
        <v>128</v>
      </c>
      <c r="C458" s="61" t="s">
        <v>135</v>
      </c>
      <c r="D458" s="62"/>
      <c r="E458" s="158">
        <v>433.44299999999998</v>
      </c>
      <c r="F458" s="158" t="s">
        <v>183</v>
      </c>
      <c r="G458" s="156">
        <v>0</v>
      </c>
      <c r="H458" s="161">
        <f>ROUND(E458*G458,2)</f>
        <v>0</v>
      </c>
      <c r="I458" s="156">
        <v>0</v>
      </c>
      <c r="J458" s="161">
        <f>ROUND(E458*I458,2)</f>
        <v>0</v>
      </c>
      <c r="K458" s="159">
        <f>ROUND(H458+J458,2)</f>
        <v>0</v>
      </c>
      <c r="L458" s="163"/>
    </row>
    <row r="459" spans="1:12" ht="24">
      <c r="A459" s="200"/>
      <c r="B459" s="145" t="s">
        <v>129</v>
      </c>
      <c r="C459" s="61" t="s">
        <v>222</v>
      </c>
      <c r="D459" s="62"/>
      <c r="E459" s="158">
        <f>((3.25+2.22+1.2+1.92+5.86+6.8+0.75+3.16+1.52+2.2+0.6+0.6)*(4.2))+31.59</f>
        <v>157.92600000000002</v>
      </c>
      <c r="F459" s="158" t="s">
        <v>183</v>
      </c>
      <c r="G459" s="156">
        <v>156</v>
      </c>
      <c r="H459" s="161">
        <f>ROUND(E459*G459,2)</f>
        <v>24636.46</v>
      </c>
      <c r="I459" s="156">
        <v>89</v>
      </c>
      <c r="J459" s="161">
        <f>ROUND(E459*I459,2)</f>
        <v>14055.41</v>
      </c>
      <c r="K459" s="159">
        <f>ROUND(H459+J459,2)</f>
        <v>38691.870000000003</v>
      </c>
      <c r="L459" s="163"/>
    </row>
    <row r="460" spans="1:12" ht="24">
      <c r="A460" s="200"/>
      <c r="B460" s="145" t="s">
        <v>130</v>
      </c>
      <c r="C460" s="61" t="s">
        <v>223</v>
      </c>
      <c r="D460" s="67"/>
      <c r="E460" s="159">
        <f>(8.6+6.68)*5.9</f>
        <v>90.152000000000001</v>
      </c>
      <c r="F460" s="159" t="s">
        <v>183</v>
      </c>
      <c r="G460" s="160">
        <v>324</v>
      </c>
      <c r="H460" s="161">
        <f>ROUND(E460*G460,2)</f>
        <v>29209.25</v>
      </c>
      <c r="I460" s="156">
        <v>144</v>
      </c>
      <c r="J460" s="161">
        <f>ROUND(E460*I460,2)</f>
        <v>12981.89</v>
      </c>
      <c r="K460" s="159">
        <f>ROUND(H460+J460,2)</f>
        <v>42191.14</v>
      </c>
      <c r="L460" s="162"/>
    </row>
    <row r="461" spans="1:12" ht="24">
      <c r="A461" s="200"/>
      <c r="B461" s="145" t="s">
        <v>224</v>
      </c>
      <c r="C461" s="61" t="s">
        <v>225</v>
      </c>
      <c r="D461" s="67"/>
      <c r="E461" s="159">
        <f>(2.7+5.3+2.7+3+3.8+3.9+0.72+3.9+7.4+0.7+7.7+0.75+0.2+27+8+0.2+0.75+4.73+5.5)*4.2</f>
        <v>373.59000000000009</v>
      </c>
      <c r="F461" s="159" t="s">
        <v>183</v>
      </c>
      <c r="G461" s="160">
        <v>798</v>
      </c>
      <c r="H461" s="161">
        <f t="shared" ref="H461" si="98">ROUND(E461*G461,2)</f>
        <v>298124.82</v>
      </c>
      <c r="I461" s="156">
        <v>130</v>
      </c>
      <c r="J461" s="161">
        <f t="shared" ref="J461" si="99">ROUND(E461*I461,2)</f>
        <v>48566.7</v>
      </c>
      <c r="K461" s="159">
        <f t="shared" ref="K461" si="100">ROUND(H461+J461,2)</f>
        <v>346691.52</v>
      </c>
      <c r="L461" s="162"/>
    </row>
    <row r="462" spans="1:12" ht="24">
      <c r="A462" s="200"/>
      <c r="B462" s="145"/>
      <c r="C462" s="61" t="s">
        <v>226</v>
      </c>
      <c r="D462" s="67"/>
      <c r="E462" s="159"/>
      <c r="F462" s="159"/>
      <c r="G462" s="160"/>
      <c r="H462" s="161"/>
      <c r="I462" s="156"/>
      <c r="J462" s="161"/>
      <c r="K462" s="159"/>
      <c r="L462" s="162"/>
    </row>
    <row r="463" spans="1:12" ht="24">
      <c r="A463" s="200"/>
      <c r="B463" s="145" t="s">
        <v>131</v>
      </c>
      <c r="C463" s="61" t="s">
        <v>228</v>
      </c>
      <c r="D463" s="67"/>
      <c r="E463" s="159">
        <f>((5.1+3+1.52+0.6+1.7+5+2.23+5+5.3+3.72+24+4.4)*(4.2))+(395.3)+(169.62)+(395.3)+(169.62)</f>
        <v>1388.4340000000002</v>
      </c>
      <c r="F463" s="159" t="s">
        <v>183</v>
      </c>
      <c r="G463" s="160">
        <v>225</v>
      </c>
      <c r="H463" s="161">
        <f t="shared" ref="H463:H465" si="101">ROUND(E463*G463,2)</f>
        <v>312397.65000000002</v>
      </c>
      <c r="I463" s="156">
        <v>55</v>
      </c>
      <c r="J463" s="161">
        <f t="shared" ref="J463:J465" si="102">ROUND(E463*I463,2)</f>
        <v>76363.87</v>
      </c>
      <c r="K463" s="159">
        <f t="shared" ref="K463:K465" si="103">ROUND(H463+J463,2)</f>
        <v>388761.52</v>
      </c>
      <c r="L463" s="162"/>
    </row>
    <row r="464" spans="1:12" ht="24">
      <c r="A464" s="200"/>
      <c r="B464" s="145" t="s">
        <v>132</v>
      </c>
      <c r="C464" s="61" t="s">
        <v>229</v>
      </c>
      <c r="D464" s="67"/>
      <c r="E464" s="159">
        <f>(3+3.8+3.9)*4.2</f>
        <v>44.94</v>
      </c>
      <c r="F464" s="159" t="s">
        <v>183</v>
      </c>
      <c r="G464" s="160">
        <v>375</v>
      </c>
      <c r="H464" s="161">
        <f t="shared" si="101"/>
        <v>16852.5</v>
      </c>
      <c r="I464" s="156">
        <v>55</v>
      </c>
      <c r="J464" s="161">
        <f t="shared" si="102"/>
        <v>2471.6999999999998</v>
      </c>
      <c r="K464" s="159">
        <f t="shared" si="103"/>
        <v>19324.2</v>
      </c>
      <c r="L464" s="162"/>
    </row>
    <row r="465" spans="1:12" ht="24">
      <c r="A465" s="200"/>
      <c r="B465" s="145" t="s">
        <v>133</v>
      </c>
      <c r="C465" s="61" t="s">
        <v>227</v>
      </c>
      <c r="D465" s="67"/>
      <c r="E465" s="159"/>
      <c r="F465" s="159" t="s">
        <v>183</v>
      </c>
      <c r="G465" s="160">
        <v>2000</v>
      </c>
      <c r="H465" s="161">
        <f t="shared" si="101"/>
        <v>0</v>
      </c>
      <c r="I465" s="156">
        <v>200</v>
      </c>
      <c r="J465" s="161">
        <f t="shared" si="102"/>
        <v>0</v>
      </c>
      <c r="K465" s="159">
        <f t="shared" si="103"/>
        <v>0</v>
      </c>
      <c r="L465" s="162"/>
    </row>
    <row r="466" spans="1:12" ht="24">
      <c r="A466" s="200"/>
      <c r="B466" s="145" t="s">
        <v>134</v>
      </c>
      <c r="C466" s="61" t="s">
        <v>136</v>
      </c>
      <c r="D466" s="67"/>
      <c r="E466" s="159"/>
      <c r="F466" s="159"/>
      <c r="G466" s="160"/>
      <c r="H466" s="161"/>
      <c r="I466" s="160"/>
      <c r="J466" s="161"/>
      <c r="K466" s="159"/>
      <c r="L466" s="162"/>
    </row>
    <row r="467" spans="1:12" ht="24">
      <c r="A467" s="200"/>
      <c r="B467" s="60"/>
      <c r="C467" s="61" t="s">
        <v>137</v>
      </c>
      <c r="D467" s="67"/>
      <c r="E467" s="159"/>
      <c r="F467" s="159" t="s">
        <v>184</v>
      </c>
      <c r="G467" s="160">
        <v>70</v>
      </c>
      <c r="H467" s="161">
        <f t="shared" ref="H467:H469" si="104">ROUND(E467*G467,2)</f>
        <v>0</v>
      </c>
      <c r="I467" s="156">
        <v>35</v>
      </c>
      <c r="J467" s="161">
        <f t="shared" ref="J467:J469" si="105">ROUND(E467*I467,2)</f>
        <v>0</v>
      </c>
      <c r="K467" s="159">
        <f t="shared" ref="K467:K469" si="106">ROUND(H467+J467,2)</f>
        <v>0</v>
      </c>
      <c r="L467" s="162"/>
    </row>
    <row r="468" spans="1:12" ht="24">
      <c r="A468" s="200"/>
      <c r="B468" s="60"/>
      <c r="C468" s="61" t="s">
        <v>230</v>
      </c>
      <c r="D468" s="67"/>
      <c r="E468" s="159"/>
      <c r="F468" s="159" t="s">
        <v>184</v>
      </c>
      <c r="G468" s="160">
        <v>90</v>
      </c>
      <c r="H468" s="161">
        <f t="shared" si="104"/>
        <v>0</v>
      </c>
      <c r="I468" s="156">
        <v>40</v>
      </c>
      <c r="J468" s="161">
        <f t="shared" si="105"/>
        <v>0</v>
      </c>
      <c r="K468" s="159">
        <f t="shared" si="106"/>
        <v>0</v>
      </c>
      <c r="L468" s="162"/>
    </row>
    <row r="469" spans="1:12" ht="24">
      <c r="A469" s="200"/>
      <c r="B469" s="60"/>
      <c r="C469" s="61" t="s">
        <v>138</v>
      </c>
      <c r="D469" s="67"/>
      <c r="E469" s="159"/>
      <c r="F469" s="159" t="s">
        <v>184</v>
      </c>
      <c r="G469" s="160">
        <v>115</v>
      </c>
      <c r="H469" s="161">
        <f t="shared" si="104"/>
        <v>0</v>
      </c>
      <c r="I469" s="156">
        <v>40</v>
      </c>
      <c r="J469" s="161">
        <f t="shared" si="105"/>
        <v>0</v>
      </c>
      <c r="K469" s="159">
        <f t="shared" si="106"/>
        <v>0</v>
      </c>
      <c r="L469" s="162"/>
    </row>
    <row r="470" spans="1:12" ht="24">
      <c r="A470" s="201"/>
      <c r="B470" s="60"/>
      <c r="C470" s="61"/>
      <c r="D470" s="67"/>
      <c r="E470" s="159"/>
      <c r="F470" s="159"/>
      <c r="G470" s="160"/>
      <c r="H470" s="161"/>
      <c r="I470" s="160"/>
      <c r="J470" s="161"/>
      <c r="K470" s="159"/>
      <c r="L470" s="162"/>
    </row>
    <row r="471" spans="1:12" ht="24">
      <c r="A471" s="201"/>
      <c r="B471" s="60"/>
      <c r="C471" s="61"/>
      <c r="D471" s="67"/>
      <c r="E471" s="159"/>
      <c r="F471" s="159"/>
      <c r="G471" s="160"/>
      <c r="H471" s="161"/>
      <c r="I471" s="160"/>
      <c r="J471" s="161"/>
      <c r="K471" s="159"/>
      <c r="L471" s="162"/>
    </row>
    <row r="472" spans="1:12" ht="24">
      <c r="A472" s="201"/>
      <c r="B472" s="60"/>
      <c r="C472" s="61"/>
      <c r="D472" s="67"/>
      <c r="E472" s="159"/>
      <c r="F472" s="159"/>
      <c r="G472" s="160"/>
      <c r="H472" s="161"/>
      <c r="I472" s="160"/>
      <c r="J472" s="161"/>
      <c r="K472" s="159"/>
      <c r="L472" s="162"/>
    </row>
    <row r="473" spans="1:12" ht="24">
      <c r="A473" s="201"/>
      <c r="B473" s="60"/>
      <c r="C473" s="61"/>
      <c r="D473" s="67"/>
      <c r="E473" s="159"/>
      <c r="F473" s="159"/>
      <c r="G473" s="160"/>
      <c r="H473" s="161"/>
      <c r="I473" s="160"/>
      <c r="J473" s="161"/>
      <c r="K473" s="159"/>
      <c r="L473" s="162"/>
    </row>
    <row r="474" spans="1:12" ht="24">
      <c r="A474" s="201"/>
      <c r="B474" s="60"/>
      <c r="C474" s="61"/>
      <c r="D474" s="67"/>
      <c r="E474" s="159"/>
      <c r="F474" s="159"/>
      <c r="G474" s="160"/>
      <c r="H474" s="161"/>
      <c r="I474" s="160"/>
      <c r="J474" s="161"/>
      <c r="K474" s="159"/>
      <c r="L474" s="162"/>
    </row>
    <row r="475" spans="1:12" ht="24">
      <c r="A475" s="201"/>
      <c r="B475" s="60"/>
      <c r="C475" s="61"/>
      <c r="D475" s="67"/>
      <c r="E475" s="159"/>
      <c r="F475" s="159"/>
      <c r="G475" s="160"/>
      <c r="H475" s="161"/>
      <c r="I475" s="160"/>
      <c r="J475" s="161"/>
      <c r="K475" s="159"/>
      <c r="L475" s="162"/>
    </row>
    <row r="476" spans="1:12" ht="24.75" thickBot="1">
      <c r="A476" s="201"/>
      <c r="B476" s="60"/>
      <c r="C476" s="61"/>
      <c r="D476" s="67"/>
      <c r="E476" s="159"/>
      <c r="F476" s="159"/>
      <c r="G476" s="160"/>
      <c r="H476" s="161"/>
      <c r="I476" s="160"/>
      <c r="J476" s="161"/>
      <c r="K476" s="159"/>
      <c r="L476" s="162"/>
    </row>
    <row r="477" spans="1:12" ht="24.75" thickTop="1">
      <c r="A477" s="149"/>
      <c r="B477" s="1981" t="s">
        <v>69</v>
      </c>
      <c r="C477" s="1982"/>
      <c r="D477" s="1983"/>
      <c r="E477" s="164"/>
      <c r="F477" s="164"/>
      <c r="G477" s="165"/>
      <c r="H477" s="166"/>
      <c r="I477" s="165"/>
      <c r="J477" s="166"/>
      <c r="K477" s="164">
        <f>SUM(K457:K476)</f>
        <v>835660.25</v>
      </c>
      <c r="L477" s="167"/>
    </row>
    <row r="478" spans="1:12" ht="24">
      <c r="A478" s="206" t="s">
        <v>197</v>
      </c>
      <c r="B478" s="146" t="s">
        <v>110</v>
      </c>
      <c r="C478" s="142"/>
      <c r="D478" s="143"/>
      <c r="E478" s="155"/>
      <c r="F478" s="155"/>
      <c r="G478" s="156"/>
      <c r="H478" s="157"/>
      <c r="I478" s="156"/>
      <c r="J478" s="157"/>
      <c r="K478" s="158"/>
      <c r="L478" s="158"/>
    </row>
    <row r="479" spans="1:12" ht="24">
      <c r="A479" s="205"/>
      <c r="B479" s="144" t="s">
        <v>117</v>
      </c>
      <c r="C479" s="61" t="s">
        <v>125</v>
      </c>
      <c r="D479" s="55"/>
      <c r="E479" s="159">
        <v>0</v>
      </c>
      <c r="F479" s="159" t="s">
        <v>183</v>
      </c>
      <c r="G479" s="160">
        <v>0</v>
      </c>
      <c r="H479" s="161">
        <f t="shared" ref="H479:H486" si="107">ROUND(E479*G479,2)</f>
        <v>0</v>
      </c>
      <c r="I479" s="156">
        <v>0</v>
      </c>
      <c r="J479" s="161">
        <f t="shared" ref="J479:J486" si="108">ROUND(E479*I479,2)</f>
        <v>0</v>
      </c>
      <c r="K479" s="159">
        <f t="shared" ref="K479:K486" si="109">ROUND(H479+J479,2)</f>
        <v>0</v>
      </c>
      <c r="L479" s="162"/>
    </row>
    <row r="480" spans="1:12" ht="24">
      <c r="A480" s="200"/>
      <c r="B480" s="145" t="s">
        <v>139</v>
      </c>
      <c r="C480" s="61" t="s">
        <v>140</v>
      </c>
      <c r="D480" s="62"/>
      <c r="E480" s="158">
        <v>0</v>
      </c>
      <c r="F480" s="158" t="s">
        <v>183</v>
      </c>
      <c r="G480" s="156">
        <v>55</v>
      </c>
      <c r="H480" s="161">
        <f t="shared" si="107"/>
        <v>0</v>
      </c>
      <c r="I480" s="156">
        <v>30</v>
      </c>
      <c r="J480" s="161">
        <f t="shared" si="108"/>
        <v>0</v>
      </c>
      <c r="K480" s="159">
        <f t="shared" si="109"/>
        <v>0</v>
      </c>
      <c r="L480" s="191"/>
    </row>
    <row r="481" spans="1:12" ht="24">
      <c r="A481" s="200"/>
      <c r="B481" s="145" t="s">
        <v>141</v>
      </c>
      <c r="C481" s="61" t="s">
        <v>142</v>
      </c>
      <c r="D481" s="62"/>
      <c r="E481" s="158">
        <f>(12.4+21.4+10.2+24+16+20.8+96+26.8+36.8+42+12.9+17.2+12.7+46.2+13.2+87)*4.2+(161.28)</f>
        <v>2242.8000000000002</v>
      </c>
      <c r="F481" s="158" t="s">
        <v>183</v>
      </c>
      <c r="G481" s="156">
        <v>50</v>
      </c>
      <c r="H481" s="161">
        <f t="shared" si="107"/>
        <v>112140</v>
      </c>
      <c r="I481" s="156">
        <v>30</v>
      </c>
      <c r="J481" s="161">
        <f t="shared" si="108"/>
        <v>67284</v>
      </c>
      <c r="K481" s="159">
        <f t="shared" si="109"/>
        <v>179424</v>
      </c>
      <c r="L481" s="163"/>
    </row>
    <row r="482" spans="1:12" ht="24">
      <c r="A482" s="200"/>
      <c r="B482" s="145" t="s">
        <v>143</v>
      </c>
      <c r="C482" s="224" t="s">
        <v>332</v>
      </c>
      <c r="D482" s="67"/>
      <c r="E482" s="159">
        <v>167.58</v>
      </c>
      <c r="F482" s="159" t="s">
        <v>183</v>
      </c>
      <c r="G482" s="160">
        <v>430</v>
      </c>
      <c r="H482" s="161">
        <f t="shared" si="107"/>
        <v>72059.399999999994</v>
      </c>
      <c r="I482" s="156">
        <v>138</v>
      </c>
      <c r="J482" s="161">
        <f t="shared" si="108"/>
        <v>23126.04</v>
      </c>
      <c r="K482" s="159">
        <f t="shared" si="109"/>
        <v>95185.44</v>
      </c>
      <c r="L482" s="162"/>
    </row>
    <row r="483" spans="1:12" ht="24">
      <c r="A483" s="200"/>
      <c r="B483" s="145" t="s">
        <v>143</v>
      </c>
      <c r="C483" s="224" t="s">
        <v>334</v>
      </c>
      <c r="D483" s="67"/>
      <c r="E483" s="159">
        <f>50.82+1.44</f>
        <v>52.26</v>
      </c>
      <c r="F483" s="159" t="s">
        <v>183</v>
      </c>
      <c r="G483" s="160"/>
      <c r="H483" s="161"/>
      <c r="I483" s="156"/>
      <c r="J483" s="161"/>
      <c r="K483" s="159"/>
      <c r="L483" s="162"/>
    </row>
    <row r="484" spans="1:12" ht="24">
      <c r="A484" s="200"/>
      <c r="B484" s="60" t="s">
        <v>134</v>
      </c>
      <c r="C484" s="61" t="s">
        <v>231</v>
      </c>
      <c r="D484" s="67"/>
      <c r="E484" s="159"/>
      <c r="F484" s="159" t="s">
        <v>183</v>
      </c>
      <c r="G484" s="160">
        <v>58</v>
      </c>
      <c r="H484" s="161">
        <f t="shared" si="107"/>
        <v>0</v>
      </c>
      <c r="I484" s="156">
        <v>82</v>
      </c>
      <c r="J484" s="161">
        <f t="shared" si="108"/>
        <v>0</v>
      </c>
      <c r="K484" s="159">
        <f t="shared" si="109"/>
        <v>0</v>
      </c>
      <c r="L484" s="162"/>
    </row>
    <row r="485" spans="1:12" ht="24">
      <c r="A485" s="200"/>
      <c r="B485" s="60" t="s">
        <v>134</v>
      </c>
      <c r="C485" s="61" t="s">
        <v>232</v>
      </c>
      <c r="D485" s="67"/>
      <c r="E485" s="159"/>
      <c r="F485" s="159" t="s">
        <v>183</v>
      </c>
      <c r="G485" s="160">
        <v>58</v>
      </c>
      <c r="H485" s="161">
        <f t="shared" si="107"/>
        <v>0</v>
      </c>
      <c r="I485" s="156">
        <v>82</v>
      </c>
      <c r="J485" s="161">
        <f t="shared" si="108"/>
        <v>0</v>
      </c>
      <c r="K485" s="159">
        <f t="shared" si="109"/>
        <v>0</v>
      </c>
      <c r="L485" s="191"/>
    </row>
    <row r="486" spans="1:12" ht="24">
      <c r="A486" s="200"/>
      <c r="B486" s="60" t="s">
        <v>134</v>
      </c>
      <c r="C486" s="61" t="s">
        <v>144</v>
      </c>
      <c r="D486" s="67"/>
      <c r="E486" s="159"/>
      <c r="F486" s="159" t="s">
        <v>183</v>
      </c>
      <c r="G486" s="160">
        <v>63</v>
      </c>
      <c r="H486" s="161">
        <f t="shared" si="107"/>
        <v>0</v>
      </c>
      <c r="I486" s="156">
        <v>100</v>
      </c>
      <c r="J486" s="161">
        <f t="shared" si="108"/>
        <v>0</v>
      </c>
      <c r="K486" s="159">
        <f t="shared" si="109"/>
        <v>0</v>
      </c>
      <c r="L486" s="162"/>
    </row>
    <row r="487" spans="1:12" ht="24">
      <c r="A487" s="200"/>
      <c r="B487" s="60"/>
      <c r="C487" s="61"/>
      <c r="D487" s="67"/>
      <c r="E487" s="159"/>
      <c r="F487" s="159"/>
      <c r="G487" s="160"/>
      <c r="H487" s="161"/>
      <c r="I487" s="160"/>
      <c r="J487" s="161"/>
      <c r="K487" s="159"/>
      <c r="L487" s="162"/>
    </row>
    <row r="488" spans="1:12" ht="24">
      <c r="A488" s="200"/>
      <c r="B488" s="60"/>
      <c r="C488" s="61"/>
      <c r="D488" s="67"/>
      <c r="E488" s="159"/>
      <c r="F488" s="159"/>
      <c r="G488" s="160"/>
      <c r="H488" s="161"/>
      <c r="I488" s="160"/>
      <c r="J488" s="161"/>
      <c r="K488" s="159"/>
      <c r="L488" s="162"/>
    </row>
    <row r="489" spans="1:12" ht="24">
      <c r="A489" s="200"/>
      <c r="B489" s="60"/>
      <c r="C489" s="61"/>
      <c r="D489" s="67"/>
      <c r="E489" s="159"/>
      <c r="F489" s="159"/>
      <c r="G489" s="160"/>
      <c r="H489" s="161"/>
      <c r="I489" s="160"/>
      <c r="J489" s="161"/>
      <c r="K489" s="159"/>
      <c r="L489" s="162"/>
    </row>
    <row r="490" spans="1:12" ht="24">
      <c r="A490" s="200"/>
      <c r="B490" s="60"/>
      <c r="C490" s="61"/>
      <c r="D490" s="67"/>
      <c r="E490" s="159"/>
      <c r="F490" s="159"/>
      <c r="G490" s="160"/>
      <c r="H490" s="161"/>
      <c r="I490" s="160"/>
      <c r="J490" s="161"/>
      <c r="K490" s="159"/>
      <c r="L490" s="162"/>
    </row>
    <row r="491" spans="1:12" ht="24">
      <c r="A491" s="200"/>
      <c r="B491" s="60"/>
      <c r="C491" s="61"/>
      <c r="D491" s="67"/>
      <c r="E491" s="159"/>
      <c r="F491" s="159"/>
      <c r="G491" s="160"/>
      <c r="H491" s="161"/>
      <c r="I491" s="160"/>
      <c r="J491" s="161"/>
      <c r="K491" s="159"/>
      <c r="L491" s="162"/>
    </row>
    <row r="492" spans="1:12" ht="24">
      <c r="A492" s="200"/>
      <c r="B492" s="60"/>
      <c r="C492" s="61"/>
      <c r="D492" s="67"/>
      <c r="E492" s="159"/>
      <c r="F492" s="159"/>
      <c r="G492" s="160"/>
      <c r="H492" s="161"/>
      <c r="I492" s="160"/>
      <c r="J492" s="161"/>
      <c r="K492" s="159"/>
      <c r="L492" s="162"/>
    </row>
    <row r="493" spans="1:12" ht="24">
      <c r="A493" s="201"/>
      <c r="B493" s="60"/>
      <c r="C493" s="61"/>
      <c r="D493" s="67"/>
      <c r="E493" s="159"/>
      <c r="F493" s="159"/>
      <c r="G493" s="160"/>
      <c r="H493" s="161"/>
      <c r="I493" s="160"/>
      <c r="J493" s="161"/>
      <c r="K493" s="159"/>
      <c r="L493" s="162"/>
    </row>
    <row r="494" spans="1:12" ht="24">
      <c r="A494" s="201"/>
      <c r="B494" s="60"/>
      <c r="C494" s="61"/>
      <c r="D494" s="67"/>
      <c r="E494" s="159"/>
      <c r="F494" s="159"/>
      <c r="G494" s="160"/>
      <c r="H494" s="161"/>
      <c r="I494" s="160"/>
      <c r="J494" s="161"/>
      <c r="K494" s="159"/>
      <c r="L494" s="162"/>
    </row>
    <row r="495" spans="1:12" ht="24">
      <c r="A495" s="201"/>
      <c r="B495" s="60"/>
      <c r="C495" s="61"/>
      <c r="D495" s="67"/>
      <c r="E495" s="159"/>
      <c r="F495" s="159"/>
      <c r="G495" s="160"/>
      <c r="H495" s="161"/>
      <c r="I495" s="160"/>
      <c r="J495" s="161"/>
      <c r="K495" s="159"/>
      <c r="L495" s="162"/>
    </row>
    <row r="496" spans="1:12" ht="24">
      <c r="A496" s="201"/>
      <c r="B496" s="60"/>
      <c r="C496" s="61"/>
      <c r="D496" s="67"/>
      <c r="E496" s="159"/>
      <c r="F496" s="159"/>
      <c r="G496" s="160"/>
      <c r="H496" s="161"/>
      <c r="I496" s="160"/>
      <c r="J496" s="161"/>
      <c r="K496" s="159"/>
      <c r="L496" s="162"/>
    </row>
    <row r="497" spans="1:12" ht="24">
      <c r="A497" s="201"/>
      <c r="B497" s="60"/>
      <c r="C497" s="61"/>
      <c r="D497" s="67"/>
      <c r="E497" s="159"/>
      <c r="F497" s="159"/>
      <c r="G497" s="160"/>
      <c r="H497" s="161"/>
      <c r="I497" s="160"/>
      <c r="J497" s="161"/>
      <c r="K497" s="159"/>
      <c r="L497" s="162"/>
    </row>
    <row r="498" spans="1:12" ht="24.75" thickBot="1">
      <c r="A498" s="201"/>
      <c r="B498" s="60"/>
      <c r="C498" s="61"/>
      <c r="D498" s="67"/>
      <c r="E498" s="159"/>
      <c r="F498" s="159"/>
      <c r="G498" s="160"/>
      <c r="H498" s="161"/>
      <c r="I498" s="160"/>
      <c r="J498" s="161"/>
      <c r="K498" s="159"/>
      <c r="L498" s="162"/>
    </row>
    <row r="499" spans="1:12" ht="24.75" thickTop="1">
      <c r="A499" s="149"/>
      <c r="B499" s="1981" t="s">
        <v>69</v>
      </c>
      <c r="C499" s="1982"/>
      <c r="D499" s="1983"/>
      <c r="E499" s="164"/>
      <c r="F499" s="164"/>
      <c r="G499" s="165"/>
      <c r="H499" s="166"/>
      <c r="I499" s="165"/>
      <c r="J499" s="166"/>
      <c r="K499" s="164">
        <f>SUM(K479:K498)</f>
        <v>274609.44</v>
      </c>
      <c r="L499" s="167"/>
    </row>
    <row r="500" spans="1:12" ht="24">
      <c r="A500" s="206" t="s">
        <v>198</v>
      </c>
      <c r="B500" s="146" t="s">
        <v>111</v>
      </c>
      <c r="C500" s="142"/>
      <c r="D500" s="143"/>
      <c r="E500" s="155"/>
      <c r="F500" s="155"/>
      <c r="G500" s="156"/>
      <c r="H500" s="157"/>
      <c r="I500" s="156"/>
      <c r="J500" s="157"/>
      <c r="K500" s="158"/>
      <c r="L500" s="158"/>
    </row>
    <row r="501" spans="1:12" ht="24">
      <c r="A501" s="205"/>
      <c r="B501" s="145" t="s">
        <v>146</v>
      </c>
      <c r="C501" s="61" t="s">
        <v>147</v>
      </c>
      <c r="D501" s="62"/>
      <c r="E501" s="159"/>
      <c r="F501" s="159" t="s">
        <v>184</v>
      </c>
      <c r="G501" s="160">
        <v>0</v>
      </c>
      <c r="H501" s="161">
        <f t="shared" ref="H501:H505" si="110">ROUND(E501*G501,2)</f>
        <v>0</v>
      </c>
      <c r="I501" s="160">
        <v>0</v>
      </c>
      <c r="J501" s="161">
        <f t="shared" ref="J501:J505" si="111">ROUND(E501*I501,2)</f>
        <v>0</v>
      </c>
      <c r="K501" s="159">
        <f t="shared" ref="K501:K505" si="112">ROUND(H501+J501,2)</f>
        <v>0</v>
      </c>
      <c r="L501" s="162"/>
    </row>
    <row r="502" spans="1:12" ht="24">
      <c r="A502" s="200"/>
      <c r="B502" s="145" t="s">
        <v>148</v>
      </c>
      <c r="C502" s="61" t="s">
        <v>149</v>
      </c>
      <c r="D502" s="62"/>
      <c r="E502" s="158"/>
      <c r="F502" s="158" t="s">
        <v>184</v>
      </c>
      <c r="G502" s="156">
        <v>15</v>
      </c>
      <c r="H502" s="161">
        <f t="shared" si="110"/>
        <v>0</v>
      </c>
      <c r="I502" s="156">
        <v>18</v>
      </c>
      <c r="J502" s="161">
        <f t="shared" si="111"/>
        <v>0</v>
      </c>
      <c r="K502" s="159">
        <f t="shared" si="112"/>
        <v>0</v>
      </c>
      <c r="L502" s="163"/>
    </row>
    <row r="503" spans="1:12" ht="24">
      <c r="A503" s="200"/>
      <c r="B503" s="145" t="s">
        <v>150</v>
      </c>
      <c r="C503" s="61" t="s">
        <v>151</v>
      </c>
      <c r="D503" s="67"/>
      <c r="E503" s="158">
        <v>46.2</v>
      </c>
      <c r="F503" s="158" t="s">
        <v>184</v>
      </c>
      <c r="G503" s="156">
        <v>50</v>
      </c>
      <c r="H503" s="161">
        <f t="shared" si="110"/>
        <v>2310</v>
      </c>
      <c r="I503" s="156">
        <v>35</v>
      </c>
      <c r="J503" s="161">
        <f t="shared" si="111"/>
        <v>1617</v>
      </c>
      <c r="K503" s="159">
        <f t="shared" si="112"/>
        <v>3927</v>
      </c>
      <c r="L503" s="163"/>
    </row>
    <row r="504" spans="1:12" ht="24">
      <c r="A504" s="200"/>
      <c r="B504" s="145" t="s">
        <v>152</v>
      </c>
      <c r="C504" s="61" t="s">
        <v>266</v>
      </c>
      <c r="D504" s="67"/>
      <c r="E504" s="159"/>
      <c r="F504" s="159" t="s">
        <v>184</v>
      </c>
      <c r="G504" s="160">
        <v>230</v>
      </c>
      <c r="H504" s="161">
        <f t="shared" si="110"/>
        <v>0</v>
      </c>
      <c r="I504" s="156">
        <v>50</v>
      </c>
      <c r="J504" s="161">
        <f t="shared" si="111"/>
        <v>0</v>
      </c>
      <c r="K504" s="159">
        <f t="shared" si="112"/>
        <v>0</v>
      </c>
      <c r="L504" s="162"/>
    </row>
    <row r="505" spans="1:12" ht="24">
      <c r="A505" s="200"/>
      <c r="B505" s="145" t="s">
        <v>295</v>
      </c>
      <c r="C505" s="61" t="s">
        <v>296</v>
      </c>
      <c r="D505" s="67"/>
      <c r="E505" s="159">
        <f>12.7+13.2+42+36.8+26.8+96+10.2+21.4+12.4+24+16+20.8+17.2+12.9+87</f>
        <v>449.39999999999992</v>
      </c>
      <c r="F505" s="159" t="s">
        <v>184</v>
      </c>
      <c r="G505" s="160">
        <v>320</v>
      </c>
      <c r="H505" s="161">
        <f t="shared" si="110"/>
        <v>143808</v>
      </c>
      <c r="I505" s="156">
        <v>41</v>
      </c>
      <c r="J505" s="161">
        <f t="shared" si="111"/>
        <v>18425.400000000001</v>
      </c>
      <c r="K505" s="159">
        <f t="shared" si="112"/>
        <v>162233.4</v>
      </c>
      <c r="L505" s="162"/>
    </row>
    <row r="506" spans="1:12" ht="24">
      <c r="A506" s="200"/>
      <c r="B506" s="60"/>
      <c r="C506" s="61"/>
      <c r="D506" s="67"/>
      <c r="E506" s="159"/>
      <c r="F506" s="159"/>
      <c r="G506" s="160"/>
      <c r="H506" s="161"/>
      <c r="I506" s="160"/>
      <c r="J506" s="161"/>
      <c r="K506" s="159"/>
      <c r="L506" s="162"/>
    </row>
    <row r="507" spans="1:12" ht="24">
      <c r="A507" s="200"/>
      <c r="B507" s="60"/>
      <c r="C507" s="61"/>
      <c r="D507" s="67"/>
      <c r="E507" s="159"/>
      <c r="F507" s="159"/>
      <c r="G507" s="160"/>
      <c r="H507" s="161"/>
      <c r="I507" s="160"/>
      <c r="J507" s="161"/>
      <c r="K507" s="159"/>
      <c r="L507" s="162"/>
    </row>
    <row r="508" spans="1:12" ht="24">
      <c r="A508" s="200"/>
      <c r="B508" s="60"/>
      <c r="C508" s="61"/>
      <c r="D508" s="67"/>
      <c r="E508" s="159"/>
      <c r="F508" s="159"/>
      <c r="G508" s="160"/>
      <c r="H508" s="161"/>
      <c r="I508" s="160"/>
      <c r="J508" s="161"/>
      <c r="K508" s="159"/>
      <c r="L508" s="162"/>
    </row>
    <row r="509" spans="1:12" ht="24">
      <c r="A509" s="200"/>
      <c r="B509" s="60"/>
      <c r="C509" s="61"/>
      <c r="D509" s="67"/>
      <c r="E509" s="159"/>
      <c r="F509" s="159"/>
      <c r="G509" s="160"/>
      <c r="H509" s="161"/>
      <c r="I509" s="160"/>
      <c r="J509" s="161"/>
      <c r="K509" s="159"/>
      <c r="L509" s="162"/>
    </row>
    <row r="510" spans="1:12" ht="24">
      <c r="A510" s="200"/>
      <c r="B510" s="60"/>
      <c r="C510" s="61"/>
      <c r="D510" s="67"/>
      <c r="E510" s="159"/>
      <c r="F510" s="159"/>
      <c r="G510" s="160"/>
      <c r="H510" s="161"/>
      <c r="I510" s="160"/>
      <c r="J510" s="161"/>
      <c r="K510" s="159"/>
      <c r="L510" s="162"/>
    </row>
    <row r="511" spans="1:12" ht="24">
      <c r="A511" s="200"/>
      <c r="B511" s="60"/>
      <c r="C511" s="61"/>
      <c r="D511" s="67"/>
      <c r="E511" s="159"/>
      <c r="F511" s="159"/>
      <c r="G511" s="160"/>
      <c r="H511" s="161"/>
      <c r="I511" s="160"/>
      <c r="J511" s="161"/>
      <c r="K511" s="159"/>
      <c r="L511" s="162"/>
    </row>
    <row r="512" spans="1:12" ht="24">
      <c r="A512" s="200"/>
      <c r="B512" s="60"/>
      <c r="C512" s="61"/>
      <c r="D512" s="67"/>
      <c r="E512" s="159"/>
      <c r="F512" s="159"/>
      <c r="G512" s="160"/>
      <c r="H512" s="161"/>
      <c r="I512" s="160"/>
      <c r="J512" s="161"/>
      <c r="K512" s="159"/>
      <c r="L512" s="162"/>
    </row>
    <row r="513" spans="1:12" ht="24">
      <c r="A513" s="200"/>
      <c r="B513" s="60"/>
      <c r="C513" s="61"/>
      <c r="D513" s="67"/>
      <c r="E513" s="159"/>
      <c r="F513" s="159"/>
      <c r="G513" s="160"/>
      <c r="H513" s="161"/>
      <c r="I513" s="160"/>
      <c r="J513" s="161"/>
      <c r="K513" s="159"/>
      <c r="L513" s="162"/>
    </row>
    <row r="514" spans="1:12" ht="24">
      <c r="A514" s="200"/>
      <c r="B514" s="60"/>
      <c r="C514" s="61"/>
      <c r="D514" s="67"/>
      <c r="E514" s="159"/>
      <c r="F514" s="159"/>
      <c r="G514" s="160"/>
      <c r="H514" s="161"/>
      <c r="I514" s="160"/>
      <c r="J514" s="161"/>
      <c r="K514" s="159"/>
      <c r="L514" s="162"/>
    </row>
    <row r="515" spans="1:12" ht="24">
      <c r="A515" s="200"/>
      <c r="B515" s="60"/>
      <c r="C515" s="61"/>
      <c r="D515" s="67"/>
      <c r="E515" s="159"/>
      <c r="F515" s="159"/>
      <c r="G515" s="160"/>
      <c r="H515" s="161"/>
      <c r="I515" s="160"/>
      <c r="J515" s="161"/>
      <c r="K515" s="159"/>
      <c r="L515" s="162"/>
    </row>
    <row r="516" spans="1:12" ht="24">
      <c r="A516" s="201"/>
      <c r="B516" s="60"/>
      <c r="C516" s="61"/>
      <c r="D516" s="67"/>
      <c r="E516" s="159"/>
      <c r="F516" s="159"/>
      <c r="G516" s="160"/>
      <c r="H516" s="161"/>
      <c r="I516" s="160"/>
      <c r="J516" s="161"/>
      <c r="K516" s="159"/>
      <c r="L516" s="162"/>
    </row>
    <row r="517" spans="1:12" ht="24">
      <c r="A517" s="201"/>
      <c r="B517" s="60"/>
      <c r="C517" s="61"/>
      <c r="D517" s="67"/>
      <c r="E517" s="159"/>
      <c r="F517" s="159"/>
      <c r="G517" s="160"/>
      <c r="H517" s="161"/>
      <c r="I517" s="160"/>
      <c r="J517" s="161"/>
      <c r="K517" s="159"/>
      <c r="L517" s="162"/>
    </row>
    <row r="518" spans="1:12" ht="24">
      <c r="A518" s="201"/>
      <c r="B518" s="60"/>
      <c r="C518" s="61"/>
      <c r="D518" s="67"/>
      <c r="E518" s="159"/>
      <c r="F518" s="159"/>
      <c r="G518" s="160"/>
      <c r="H518" s="161"/>
      <c r="I518" s="160"/>
      <c r="J518" s="161"/>
      <c r="K518" s="159"/>
      <c r="L518" s="162"/>
    </row>
    <row r="519" spans="1:12" ht="24">
      <c r="A519" s="201"/>
      <c r="B519" s="60"/>
      <c r="C519" s="61"/>
      <c r="D519" s="67"/>
      <c r="E519" s="159"/>
      <c r="F519" s="159"/>
      <c r="G519" s="160"/>
      <c r="H519" s="161"/>
      <c r="I519" s="160"/>
      <c r="J519" s="161"/>
      <c r="K519" s="159"/>
      <c r="L519" s="162"/>
    </row>
    <row r="520" spans="1:12" ht="24.75" thickBot="1">
      <c r="A520" s="201"/>
      <c r="B520" s="60"/>
      <c r="C520" s="61"/>
      <c r="D520" s="67"/>
      <c r="E520" s="159"/>
      <c r="F520" s="159"/>
      <c r="G520" s="160"/>
      <c r="H520" s="161"/>
      <c r="I520" s="160"/>
      <c r="J520" s="161"/>
      <c r="K520" s="159"/>
      <c r="L520" s="162"/>
    </row>
    <row r="521" spans="1:12" ht="24.75" thickTop="1">
      <c r="A521" s="149"/>
      <c r="B521" s="1981" t="s">
        <v>69</v>
      </c>
      <c r="C521" s="1982"/>
      <c r="D521" s="1983"/>
      <c r="E521" s="164"/>
      <c r="F521" s="164"/>
      <c r="G521" s="165"/>
      <c r="H521" s="166"/>
      <c r="I521" s="165"/>
      <c r="J521" s="166"/>
      <c r="K521" s="164"/>
      <c r="L521" s="167"/>
    </row>
    <row r="522" spans="1:12" ht="24">
      <c r="A522" s="206" t="s">
        <v>199</v>
      </c>
      <c r="B522" s="146" t="s">
        <v>112</v>
      </c>
      <c r="C522" s="142"/>
      <c r="D522" s="143"/>
      <c r="E522" s="155"/>
      <c r="F522" s="155"/>
      <c r="G522" s="156"/>
      <c r="H522" s="157"/>
      <c r="I522" s="156"/>
      <c r="J522" s="157"/>
      <c r="K522" s="158"/>
      <c r="L522" s="158"/>
    </row>
    <row r="523" spans="1:12" ht="24">
      <c r="A523" s="205"/>
      <c r="B523" s="144" t="s">
        <v>117</v>
      </c>
      <c r="C523" s="61" t="s">
        <v>145</v>
      </c>
      <c r="D523" s="55"/>
      <c r="E523" s="159">
        <v>0</v>
      </c>
      <c r="F523" s="159" t="s">
        <v>183</v>
      </c>
      <c r="G523" s="160">
        <v>0</v>
      </c>
      <c r="H523" s="161">
        <f t="shared" ref="H523:H525" si="113">ROUND(E523*G523,2)</f>
        <v>0</v>
      </c>
      <c r="I523" s="160">
        <v>0</v>
      </c>
      <c r="J523" s="161">
        <f t="shared" ref="J523:J525" si="114">ROUND(E523*I523,2)</f>
        <v>0</v>
      </c>
      <c r="K523" s="159">
        <f t="shared" ref="K523:K525" si="115">ROUND(H523+J523,2)</f>
        <v>0</v>
      </c>
      <c r="L523" s="162"/>
    </row>
    <row r="524" spans="1:12" ht="24">
      <c r="A524" s="200"/>
      <c r="B524" s="145" t="s">
        <v>153</v>
      </c>
      <c r="C524" s="61" t="s">
        <v>154</v>
      </c>
      <c r="D524" s="62"/>
      <c r="E524" s="158">
        <f>10.8+9.45+468</f>
        <v>488.25</v>
      </c>
      <c r="F524" s="158" t="s">
        <v>183</v>
      </c>
      <c r="G524" s="156">
        <v>30</v>
      </c>
      <c r="H524" s="161">
        <f t="shared" si="113"/>
        <v>14647.5</v>
      </c>
      <c r="I524" s="160">
        <v>35</v>
      </c>
      <c r="J524" s="161">
        <f t="shared" si="114"/>
        <v>17088.75</v>
      </c>
      <c r="K524" s="159">
        <f t="shared" si="115"/>
        <v>31736.25</v>
      </c>
      <c r="L524" s="163"/>
    </row>
    <row r="525" spans="1:12" ht="24">
      <c r="A525" s="200"/>
      <c r="B525" s="145" t="s">
        <v>155</v>
      </c>
      <c r="C525" s="61" t="s">
        <v>156</v>
      </c>
      <c r="D525" s="62"/>
      <c r="E525" s="158">
        <f>65.42+66.52+570.34+6.48+21.6+32+15.96+19.86+18.13+9.88</f>
        <v>826.19</v>
      </c>
      <c r="F525" s="158" t="s">
        <v>183</v>
      </c>
      <c r="G525" s="156">
        <v>262</v>
      </c>
      <c r="H525" s="161">
        <f t="shared" si="113"/>
        <v>216461.78</v>
      </c>
      <c r="I525" s="160">
        <v>75</v>
      </c>
      <c r="J525" s="161">
        <f t="shared" si="114"/>
        <v>61964.25</v>
      </c>
      <c r="K525" s="159">
        <f t="shared" si="115"/>
        <v>278426.03000000003</v>
      </c>
      <c r="L525" s="163"/>
    </row>
    <row r="526" spans="1:12" ht="24">
      <c r="A526" s="200"/>
      <c r="B526" s="145"/>
      <c r="C526" s="61" t="s">
        <v>234</v>
      </c>
      <c r="D526" s="67"/>
      <c r="E526" s="159"/>
      <c r="F526" s="159"/>
      <c r="G526" s="160"/>
      <c r="H526" s="161"/>
      <c r="I526" s="160"/>
      <c r="J526" s="161"/>
      <c r="K526" s="159"/>
      <c r="L526" s="162"/>
    </row>
    <row r="527" spans="1:12" ht="24">
      <c r="A527" s="200"/>
      <c r="B527" s="145" t="s">
        <v>157</v>
      </c>
      <c r="C527" s="61" t="s">
        <v>237</v>
      </c>
      <c r="D527" s="67"/>
      <c r="E527" s="159">
        <f>83.2+42.4</f>
        <v>125.6</v>
      </c>
      <c r="F527" s="159" t="s">
        <v>183</v>
      </c>
      <c r="G527" s="160">
        <v>650</v>
      </c>
      <c r="H527" s="161">
        <f t="shared" ref="H527" si="116">ROUND(E527*G527,2)</f>
        <v>81640</v>
      </c>
      <c r="I527" s="160">
        <v>52</v>
      </c>
      <c r="J527" s="161">
        <f t="shared" ref="J527" si="117">ROUND(E527*I527,2)</f>
        <v>6531.2</v>
      </c>
      <c r="K527" s="159">
        <f t="shared" ref="K527" si="118">ROUND(H527+J527,2)</f>
        <v>88171.199999999997</v>
      </c>
      <c r="L527" s="162"/>
    </row>
    <row r="528" spans="1:12" ht="24">
      <c r="A528" s="200"/>
      <c r="B528" s="145"/>
      <c r="C528" s="61" t="s">
        <v>238</v>
      </c>
      <c r="D528" s="67"/>
      <c r="E528" s="159"/>
      <c r="F528" s="159"/>
      <c r="G528" s="160"/>
      <c r="H528" s="161"/>
      <c r="I528" s="160"/>
      <c r="J528" s="161"/>
      <c r="K528" s="159"/>
      <c r="L528" s="162"/>
    </row>
    <row r="529" spans="1:12" ht="24">
      <c r="A529" s="200"/>
      <c r="B529" s="145"/>
      <c r="C529" s="61" t="s">
        <v>239</v>
      </c>
      <c r="D529" s="67"/>
      <c r="E529" s="159"/>
      <c r="F529" s="159"/>
      <c r="G529" s="160"/>
      <c r="H529" s="161"/>
      <c r="I529" s="160"/>
      <c r="J529" s="161"/>
      <c r="K529" s="159"/>
      <c r="L529" s="162"/>
    </row>
    <row r="530" spans="1:12" ht="24">
      <c r="A530" s="200"/>
      <c r="B530" s="145" t="s">
        <v>159</v>
      </c>
      <c r="C530" s="61" t="s">
        <v>158</v>
      </c>
      <c r="D530" s="67"/>
      <c r="E530" s="159">
        <f>26.7+20.16+9.48+7.14</f>
        <v>63.480000000000004</v>
      </c>
      <c r="F530" s="159" t="s">
        <v>183</v>
      </c>
      <c r="G530" s="160">
        <v>329</v>
      </c>
      <c r="H530" s="161">
        <f t="shared" ref="H530" si="119">ROUND(E530*G530,2)</f>
        <v>20884.919999999998</v>
      </c>
      <c r="I530" s="160">
        <v>75</v>
      </c>
      <c r="J530" s="161">
        <f t="shared" ref="J530" si="120">ROUND(E530*I530,2)</f>
        <v>4761</v>
      </c>
      <c r="K530" s="159">
        <f t="shared" ref="K530" si="121">ROUND(H530+J530,2)</f>
        <v>25645.919999999998</v>
      </c>
      <c r="L530" s="162"/>
    </row>
    <row r="531" spans="1:12" ht="24">
      <c r="A531" s="200"/>
      <c r="B531" s="60"/>
      <c r="C531" s="61" t="s">
        <v>235</v>
      </c>
      <c r="D531" s="67"/>
      <c r="E531" s="159"/>
      <c r="F531" s="159"/>
      <c r="G531" s="160"/>
      <c r="H531" s="161"/>
      <c r="I531" s="160"/>
      <c r="J531" s="161"/>
      <c r="K531" s="159"/>
      <c r="L531" s="162"/>
    </row>
    <row r="532" spans="1:12" ht="24">
      <c r="A532" s="200"/>
      <c r="B532" s="60" t="s">
        <v>240</v>
      </c>
      <c r="C532" s="61" t="s">
        <v>241</v>
      </c>
      <c r="D532" s="67"/>
      <c r="E532" s="159"/>
      <c r="F532" s="159" t="s">
        <v>183</v>
      </c>
      <c r="G532" s="160">
        <v>215</v>
      </c>
      <c r="H532" s="161">
        <f t="shared" ref="H532" si="122">ROUND(E532*G532,2)</f>
        <v>0</v>
      </c>
      <c r="I532" s="160">
        <v>52</v>
      </c>
      <c r="J532" s="161">
        <f t="shared" ref="J532" si="123">ROUND(E532*I532,2)</f>
        <v>0</v>
      </c>
      <c r="K532" s="159">
        <f t="shared" ref="K532" si="124">ROUND(H532+J532,2)</f>
        <v>0</v>
      </c>
      <c r="L532" s="162"/>
    </row>
    <row r="533" spans="1:12" ht="24">
      <c r="A533" s="200"/>
      <c r="B533" s="145"/>
      <c r="C533" s="61" t="s">
        <v>242</v>
      </c>
      <c r="D533" s="67"/>
      <c r="E533" s="159"/>
      <c r="F533" s="159"/>
      <c r="G533" s="160"/>
      <c r="H533" s="161"/>
      <c r="I533" s="160"/>
      <c r="J533" s="161"/>
      <c r="K533" s="159"/>
      <c r="L533" s="162"/>
    </row>
    <row r="534" spans="1:12" ht="24">
      <c r="A534" s="200"/>
      <c r="B534" s="60" t="s">
        <v>134</v>
      </c>
      <c r="C534" s="61" t="s">
        <v>160</v>
      </c>
      <c r="D534" s="67"/>
      <c r="E534" s="159"/>
      <c r="F534" s="159" t="s">
        <v>183</v>
      </c>
      <c r="G534" s="160">
        <v>264</v>
      </c>
      <c r="H534" s="161">
        <f t="shared" ref="H534" si="125">ROUND(E534*G534,2)</f>
        <v>0</v>
      </c>
      <c r="I534" s="160">
        <v>80</v>
      </c>
      <c r="J534" s="161">
        <f t="shared" ref="J534" si="126">ROUND(E534*I534,2)</f>
        <v>0</v>
      </c>
      <c r="K534" s="159">
        <f t="shared" ref="K534" si="127">ROUND(H534+J534,2)</f>
        <v>0</v>
      </c>
      <c r="L534" s="162"/>
    </row>
    <row r="535" spans="1:12" ht="24">
      <c r="A535" s="200"/>
      <c r="B535" s="60"/>
      <c r="C535" s="61" t="s">
        <v>236</v>
      </c>
      <c r="D535" s="67"/>
      <c r="E535" s="159"/>
      <c r="F535" s="159"/>
      <c r="G535" s="160"/>
      <c r="H535" s="161"/>
      <c r="I535" s="160"/>
      <c r="J535" s="161"/>
      <c r="K535" s="159"/>
      <c r="L535" s="162"/>
    </row>
    <row r="536" spans="1:12" ht="24">
      <c r="A536" s="200"/>
      <c r="B536" s="60" t="s">
        <v>134</v>
      </c>
      <c r="C536" s="61" t="s">
        <v>161</v>
      </c>
      <c r="D536" s="67"/>
      <c r="E536" s="159"/>
      <c r="F536" s="159" t="s">
        <v>183</v>
      </c>
      <c r="G536" s="160">
        <v>55</v>
      </c>
      <c r="H536" s="161">
        <f t="shared" ref="H536" si="128">ROUND(E536*G536,2)</f>
        <v>0</v>
      </c>
      <c r="I536" s="160">
        <v>30</v>
      </c>
      <c r="J536" s="161">
        <f t="shared" ref="J536" si="129">ROUND(E536*I536,2)</f>
        <v>0</v>
      </c>
      <c r="K536" s="159">
        <f t="shared" ref="K536" si="130">ROUND(H536+J536,2)</f>
        <v>0</v>
      </c>
      <c r="L536" s="162"/>
    </row>
    <row r="537" spans="1:12" ht="24">
      <c r="A537" s="201"/>
      <c r="B537" s="60"/>
      <c r="C537" s="61"/>
      <c r="D537" s="67"/>
      <c r="E537" s="159"/>
      <c r="F537" s="159"/>
      <c r="G537" s="160"/>
      <c r="H537" s="161"/>
      <c r="I537" s="160"/>
      <c r="J537" s="161"/>
      <c r="K537" s="159"/>
      <c r="L537" s="162"/>
    </row>
    <row r="538" spans="1:12" ht="24">
      <c r="A538" s="201"/>
      <c r="B538" s="60"/>
      <c r="C538" s="61"/>
      <c r="D538" s="67"/>
      <c r="E538" s="159"/>
      <c r="F538" s="159"/>
      <c r="G538" s="160"/>
      <c r="H538" s="161"/>
      <c r="I538" s="160"/>
      <c r="J538" s="161"/>
      <c r="K538" s="159"/>
      <c r="L538" s="162"/>
    </row>
    <row r="539" spans="1:12" ht="24">
      <c r="A539" s="201"/>
      <c r="B539" s="60"/>
      <c r="C539" s="61"/>
      <c r="D539" s="67"/>
      <c r="E539" s="159"/>
      <c r="F539" s="159"/>
      <c r="G539" s="160"/>
      <c r="H539" s="161"/>
      <c r="I539" s="160"/>
      <c r="J539" s="161"/>
      <c r="K539" s="159"/>
      <c r="L539" s="162"/>
    </row>
    <row r="540" spans="1:12" ht="24">
      <c r="A540" s="201"/>
      <c r="B540" s="60"/>
      <c r="C540" s="61"/>
      <c r="D540" s="67"/>
      <c r="E540" s="159"/>
      <c r="F540" s="159"/>
      <c r="G540" s="160"/>
      <c r="H540" s="161"/>
      <c r="I540" s="160"/>
      <c r="J540" s="161"/>
      <c r="K540" s="159"/>
      <c r="L540" s="162"/>
    </row>
    <row r="541" spans="1:12" ht="24.75" thickBot="1">
      <c r="A541" s="201"/>
      <c r="B541" s="60"/>
      <c r="C541" s="61"/>
      <c r="D541" s="67"/>
      <c r="E541" s="159"/>
      <c r="F541" s="159"/>
      <c r="G541" s="160"/>
      <c r="H541" s="161"/>
      <c r="I541" s="160"/>
      <c r="J541" s="161"/>
      <c r="K541" s="159"/>
      <c r="L541" s="162"/>
    </row>
    <row r="542" spans="1:12" ht="24.75" thickTop="1">
      <c r="A542" s="149"/>
      <c r="B542" s="1981" t="s">
        <v>69</v>
      </c>
      <c r="C542" s="1982"/>
      <c r="D542" s="1983"/>
      <c r="E542" s="164"/>
      <c r="F542" s="164"/>
      <c r="G542" s="165"/>
      <c r="H542" s="166"/>
      <c r="I542" s="165"/>
      <c r="J542" s="166"/>
      <c r="K542" s="164"/>
      <c r="L542" s="167"/>
    </row>
    <row r="543" spans="1:12" ht="24">
      <c r="A543" s="206" t="s">
        <v>200</v>
      </c>
      <c r="B543" s="146" t="s">
        <v>113</v>
      </c>
      <c r="C543" s="142"/>
      <c r="D543" s="143"/>
      <c r="E543" s="155"/>
      <c r="F543" s="155"/>
      <c r="G543" s="156"/>
      <c r="H543" s="157"/>
      <c r="I543" s="156"/>
      <c r="J543" s="157"/>
      <c r="K543" s="158"/>
      <c r="L543" s="158"/>
    </row>
    <row r="544" spans="1:12" ht="24">
      <c r="A544" s="205"/>
      <c r="B544" s="147" t="s">
        <v>186</v>
      </c>
      <c r="C544" s="61" t="s">
        <v>346</v>
      </c>
      <c r="D544" s="55"/>
      <c r="E544" s="194">
        <v>2</v>
      </c>
      <c r="F544" s="159" t="s">
        <v>185</v>
      </c>
      <c r="G544" s="160"/>
      <c r="H544" s="161"/>
      <c r="I544" s="160"/>
      <c r="J544" s="161"/>
      <c r="K544" s="159"/>
      <c r="L544" s="162"/>
    </row>
    <row r="545" spans="1:12" ht="24">
      <c r="A545" s="200"/>
      <c r="B545" s="60" t="s">
        <v>187</v>
      </c>
      <c r="C545" s="61" t="s">
        <v>345</v>
      </c>
      <c r="D545" s="62"/>
      <c r="E545" s="220">
        <v>2</v>
      </c>
      <c r="F545" s="159" t="s">
        <v>185</v>
      </c>
      <c r="G545" s="156"/>
      <c r="H545" s="157"/>
      <c r="I545" s="156"/>
      <c r="J545" s="157"/>
      <c r="K545" s="158"/>
      <c r="L545" s="163"/>
    </row>
    <row r="546" spans="1:12" ht="24">
      <c r="A546" s="200"/>
      <c r="B546" s="60" t="s">
        <v>188</v>
      </c>
      <c r="C546" s="61" t="s">
        <v>368</v>
      </c>
      <c r="D546" s="62"/>
      <c r="E546" s="220">
        <v>3</v>
      </c>
      <c r="F546" s="159" t="s">
        <v>185</v>
      </c>
      <c r="G546" s="156"/>
      <c r="H546" s="157"/>
      <c r="I546" s="156"/>
      <c r="J546" s="157"/>
      <c r="K546" s="158"/>
      <c r="L546" s="163"/>
    </row>
    <row r="547" spans="1:12" ht="24">
      <c r="A547" s="200"/>
      <c r="B547" s="60" t="s">
        <v>301</v>
      </c>
      <c r="C547" s="61" t="s">
        <v>347</v>
      </c>
      <c r="D547" s="62"/>
      <c r="E547" s="220">
        <v>1</v>
      </c>
      <c r="F547" s="159" t="s">
        <v>185</v>
      </c>
      <c r="G547" s="156"/>
      <c r="H547" s="157"/>
      <c r="I547" s="156"/>
      <c r="J547" s="157"/>
      <c r="K547" s="158"/>
      <c r="L547" s="163"/>
    </row>
    <row r="548" spans="1:12" ht="24">
      <c r="A548" s="200"/>
      <c r="B548" s="60" t="s">
        <v>302</v>
      </c>
      <c r="C548" s="61" t="s">
        <v>348</v>
      </c>
      <c r="D548" s="67"/>
      <c r="E548" s="194">
        <v>2</v>
      </c>
      <c r="F548" s="159" t="s">
        <v>185</v>
      </c>
      <c r="G548" s="160"/>
      <c r="H548" s="161"/>
      <c r="I548" s="160"/>
      <c r="J548" s="161"/>
      <c r="K548" s="159"/>
      <c r="L548" s="162"/>
    </row>
    <row r="549" spans="1:12" ht="24">
      <c r="A549" s="200"/>
      <c r="B549" s="60" t="s">
        <v>305</v>
      </c>
      <c r="C549" s="61" t="s">
        <v>351</v>
      </c>
      <c r="D549" s="67"/>
      <c r="E549" s="194">
        <v>2</v>
      </c>
      <c r="F549" s="159" t="s">
        <v>185</v>
      </c>
      <c r="G549" s="160"/>
      <c r="H549" s="161"/>
      <c r="I549" s="160"/>
      <c r="J549" s="161"/>
      <c r="K549" s="159"/>
      <c r="L549" s="162"/>
    </row>
    <row r="550" spans="1:12" ht="24">
      <c r="A550" s="200"/>
      <c r="B550" s="60" t="s">
        <v>306</v>
      </c>
      <c r="C550" s="61" t="s">
        <v>352</v>
      </c>
      <c r="D550" s="67"/>
      <c r="E550" s="194">
        <v>2</v>
      </c>
      <c r="F550" s="159" t="s">
        <v>185</v>
      </c>
      <c r="G550" s="160"/>
      <c r="H550" s="161"/>
      <c r="I550" s="160"/>
      <c r="J550" s="161"/>
      <c r="K550" s="159"/>
      <c r="L550" s="162"/>
    </row>
    <row r="551" spans="1:12" ht="24">
      <c r="A551" s="200"/>
      <c r="B551" s="60" t="s">
        <v>307</v>
      </c>
      <c r="C551" s="61" t="s">
        <v>353</v>
      </c>
      <c r="D551" s="67"/>
      <c r="E551" s="194">
        <v>2</v>
      </c>
      <c r="F551" s="159" t="s">
        <v>185</v>
      </c>
      <c r="G551" s="160"/>
      <c r="H551" s="161"/>
      <c r="I551" s="160"/>
      <c r="J551" s="161"/>
      <c r="K551" s="159"/>
      <c r="L551" s="162"/>
    </row>
    <row r="552" spans="1:12" ht="24">
      <c r="A552" s="200"/>
      <c r="B552" s="60" t="s">
        <v>308</v>
      </c>
      <c r="C552" s="225" t="s">
        <v>354</v>
      </c>
      <c r="D552" s="67"/>
      <c r="E552" s="194">
        <v>2</v>
      </c>
      <c r="F552" s="159" t="s">
        <v>185</v>
      </c>
      <c r="G552" s="160"/>
      <c r="H552" s="161"/>
      <c r="I552" s="160"/>
      <c r="J552" s="161"/>
      <c r="K552" s="159"/>
      <c r="L552" s="162"/>
    </row>
    <row r="553" spans="1:12" ht="24">
      <c r="A553" s="200"/>
      <c r="B553" s="60" t="s">
        <v>310</v>
      </c>
      <c r="C553" s="61" t="s">
        <v>356</v>
      </c>
      <c r="D553" s="67"/>
      <c r="E553" s="194">
        <v>1</v>
      </c>
      <c r="F553" s="159" t="s">
        <v>185</v>
      </c>
      <c r="G553" s="160"/>
      <c r="H553" s="161"/>
      <c r="I553" s="160"/>
      <c r="J553" s="161"/>
      <c r="K553" s="159"/>
      <c r="L553" s="162"/>
    </row>
    <row r="554" spans="1:12" ht="24">
      <c r="A554" s="200"/>
      <c r="B554" s="60" t="s">
        <v>331</v>
      </c>
      <c r="C554" s="61" t="s">
        <v>374</v>
      </c>
      <c r="D554" s="67"/>
      <c r="E554" s="194">
        <v>1</v>
      </c>
      <c r="F554" s="159" t="s">
        <v>185</v>
      </c>
      <c r="G554" s="160"/>
      <c r="H554" s="161"/>
      <c r="I554" s="160"/>
      <c r="J554" s="161"/>
      <c r="K554" s="159"/>
      <c r="L554" s="162"/>
    </row>
    <row r="555" spans="1:12" ht="24">
      <c r="A555" s="200"/>
      <c r="B555" s="60" t="s">
        <v>384</v>
      </c>
      <c r="C555" s="61" t="s">
        <v>385</v>
      </c>
      <c r="D555" s="67"/>
      <c r="E555" s="194">
        <v>1</v>
      </c>
      <c r="F555" s="159" t="s">
        <v>185</v>
      </c>
      <c r="G555" s="160"/>
      <c r="H555" s="161"/>
      <c r="I555" s="160"/>
      <c r="J555" s="161"/>
      <c r="K555" s="159"/>
      <c r="L555" s="162"/>
    </row>
    <row r="556" spans="1:12" ht="24">
      <c r="A556" s="200"/>
      <c r="B556" s="60" t="s">
        <v>327</v>
      </c>
      <c r="C556" s="61" t="s">
        <v>370</v>
      </c>
      <c r="D556" s="67"/>
      <c r="E556" s="194">
        <v>1</v>
      </c>
      <c r="F556" s="159" t="s">
        <v>185</v>
      </c>
      <c r="G556" s="160"/>
      <c r="H556" s="161"/>
      <c r="I556" s="160"/>
      <c r="J556" s="161"/>
      <c r="K556" s="159"/>
      <c r="L556" s="162"/>
    </row>
    <row r="557" spans="1:12" ht="24">
      <c r="A557" s="200"/>
      <c r="B557" s="60" t="s">
        <v>328</v>
      </c>
      <c r="C557" s="61" t="s">
        <v>371</v>
      </c>
      <c r="D557" s="67"/>
      <c r="E557" s="194">
        <v>2</v>
      </c>
      <c r="F557" s="159" t="s">
        <v>185</v>
      </c>
      <c r="G557" s="160"/>
      <c r="H557" s="161"/>
      <c r="I557" s="160"/>
      <c r="J557" s="161"/>
      <c r="K557" s="159"/>
      <c r="L557" s="162"/>
    </row>
    <row r="558" spans="1:12" ht="24">
      <c r="A558" s="200"/>
      <c r="B558" s="60" t="s">
        <v>314</v>
      </c>
      <c r="C558" s="61" t="s">
        <v>360</v>
      </c>
      <c r="D558" s="67"/>
      <c r="E558" s="194">
        <v>1</v>
      </c>
      <c r="F558" s="159" t="s">
        <v>185</v>
      </c>
      <c r="G558" s="160"/>
      <c r="H558" s="161"/>
      <c r="I558" s="160"/>
      <c r="J558" s="161"/>
      <c r="K558" s="159"/>
      <c r="L558" s="162"/>
    </row>
    <row r="559" spans="1:12" ht="24">
      <c r="A559" s="200"/>
      <c r="B559" s="221">
        <v>2</v>
      </c>
      <c r="C559" s="61" t="s">
        <v>362</v>
      </c>
      <c r="D559" s="67"/>
      <c r="E559" s="194">
        <v>14</v>
      </c>
      <c r="F559" s="159" t="s">
        <v>185</v>
      </c>
      <c r="G559" s="160"/>
      <c r="H559" s="161"/>
      <c r="I559" s="160"/>
      <c r="J559" s="161"/>
      <c r="K559" s="159"/>
      <c r="L559" s="162"/>
    </row>
    <row r="560" spans="1:12" ht="24">
      <c r="A560" s="200"/>
      <c r="B560" s="221">
        <v>3</v>
      </c>
      <c r="C560" s="61" t="s">
        <v>363</v>
      </c>
      <c r="D560" s="67"/>
      <c r="E560" s="194">
        <v>3</v>
      </c>
      <c r="F560" s="159" t="s">
        <v>185</v>
      </c>
      <c r="G560" s="160"/>
      <c r="H560" s="161"/>
      <c r="I560" s="160"/>
      <c r="J560" s="161"/>
      <c r="K560" s="159"/>
      <c r="L560" s="162"/>
    </row>
    <row r="561" spans="1:12" ht="24">
      <c r="A561" s="200"/>
      <c r="B561" s="221">
        <v>4</v>
      </c>
      <c r="C561" s="61" t="s">
        <v>364</v>
      </c>
      <c r="D561" s="67"/>
      <c r="E561" s="194">
        <v>4</v>
      </c>
      <c r="F561" s="159" t="s">
        <v>185</v>
      </c>
      <c r="G561" s="160"/>
      <c r="H561" s="161"/>
      <c r="I561" s="160"/>
      <c r="J561" s="161"/>
      <c r="K561" s="159"/>
      <c r="L561" s="162"/>
    </row>
    <row r="562" spans="1:12" ht="24">
      <c r="A562" s="200"/>
      <c r="B562" s="221">
        <v>5</v>
      </c>
      <c r="C562" s="61" t="s">
        <v>365</v>
      </c>
      <c r="D562" s="67"/>
      <c r="E562" s="194">
        <v>1</v>
      </c>
      <c r="F562" s="159" t="s">
        <v>185</v>
      </c>
      <c r="G562" s="160"/>
      <c r="H562" s="161"/>
      <c r="I562" s="160"/>
      <c r="J562" s="161"/>
      <c r="K562" s="159"/>
      <c r="L562" s="162"/>
    </row>
    <row r="563" spans="1:12" ht="24.75" thickBot="1">
      <c r="A563" s="200"/>
      <c r="B563" s="221">
        <v>7</v>
      </c>
      <c r="C563" s="61" t="s">
        <v>367</v>
      </c>
      <c r="D563" s="67"/>
      <c r="E563" s="194">
        <v>3</v>
      </c>
      <c r="F563" s="159" t="s">
        <v>185</v>
      </c>
      <c r="G563" s="160"/>
      <c r="H563" s="161"/>
      <c r="I563" s="160"/>
      <c r="J563" s="161"/>
      <c r="K563" s="159"/>
      <c r="L563" s="162"/>
    </row>
    <row r="564" spans="1:12" ht="24.75" thickTop="1">
      <c r="A564" s="149"/>
      <c r="B564" s="1981" t="s">
        <v>69</v>
      </c>
      <c r="C564" s="1982"/>
      <c r="D564" s="1983"/>
      <c r="E564" s="164"/>
      <c r="F564" s="164"/>
      <c r="G564" s="165"/>
      <c r="H564" s="166"/>
      <c r="I564" s="165"/>
      <c r="J564" s="166"/>
      <c r="K564" s="164"/>
      <c r="L564" s="167"/>
    </row>
    <row r="565" spans="1:12" ht="24">
      <c r="A565" s="206" t="s">
        <v>201</v>
      </c>
      <c r="B565" s="133" t="s">
        <v>114</v>
      </c>
      <c r="C565" s="142"/>
      <c r="D565" s="143"/>
      <c r="E565" s="155"/>
      <c r="F565" s="155"/>
      <c r="G565" s="156"/>
      <c r="H565" s="157"/>
      <c r="I565" s="156"/>
      <c r="J565" s="157"/>
      <c r="K565" s="158"/>
      <c r="L565" s="158"/>
    </row>
    <row r="566" spans="1:12" ht="24">
      <c r="A566" s="205"/>
      <c r="B566" s="222" t="s">
        <v>315</v>
      </c>
      <c r="C566" s="54"/>
      <c r="D566" s="55"/>
      <c r="E566" s="159">
        <v>5</v>
      </c>
      <c r="F566" s="159" t="s">
        <v>185</v>
      </c>
      <c r="G566" s="160"/>
      <c r="H566" s="161"/>
      <c r="I566" s="160"/>
      <c r="J566" s="161"/>
      <c r="K566" s="159"/>
      <c r="L566" s="162"/>
    </row>
    <row r="567" spans="1:12" ht="24">
      <c r="A567" s="200"/>
      <c r="B567" s="222" t="s">
        <v>316</v>
      </c>
      <c r="C567" s="61"/>
      <c r="D567" s="62"/>
      <c r="E567" s="158">
        <v>10</v>
      </c>
      <c r="F567" s="159" t="s">
        <v>185</v>
      </c>
      <c r="G567" s="156"/>
      <c r="H567" s="157"/>
      <c r="I567" s="156"/>
      <c r="J567" s="157"/>
      <c r="K567" s="158"/>
      <c r="L567" s="163"/>
    </row>
    <row r="568" spans="1:12" ht="24">
      <c r="A568" s="200"/>
      <c r="B568" s="222" t="s">
        <v>317</v>
      </c>
      <c r="C568" s="61"/>
      <c r="D568" s="62"/>
      <c r="E568" s="158">
        <v>9</v>
      </c>
      <c r="F568" s="159" t="s">
        <v>185</v>
      </c>
      <c r="G568" s="156"/>
      <c r="H568" s="157"/>
      <c r="I568" s="156"/>
      <c r="J568" s="157"/>
      <c r="K568" s="158"/>
      <c r="L568" s="163"/>
    </row>
    <row r="569" spans="1:12" ht="24">
      <c r="A569" s="200"/>
      <c r="B569" s="222" t="s">
        <v>336</v>
      </c>
      <c r="C569" s="61"/>
      <c r="D569" s="62"/>
      <c r="E569" s="158">
        <v>9</v>
      </c>
      <c r="F569" s="159" t="s">
        <v>185</v>
      </c>
      <c r="G569" s="160"/>
      <c r="H569" s="161"/>
      <c r="I569" s="160"/>
      <c r="J569" s="161"/>
      <c r="K569" s="159"/>
      <c r="L569" s="162"/>
    </row>
    <row r="570" spans="1:12" ht="24">
      <c r="A570" s="200"/>
      <c r="B570" s="222" t="s">
        <v>318</v>
      </c>
      <c r="C570" s="61"/>
      <c r="D570" s="67"/>
      <c r="E570" s="159">
        <v>3</v>
      </c>
      <c r="F570" s="159" t="s">
        <v>185</v>
      </c>
      <c r="G570" s="160"/>
      <c r="H570" s="161"/>
      <c r="I570" s="160"/>
      <c r="J570" s="161"/>
      <c r="K570" s="159"/>
      <c r="L570" s="162"/>
    </row>
    <row r="571" spans="1:12" ht="24">
      <c r="A571" s="200"/>
      <c r="B571" s="222" t="s">
        <v>319</v>
      </c>
      <c r="C571" s="61"/>
      <c r="D571" s="67"/>
      <c r="E571" s="159">
        <v>10</v>
      </c>
      <c r="F571" s="159" t="s">
        <v>185</v>
      </c>
      <c r="G571" s="160"/>
      <c r="H571" s="161"/>
      <c r="I571" s="160"/>
      <c r="J571" s="161"/>
      <c r="K571" s="159"/>
      <c r="L571" s="162"/>
    </row>
    <row r="572" spans="1:12" ht="24">
      <c r="A572" s="200"/>
      <c r="B572" s="222" t="s">
        <v>320</v>
      </c>
      <c r="C572" s="61"/>
      <c r="D572" s="67"/>
      <c r="E572" s="159">
        <v>10</v>
      </c>
      <c r="F572" s="159" t="s">
        <v>185</v>
      </c>
      <c r="G572" s="160"/>
      <c r="H572" s="161"/>
      <c r="I572" s="160"/>
      <c r="J572" s="161"/>
      <c r="K572" s="159"/>
      <c r="L572" s="162"/>
    </row>
    <row r="573" spans="1:12" ht="24">
      <c r="A573" s="200"/>
      <c r="B573" s="222" t="s">
        <v>322</v>
      </c>
      <c r="C573" s="61"/>
      <c r="D573" s="67"/>
      <c r="E573" s="159">
        <v>1</v>
      </c>
      <c r="F573" s="159" t="s">
        <v>185</v>
      </c>
      <c r="G573" s="160"/>
      <c r="H573" s="161"/>
      <c r="I573" s="160"/>
      <c r="J573" s="161"/>
      <c r="K573" s="159"/>
      <c r="L573" s="162"/>
    </row>
    <row r="574" spans="1:12" ht="24">
      <c r="A574" s="200"/>
      <c r="B574" s="222" t="s">
        <v>323</v>
      </c>
      <c r="C574" s="61"/>
      <c r="D574" s="67"/>
      <c r="E574" s="159">
        <v>1</v>
      </c>
      <c r="F574" s="159" t="s">
        <v>185</v>
      </c>
      <c r="G574" s="160"/>
      <c r="H574" s="161"/>
      <c r="I574" s="160"/>
      <c r="J574" s="161"/>
      <c r="K574" s="159"/>
      <c r="L574" s="162"/>
    </row>
    <row r="575" spans="1:12" ht="24">
      <c r="A575" s="200"/>
      <c r="B575" s="222" t="s">
        <v>324</v>
      </c>
      <c r="C575" s="61"/>
      <c r="D575" s="67"/>
      <c r="E575" s="159">
        <v>1</v>
      </c>
      <c r="F575" s="159" t="s">
        <v>185</v>
      </c>
      <c r="G575" s="160"/>
      <c r="H575" s="161"/>
      <c r="I575" s="160"/>
      <c r="J575" s="161"/>
      <c r="K575" s="159"/>
      <c r="L575" s="162"/>
    </row>
    <row r="576" spans="1:12" ht="24">
      <c r="A576" s="200"/>
      <c r="B576" s="222" t="s">
        <v>337</v>
      </c>
      <c r="C576" s="61"/>
      <c r="D576" s="67"/>
      <c r="E576" s="159">
        <v>1</v>
      </c>
      <c r="F576" s="159" t="s">
        <v>185</v>
      </c>
      <c r="G576" s="160"/>
      <c r="H576" s="161"/>
      <c r="I576" s="160"/>
      <c r="J576" s="161"/>
      <c r="K576" s="159"/>
      <c r="L576" s="162"/>
    </row>
    <row r="577" spans="1:12" ht="24">
      <c r="A577" s="200"/>
      <c r="B577" s="222" t="s">
        <v>338</v>
      </c>
      <c r="C577" s="61"/>
      <c r="D577" s="67"/>
      <c r="E577" s="159">
        <v>1</v>
      </c>
      <c r="F577" s="159" t="s">
        <v>185</v>
      </c>
      <c r="G577" s="160"/>
      <c r="H577" s="161"/>
      <c r="I577" s="160"/>
      <c r="J577" s="161"/>
      <c r="K577" s="159"/>
      <c r="L577" s="162"/>
    </row>
    <row r="578" spans="1:12" ht="24">
      <c r="A578" s="200"/>
      <c r="B578" s="222" t="s">
        <v>340</v>
      </c>
      <c r="C578" s="61"/>
      <c r="D578" s="67"/>
      <c r="E578" s="159">
        <v>1</v>
      </c>
      <c r="F578" s="159" t="s">
        <v>185</v>
      </c>
      <c r="G578" s="160"/>
      <c r="H578" s="161"/>
      <c r="I578" s="160"/>
      <c r="J578" s="161"/>
      <c r="K578" s="159"/>
      <c r="L578" s="162"/>
    </row>
    <row r="579" spans="1:12" ht="24">
      <c r="A579" s="201"/>
      <c r="B579" s="222" t="s">
        <v>321</v>
      </c>
      <c r="C579" s="61"/>
      <c r="D579" s="67"/>
      <c r="E579" s="159">
        <v>11</v>
      </c>
      <c r="F579" s="159" t="s">
        <v>185</v>
      </c>
      <c r="G579" s="160"/>
      <c r="H579" s="161"/>
      <c r="I579" s="160"/>
      <c r="J579" s="161"/>
      <c r="K579" s="159"/>
      <c r="L579" s="162"/>
    </row>
    <row r="580" spans="1:12" ht="24">
      <c r="A580" s="201"/>
      <c r="B580" s="222" t="s">
        <v>335</v>
      </c>
      <c r="C580" s="61"/>
      <c r="D580" s="67"/>
      <c r="E580" s="159">
        <v>6</v>
      </c>
      <c r="F580" s="159" t="s">
        <v>185</v>
      </c>
      <c r="G580" s="160"/>
      <c r="H580" s="161"/>
      <c r="I580" s="160"/>
      <c r="J580" s="161"/>
      <c r="K580" s="159"/>
      <c r="L580" s="162"/>
    </row>
    <row r="581" spans="1:12" ht="24">
      <c r="A581" s="201"/>
      <c r="B581" s="222" t="s">
        <v>341</v>
      </c>
      <c r="C581" s="61"/>
      <c r="D581" s="67"/>
      <c r="E581" s="159">
        <v>1</v>
      </c>
      <c r="F581" s="159" t="s">
        <v>185</v>
      </c>
      <c r="G581" s="160"/>
      <c r="H581" s="161"/>
      <c r="I581" s="160"/>
      <c r="J581" s="161"/>
      <c r="K581" s="159"/>
      <c r="L581" s="162"/>
    </row>
    <row r="582" spans="1:12" ht="24">
      <c r="A582" s="201"/>
      <c r="B582" s="222" t="s">
        <v>342</v>
      </c>
      <c r="C582" s="61"/>
      <c r="D582" s="67"/>
      <c r="E582" s="159">
        <v>1</v>
      </c>
      <c r="F582" s="159" t="s">
        <v>185</v>
      </c>
      <c r="G582" s="160"/>
      <c r="H582" s="161"/>
      <c r="I582" s="160"/>
      <c r="J582" s="161"/>
      <c r="K582" s="159"/>
      <c r="L582" s="162"/>
    </row>
    <row r="583" spans="1:12" ht="24">
      <c r="A583" s="201"/>
      <c r="B583" s="222"/>
      <c r="C583" s="61"/>
      <c r="D583" s="67"/>
      <c r="E583" s="159"/>
      <c r="F583" s="159"/>
      <c r="G583" s="160"/>
      <c r="H583" s="161"/>
      <c r="I583" s="160"/>
      <c r="J583" s="161"/>
      <c r="K583" s="159"/>
      <c r="L583" s="162"/>
    </row>
    <row r="584" spans="1:12" ht="24">
      <c r="A584" s="201"/>
      <c r="B584" s="60"/>
      <c r="C584" s="61"/>
      <c r="D584" s="67"/>
      <c r="E584" s="159"/>
      <c r="F584" s="159"/>
      <c r="G584" s="160"/>
      <c r="H584" s="161"/>
      <c r="I584" s="160"/>
      <c r="J584" s="161"/>
      <c r="K584" s="159"/>
      <c r="L584" s="162"/>
    </row>
    <row r="585" spans="1:12" ht="24.75" thickBot="1">
      <c r="A585" s="201"/>
      <c r="B585" s="60"/>
      <c r="C585" s="61"/>
      <c r="D585" s="67"/>
      <c r="E585" s="159"/>
      <c r="F585" s="159"/>
      <c r="G585" s="160"/>
      <c r="H585" s="161"/>
      <c r="I585" s="160"/>
      <c r="J585" s="161"/>
      <c r="K585" s="159"/>
      <c r="L585" s="162"/>
    </row>
    <row r="586" spans="1:12" ht="24.75" thickTop="1">
      <c r="A586" s="149"/>
      <c r="B586" s="1981" t="s">
        <v>69</v>
      </c>
      <c r="C586" s="1982"/>
      <c r="D586" s="1983"/>
      <c r="E586" s="164"/>
      <c r="F586" s="164"/>
      <c r="G586" s="165"/>
      <c r="H586" s="166"/>
      <c r="I586" s="165"/>
      <c r="J586" s="166"/>
      <c r="K586" s="164"/>
      <c r="L586" s="167"/>
    </row>
    <row r="587" spans="1:12" ht="24">
      <c r="A587" s="207" t="s">
        <v>254</v>
      </c>
      <c r="B587" s="148" t="s">
        <v>115</v>
      </c>
      <c r="C587" s="192"/>
      <c r="D587" s="193"/>
      <c r="E587" s="155"/>
      <c r="F587" s="155"/>
      <c r="G587" s="156"/>
      <c r="H587" s="157"/>
      <c r="I587" s="156"/>
      <c r="J587" s="157"/>
      <c r="K587" s="158"/>
      <c r="L587" s="158"/>
    </row>
    <row r="588" spans="1:12" ht="24">
      <c r="A588" s="205"/>
      <c r="B588" s="144" t="s">
        <v>243</v>
      </c>
      <c r="C588" s="61"/>
      <c r="D588" s="55"/>
      <c r="E588" s="159"/>
      <c r="F588" s="159"/>
      <c r="G588" s="160"/>
      <c r="H588" s="161"/>
      <c r="I588" s="160"/>
      <c r="J588" s="161"/>
      <c r="K588" s="159"/>
      <c r="L588" s="162"/>
    </row>
    <row r="589" spans="1:12" ht="24">
      <c r="A589" s="200"/>
      <c r="B589" s="145"/>
      <c r="C589" s="61" t="s">
        <v>244</v>
      </c>
      <c r="D589" s="62"/>
      <c r="E589" s="158">
        <v>57.08</v>
      </c>
      <c r="F589" s="158" t="s">
        <v>183</v>
      </c>
      <c r="G589" s="156"/>
      <c r="H589" s="161">
        <f t="shared" ref="H589:H592" si="131">ROUND(E589*G589,2)</f>
        <v>0</v>
      </c>
      <c r="I589" s="160"/>
      <c r="J589" s="161">
        <f t="shared" ref="J589:J592" si="132">ROUND(E589*I589,2)</f>
        <v>0</v>
      </c>
      <c r="K589" s="159">
        <f t="shared" ref="K589:K592" si="133">H589+J589</f>
        <v>0</v>
      </c>
      <c r="L589" s="163"/>
    </row>
    <row r="590" spans="1:12" ht="24">
      <c r="A590" s="200"/>
      <c r="B590" s="145"/>
      <c r="C590" s="61" t="s">
        <v>245</v>
      </c>
      <c r="D590" s="62"/>
      <c r="E590" s="158">
        <v>73.599999999999994</v>
      </c>
      <c r="F590" s="158" t="s">
        <v>184</v>
      </c>
      <c r="G590" s="156"/>
      <c r="H590" s="161">
        <f t="shared" si="131"/>
        <v>0</v>
      </c>
      <c r="I590" s="160"/>
      <c r="J590" s="161">
        <f t="shared" si="132"/>
        <v>0</v>
      </c>
      <c r="K590" s="159">
        <f t="shared" si="133"/>
        <v>0</v>
      </c>
      <c r="L590" s="163"/>
    </row>
    <row r="591" spans="1:12" ht="24">
      <c r="A591" s="200"/>
      <c r="B591" s="145"/>
      <c r="C591" s="61" t="s">
        <v>246</v>
      </c>
      <c r="D591" s="67"/>
      <c r="E591" s="159">
        <v>32.159999999999997</v>
      </c>
      <c r="F591" s="159" t="s">
        <v>183</v>
      </c>
      <c r="G591" s="160"/>
      <c r="H591" s="161">
        <f t="shared" si="131"/>
        <v>0</v>
      </c>
      <c r="I591" s="160"/>
      <c r="J591" s="161">
        <f t="shared" si="132"/>
        <v>0</v>
      </c>
      <c r="K591" s="159">
        <f t="shared" si="133"/>
        <v>0</v>
      </c>
      <c r="L591" s="162"/>
    </row>
    <row r="592" spans="1:12" ht="24">
      <c r="A592" s="200"/>
      <c r="B592" s="145"/>
      <c r="C592" s="61" t="s">
        <v>247</v>
      </c>
      <c r="D592" s="67"/>
      <c r="E592" s="159">
        <f>8.72+9.79+7.43</f>
        <v>25.939999999999998</v>
      </c>
      <c r="F592" s="159" t="s">
        <v>184</v>
      </c>
      <c r="G592" s="160"/>
      <c r="H592" s="161">
        <f t="shared" si="131"/>
        <v>0</v>
      </c>
      <c r="I592" s="160"/>
      <c r="J592" s="161">
        <f t="shared" si="132"/>
        <v>0</v>
      </c>
      <c r="K592" s="159">
        <f t="shared" si="133"/>
        <v>0</v>
      </c>
      <c r="L592" s="162"/>
    </row>
    <row r="593" spans="1:12" ht="24">
      <c r="A593" s="200"/>
      <c r="B593" s="144" t="s">
        <v>248</v>
      </c>
      <c r="C593" s="61"/>
      <c r="D593" s="55"/>
      <c r="E593" s="159"/>
      <c r="F593" s="159"/>
      <c r="G593" s="160"/>
      <c r="H593" s="161"/>
      <c r="I593" s="160"/>
      <c r="J593" s="161"/>
      <c r="K593" s="159"/>
      <c r="L593" s="162"/>
    </row>
    <row r="594" spans="1:12" ht="24">
      <c r="A594" s="200"/>
      <c r="B594" s="145"/>
      <c r="C594" s="61" t="s">
        <v>244</v>
      </c>
      <c r="D594" s="62"/>
      <c r="E594" s="158">
        <v>23.1</v>
      </c>
      <c r="F594" s="158" t="s">
        <v>183</v>
      </c>
      <c r="G594" s="156"/>
      <c r="H594" s="161">
        <f t="shared" ref="H594:H597" si="134">ROUND(E594*G594,2)</f>
        <v>0</v>
      </c>
      <c r="I594" s="160"/>
      <c r="J594" s="161">
        <f t="shared" ref="J594:J597" si="135">ROUND(E594*I594,2)</f>
        <v>0</v>
      </c>
      <c r="K594" s="159">
        <f t="shared" ref="K594:K597" si="136">H594+J594</f>
        <v>0</v>
      </c>
      <c r="L594" s="162"/>
    </row>
    <row r="595" spans="1:12" ht="24">
      <c r="A595" s="200"/>
      <c r="B595" s="145"/>
      <c r="C595" s="61" t="s">
        <v>245</v>
      </c>
      <c r="D595" s="62"/>
      <c r="E595" s="158">
        <v>62.4</v>
      </c>
      <c r="F595" s="158" t="s">
        <v>184</v>
      </c>
      <c r="G595" s="156"/>
      <c r="H595" s="161">
        <f t="shared" si="134"/>
        <v>0</v>
      </c>
      <c r="I595" s="160"/>
      <c r="J595" s="161">
        <f t="shared" si="135"/>
        <v>0</v>
      </c>
      <c r="K595" s="159">
        <f t="shared" si="136"/>
        <v>0</v>
      </c>
      <c r="L595" s="162"/>
    </row>
    <row r="596" spans="1:12" ht="24">
      <c r="A596" s="200"/>
      <c r="B596" s="145"/>
      <c r="C596" s="61" t="s">
        <v>246</v>
      </c>
      <c r="D596" s="67"/>
      <c r="E596" s="159">
        <f>11.23+16.02</f>
        <v>27.25</v>
      </c>
      <c r="F596" s="159" t="s">
        <v>183</v>
      </c>
      <c r="G596" s="160"/>
      <c r="H596" s="161">
        <f t="shared" si="134"/>
        <v>0</v>
      </c>
      <c r="I596" s="160"/>
      <c r="J596" s="161">
        <f t="shared" si="135"/>
        <v>0</v>
      </c>
      <c r="K596" s="159">
        <f t="shared" si="136"/>
        <v>0</v>
      </c>
      <c r="L596" s="162"/>
    </row>
    <row r="597" spans="1:12" ht="24">
      <c r="A597" s="200"/>
      <c r="B597" s="145"/>
      <c r="C597" s="61" t="s">
        <v>247</v>
      </c>
      <c r="D597" s="67"/>
      <c r="E597" s="159">
        <v>17</v>
      </c>
      <c r="F597" s="159" t="s">
        <v>184</v>
      </c>
      <c r="G597" s="160"/>
      <c r="H597" s="161">
        <f t="shared" si="134"/>
        <v>0</v>
      </c>
      <c r="I597" s="160"/>
      <c r="J597" s="161">
        <f t="shared" si="135"/>
        <v>0</v>
      </c>
      <c r="K597" s="159">
        <f t="shared" si="136"/>
        <v>0</v>
      </c>
      <c r="L597" s="162"/>
    </row>
    <row r="598" spans="1:12" ht="24">
      <c r="A598" s="200"/>
      <c r="B598" s="144" t="s">
        <v>249</v>
      </c>
      <c r="C598" s="61"/>
      <c r="D598" s="55"/>
      <c r="E598" s="159"/>
      <c r="F598" s="159"/>
      <c r="G598" s="160"/>
      <c r="H598" s="161"/>
      <c r="I598" s="160"/>
      <c r="J598" s="161"/>
      <c r="K598" s="159"/>
      <c r="L598" s="162"/>
    </row>
    <row r="599" spans="1:12" ht="24">
      <c r="A599" s="200"/>
      <c r="B599" s="145"/>
      <c r="C599" s="61" t="s">
        <v>244</v>
      </c>
      <c r="D599" s="62"/>
      <c r="E599" s="158"/>
      <c r="F599" s="158" t="s">
        <v>183</v>
      </c>
      <c r="G599" s="156"/>
      <c r="H599" s="161">
        <f t="shared" ref="H599:H602" si="137">ROUND(E599*G599,2)</f>
        <v>0</v>
      </c>
      <c r="I599" s="160"/>
      <c r="J599" s="161">
        <f t="shared" ref="J599:J602" si="138">ROUND(E599*I599,2)</f>
        <v>0</v>
      </c>
      <c r="K599" s="159">
        <f t="shared" ref="K599:K602" si="139">H599+J599</f>
        <v>0</v>
      </c>
      <c r="L599" s="162"/>
    </row>
    <row r="600" spans="1:12" ht="24">
      <c r="A600" s="200"/>
      <c r="B600" s="145"/>
      <c r="C600" s="61" t="s">
        <v>245</v>
      </c>
      <c r="D600" s="62"/>
      <c r="E600" s="158"/>
      <c r="F600" s="158" t="s">
        <v>184</v>
      </c>
      <c r="G600" s="156"/>
      <c r="H600" s="161">
        <f t="shared" si="137"/>
        <v>0</v>
      </c>
      <c r="I600" s="160"/>
      <c r="J600" s="161">
        <f t="shared" si="138"/>
        <v>0</v>
      </c>
      <c r="K600" s="159">
        <f t="shared" si="139"/>
        <v>0</v>
      </c>
      <c r="L600" s="162"/>
    </row>
    <row r="601" spans="1:12" ht="24">
      <c r="A601" s="200"/>
      <c r="B601" s="145"/>
      <c r="C601" s="61" t="s">
        <v>246</v>
      </c>
      <c r="D601" s="67"/>
      <c r="E601" s="159"/>
      <c r="F601" s="159" t="s">
        <v>183</v>
      </c>
      <c r="G601" s="160"/>
      <c r="H601" s="161">
        <f t="shared" si="137"/>
        <v>0</v>
      </c>
      <c r="I601" s="160"/>
      <c r="J601" s="161">
        <f t="shared" si="138"/>
        <v>0</v>
      </c>
      <c r="K601" s="159">
        <f t="shared" si="139"/>
        <v>0</v>
      </c>
      <c r="L601" s="162"/>
    </row>
    <row r="602" spans="1:12" ht="24">
      <c r="A602" s="201"/>
      <c r="B602" s="145"/>
      <c r="C602" s="61" t="s">
        <v>375</v>
      </c>
      <c r="D602" s="67"/>
      <c r="E602" s="159"/>
      <c r="F602" s="159" t="s">
        <v>184</v>
      </c>
      <c r="G602" s="160"/>
      <c r="H602" s="161">
        <f t="shared" si="137"/>
        <v>0</v>
      </c>
      <c r="I602" s="160"/>
      <c r="J602" s="161">
        <f t="shared" si="138"/>
        <v>0</v>
      </c>
      <c r="K602" s="159">
        <f t="shared" si="139"/>
        <v>0</v>
      </c>
      <c r="L602" s="162"/>
    </row>
    <row r="603" spans="1:12" ht="24">
      <c r="A603" s="201"/>
      <c r="B603" s="60"/>
      <c r="C603" s="61"/>
      <c r="D603" s="67"/>
      <c r="E603" s="159"/>
      <c r="F603" s="159"/>
      <c r="G603" s="160"/>
      <c r="H603" s="161"/>
      <c r="I603" s="160"/>
      <c r="J603" s="161"/>
      <c r="K603" s="159"/>
      <c r="L603" s="162"/>
    </row>
    <row r="604" spans="1:12" ht="24">
      <c r="A604" s="201"/>
      <c r="B604" s="60"/>
      <c r="C604" s="61"/>
      <c r="D604" s="67"/>
      <c r="E604" s="159"/>
      <c r="F604" s="159"/>
      <c r="G604" s="160"/>
      <c r="H604" s="161"/>
      <c r="I604" s="160"/>
      <c r="J604" s="161"/>
      <c r="K604" s="159"/>
      <c r="L604" s="162"/>
    </row>
    <row r="605" spans="1:12" ht="24">
      <c r="A605" s="206"/>
      <c r="B605" s="144" t="s">
        <v>250</v>
      </c>
      <c r="C605" s="61"/>
      <c r="D605" s="55"/>
      <c r="E605" s="159"/>
      <c r="F605" s="159"/>
      <c r="G605" s="160"/>
      <c r="H605" s="161"/>
      <c r="I605" s="160"/>
      <c r="J605" s="161"/>
      <c r="K605" s="159"/>
      <c r="L605" s="158"/>
    </row>
    <row r="606" spans="1:12" ht="24">
      <c r="A606" s="205"/>
      <c r="B606" s="145"/>
      <c r="C606" s="61" t="s">
        <v>244</v>
      </c>
      <c r="D606" s="62"/>
      <c r="E606" s="158">
        <v>4</v>
      </c>
      <c r="F606" s="158" t="s">
        <v>183</v>
      </c>
      <c r="G606" s="156"/>
      <c r="H606" s="161">
        <f t="shared" ref="H606:H609" si="140">ROUND(E606*G606,2)</f>
        <v>0</v>
      </c>
      <c r="I606" s="160"/>
      <c r="J606" s="161">
        <f t="shared" ref="J606:J609" si="141">ROUND(E606*I606,2)</f>
        <v>0</v>
      </c>
      <c r="K606" s="159">
        <f t="shared" ref="K606:K609" si="142">H606+J606</f>
        <v>0</v>
      </c>
      <c r="L606" s="162"/>
    </row>
    <row r="607" spans="1:12" ht="24">
      <c r="A607" s="200"/>
      <c r="B607" s="145"/>
      <c r="C607" s="61" t="s">
        <v>245</v>
      </c>
      <c r="D607" s="62"/>
      <c r="E607" s="158">
        <v>24</v>
      </c>
      <c r="F607" s="158" t="s">
        <v>184</v>
      </c>
      <c r="G607" s="156"/>
      <c r="H607" s="161">
        <f t="shared" si="140"/>
        <v>0</v>
      </c>
      <c r="I607" s="160"/>
      <c r="J607" s="161">
        <f t="shared" si="141"/>
        <v>0</v>
      </c>
      <c r="K607" s="159">
        <f t="shared" si="142"/>
        <v>0</v>
      </c>
      <c r="L607" s="163"/>
    </row>
    <row r="608" spans="1:12" ht="24">
      <c r="A608" s="200"/>
      <c r="B608" s="145"/>
      <c r="C608" s="61" t="s">
        <v>246</v>
      </c>
      <c r="D608" s="67"/>
      <c r="E608" s="159">
        <v>9.7200000000000006</v>
      </c>
      <c r="F608" s="159" t="s">
        <v>183</v>
      </c>
      <c r="G608" s="160"/>
      <c r="H608" s="161">
        <f t="shared" si="140"/>
        <v>0</v>
      </c>
      <c r="I608" s="160"/>
      <c r="J608" s="161">
        <f t="shared" si="141"/>
        <v>0</v>
      </c>
      <c r="K608" s="159">
        <f t="shared" si="142"/>
        <v>0</v>
      </c>
      <c r="L608" s="163"/>
    </row>
    <row r="609" spans="1:12" ht="24">
      <c r="A609" s="200"/>
      <c r="B609" s="145"/>
      <c r="C609" s="61" t="s">
        <v>247</v>
      </c>
      <c r="D609" s="67"/>
      <c r="E609" s="159">
        <v>12</v>
      </c>
      <c r="F609" s="159" t="s">
        <v>184</v>
      </c>
      <c r="G609" s="160"/>
      <c r="H609" s="161">
        <f t="shared" si="140"/>
        <v>0</v>
      </c>
      <c r="I609" s="160"/>
      <c r="J609" s="161">
        <f t="shared" si="141"/>
        <v>0</v>
      </c>
      <c r="K609" s="159">
        <f t="shared" si="142"/>
        <v>0</v>
      </c>
      <c r="L609" s="162"/>
    </row>
    <row r="610" spans="1:12" ht="24">
      <c r="A610" s="200"/>
      <c r="B610" s="144" t="s">
        <v>251</v>
      </c>
      <c r="C610" s="61"/>
      <c r="D610" s="55"/>
      <c r="E610" s="159"/>
      <c r="F610" s="159"/>
      <c r="G610" s="160"/>
      <c r="H610" s="161"/>
      <c r="I610" s="160"/>
      <c r="J610" s="161"/>
      <c r="K610" s="159"/>
      <c r="L610" s="162"/>
    </row>
    <row r="611" spans="1:12" ht="24">
      <c r="A611" s="200"/>
      <c r="B611" s="145"/>
      <c r="C611" s="61" t="s">
        <v>244</v>
      </c>
      <c r="D611" s="62"/>
      <c r="E611" s="158">
        <v>6.44</v>
      </c>
      <c r="F611" s="158" t="s">
        <v>183</v>
      </c>
      <c r="G611" s="156"/>
      <c r="H611" s="161">
        <f t="shared" ref="H611:H614" si="143">ROUND(E611*G611,2)</f>
        <v>0</v>
      </c>
      <c r="I611" s="160"/>
      <c r="J611" s="161">
        <f t="shared" ref="J611:J614" si="144">ROUND(E611*I611,2)</f>
        <v>0</v>
      </c>
      <c r="K611" s="159">
        <f t="shared" ref="K611:K614" si="145">H611+J611</f>
        <v>0</v>
      </c>
      <c r="L611" s="162"/>
    </row>
    <row r="612" spans="1:12" ht="24">
      <c r="A612" s="200"/>
      <c r="B612" s="145"/>
      <c r="C612" s="61" t="s">
        <v>245</v>
      </c>
      <c r="D612" s="62"/>
      <c r="E612" s="158">
        <v>8.4</v>
      </c>
      <c r="F612" s="158" t="s">
        <v>184</v>
      </c>
      <c r="G612" s="156"/>
      <c r="H612" s="161">
        <f t="shared" si="143"/>
        <v>0</v>
      </c>
      <c r="I612" s="160"/>
      <c r="J612" s="161">
        <f t="shared" si="144"/>
        <v>0</v>
      </c>
      <c r="K612" s="159">
        <f t="shared" si="145"/>
        <v>0</v>
      </c>
      <c r="L612" s="162"/>
    </row>
    <row r="613" spans="1:12" ht="24">
      <c r="A613" s="200"/>
      <c r="B613" s="145"/>
      <c r="C613" s="61" t="s">
        <v>246</v>
      </c>
      <c r="D613" s="67"/>
      <c r="E613" s="159">
        <v>4.03</v>
      </c>
      <c r="F613" s="159" t="s">
        <v>183</v>
      </c>
      <c r="G613" s="160"/>
      <c r="H613" s="161">
        <f t="shared" si="143"/>
        <v>0</v>
      </c>
      <c r="I613" s="160"/>
      <c r="J613" s="161">
        <f t="shared" si="144"/>
        <v>0</v>
      </c>
      <c r="K613" s="159">
        <f t="shared" si="145"/>
        <v>0</v>
      </c>
      <c r="L613" s="162"/>
    </row>
    <row r="614" spans="1:12" ht="24">
      <c r="A614" s="200"/>
      <c r="B614" s="145"/>
      <c r="C614" s="61" t="s">
        <v>247</v>
      </c>
      <c r="D614" s="67"/>
      <c r="E614" s="159">
        <v>0</v>
      </c>
      <c r="F614" s="159" t="s">
        <v>184</v>
      </c>
      <c r="G614" s="160"/>
      <c r="H614" s="161">
        <f t="shared" si="143"/>
        <v>0</v>
      </c>
      <c r="I614" s="160"/>
      <c r="J614" s="161">
        <f t="shared" si="144"/>
        <v>0</v>
      </c>
      <c r="K614" s="159">
        <f t="shared" si="145"/>
        <v>0</v>
      </c>
      <c r="L614" s="162"/>
    </row>
    <row r="615" spans="1:12" ht="24">
      <c r="A615" s="200"/>
      <c r="B615" s="144" t="s">
        <v>252</v>
      </c>
      <c r="C615" s="61"/>
      <c r="D615" s="55"/>
      <c r="E615" s="159"/>
      <c r="F615" s="159"/>
      <c r="G615" s="160"/>
      <c r="H615" s="161"/>
      <c r="I615" s="160"/>
      <c r="J615" s="161"/>
      <c r="K615" s="159"/>
      <c r="L615" s="162"/>
    </row>
    <row r="616" spans="1:12" ht="24">
      <c r="A616" s="200"/>
      <c r="B616" s="145"/>
      <c r="C616" s="61" t="s">
        <v>244</v>
      </c>
      <c r="D616" s="62"/>
      <c r="E616" s="158"/>
      <c r="F616" s="158" t="s">
        <v>183</v>
      </c>
      <c r="G616" s="156"/>
      <c r="H616" s="161">
        <f t="shared" ref="H616:H619" si="146">ROUND(E616*G616,2)</f>
        <v>0</v>
      </c>
      <c r="I616" s="160"/>
      <c r="J616" s="161">
        <f t="shared" ref="J616:J619" si="147">ROUND(E616*I616,2)</f>
        <v>0</v>
      </c>
      <c r="K616" s="159">
        <f t="shared" ref="K616:K619" si="148">H616+J616</f>
        <v>0</v>
      </c>
      <c r="L616" s="162"/>
    </row>
    <row r="617" spans="1:12" ht="24">
      <c r="A617" s="200"/>
      <c r="B617" s="145"/>
      <c r="C617" s="61" t="s">
        <v>245</v>
      </c>
      <c r="D617" s="62"/>
      <c r="E617" s="158"/>
      <c r="F617" s="158" t="s">
        <v>184</v>
      </c>
      <c r="G617" s="156"/>
      <c r="H617" s="161">
        <f t="shared" si="146"/>
        <v>0</v>
      </c>
      <c r="I617" s="160"/>
      <c r="J617" s="161">
        <f t="shared" si="147"/>
        <v>0</v>
      </c>
      <c r="K617" s="159">
        <f t="shared" si="148"/>
        <v>0</v>
      </c>
      <c r="L617" s="162"/>
    </row>
    <row r="618" spans="1:12" ht="24">
      <c r="A618" s="200"/>
      <c r="B618" s="145"/>
      <c r="C618" s="61" t="s">
        <v>246</v>
      </c>
      <c r="D618" s="67"/>
      <c r="E618" s="159"/>
      <c r="F618" s="159" t="s">
        <v>183</v>
      </c>
      <c r="G618" s="160"/>
      <c r="H618" s="161">
        <f t="shared" si="146"/>
        <v>0</v>
      </c>
      <c r="I618" s="160"/>
      <c r="J618" s="161">
        <f t="shared" si="147"/>
        <v>0</v>
      </c>
      <c r="K618" s="159">
        <f t="shared" si="148"/>
        <v>0</v>
      </c>
      <c r="L618" s="162"/>
    </row>
    <row r="619" spans="1:12" ht="24">
      <c r="A619" s="200"/>
      <c r="B619" s="145"/>
      <c r="C619" s="61" t="s">
        <v>247</v>
      </c>
      <c r="D619" s="67"/>
      <c r="E619" s="159"/>
      <c r="F619" s="159" t="s">
        <v>184</v>
      </c>
      <c r="G619" s="160"/>
      <c r="H619" s="161">
        <f t="shared" si="146"/>
        <v>0</v>
      </c>
      <c r="I619" s="160"/>
      <c r="J619" s="161">
        <f t="shared" si="147"/>
        <v>0</v>
      </c>
      <c r="K619" s="159">
        <f t="shared" si="148"/>
        <v>0</v>
      </c>
      <c r="L619" s="162"/>
    </row>
    <row r="620" spans="1:12" ht="24">
      <c r="A620" s="201"/>
      <c r="B620" s="145"/>
      <c r="C620" s="61"/>
      <c r="D620" s="67"/>
      <c r="E620" s="159"/>
      <c r="F620" s="159"/>
      <c r="G620" s="160"/>
      <c r="H620" s="161"/>
      <c r="I620" s="160"/>
      <c r="J620" s="161"/>
      <c r="K620" s="159"/>
      <c r="L620" s="162"/>
    </row>
    <row r="621" spans="1:12" ht="24">
      <c r="A621" s="201"/>
      <c r="B621" s="60"/>
      <c r="C621" s="61"/>
      <c r="D621" s="67"/>
      <c r="E621" s="159"/>
      <c r="F621" s="159"/>
      <c r="G621" s="160"/>
      <c r="H621" s="161"/>
      <c r="I621" s="160"/>
      <c r="J621" s="161"/>
      <c r="K621" s="159"/>
      <c r="L621" s="162"/>
    </row>
    <row r="622" spans="1:12" ht="24">
      <c r="A622" s="201"/>
      <c r="B622" s="60"/>
      <c r="C622" s="61"/>
      <c r="D622" s="67"/>
      <c r="E622" s="159"/>
      <c r="F622" s="159"/>
      <c r="G622" s="160"/>
      <c r="H622" s="161"/>
      <c r="I622" s="160"/>
      <c r="J622" s="161"/>
      <c r="K622" s="159"/>
      <c r="L622" s="162"/>
    </row>
    <row r="623" spans="1:12" ht="24">
      <c r="A623" s="201"/>
      <c r="B623" s="60"/>
      <c r="C623" s="61"/>
      <c r="D623" s="67"/>
      <c r="E623" s="159"/>
      <c r="F623" s="159"/>
      <c r="G623" s="160"/>
      <c r="H623" s="161"/>
      <c r="I623" s="160"/>
      <c r="J623" s="161"/>
      <c r="K623" s="159"/>
      <c r="L623" s="162"/>
    </row>
    <row r="624" spans="1:12" ht="24">
      <c r="A624" s="201"/>
      <c r="B624" s="60"/>
      <c r="C624" s="61"/>
      <c r="D624" s="67"/>
      <c r="E624" s="159"/>
      <c r="F624" s="159"/>
      <c r="G624" s="160"/>
      <c r="H624" s="161"/>
      <c r="I624" s="160"/>
      <c r="J624" s="161"/>
      <c r="K624" s="159"/>
      <c r="L624" s="162"/>
    </row>
    <row r="625" spans="1:12" ht="24.75" thickBot="1">
      <c r="A625" s="201"/>
      <c r="B625" s="60"/>
      <c r="C625" s="61"/>
      <c r="D625" s="67"/>
      <c r="E625" s="159"/>
      <c r="F625" s="159"/>
      <c r="G625" s="160"/>
      <c r="H625" s="161"/>
      <c r="I625" s="160"/>
      <c r="J625" s="161"/>
      <c r="K625" s="159"/>
      <c r="L625" s="162"/>
    </row>
    <row r="626" spans="1:12" ht="24.75" thickTop="1">
      <c r="A626" s="149"/>
      <c r="B626" s="1981" t="s">
        <v>69</v>
      </c>
      <c r="C626" s="1982"/>
      <c r="D626" s="1983"/>
      <c r="E626" s="164"/>
      <c r="F626" s="164"/>
      <c r="G626" s="165"/>
      <c r="H626" s="166"/>
      <c r="I626" s="165"/>
      <c r="J626" s="166"/>
      <c r="K626" s="164">
        <f>SUM(K589:K625)</f>
        <v>0</v>
      </c>
      <c r="L626" s="167"/>
    </row>
    <row r="627" spans="1:12" ht="24">
      <c r="A627" s="207" t="s">
        <v>255</v>
      </c>
      <c r="B627" s="148" t="s">
        <v>116</v>
      </c>
      <c r="C627" s="192"/>
      <c r="D627" s="193"/>
      <c r="E627" s="155"/>
      <c r="F627" s="155"/>
      <c r="G627" s="156"/>
      <c r="H627" s="157"/>
      <c r="I627" s="156"/>
      <c r="J627" s="157"/>
      <c r="K627" s="158"/>
      <c r="L627" s="158"/>
    </row>
    <row r="628" spans="1:12" ht="24">
      <c r="A628" s="205"/>
      <c r="B628" s="134" t="s">
        <v>256</v>
      </c>
      <c r="C628" s="54"/>
      <c r="D628" s="55"/>
      <c r="E628" s="159">
        <v>1440</v>
      </c>
      <c r="F628" s="158" t="s">
        <v>183</v>
      </c>
      <c r="G628" s="156">
        <v>340</v>
      </c>
      <c r="H628" s="161">
        <f t="shared" ref="H628" si="149">ROUND(E628*G628,2)</f>
        <v>489600</v>
      </c>
      <c r="I628" s="160">
        <v>70</v>
      </c>
      <c r="J628" s="161">
        <f t="shared" ref="J628" si="150">ROUND(E628*I628,2)</f>
        <v>100800</v>
      </c>
      <c r="K628" s="159">
        <f t="shared" ref="K628" si="151">H628+J628</f>
        <v>590400</v>
      </c>
      <c r="L628" s="162"/>
    </row>
    <row r="629" spans="1:12" ht="24">
      <c r="A629" s="200"/>
      <c r="B629" s="133" t="s">
        <v>265</v>
      </c>
      <c r="C629" s="61"/>
      <c r="D629" s="62"/>
      <c r="E629" s="158">
        <v>64</v>
      </c>
      <c r="F629" s="158" t="s">
        <v>184</v>
      </c>
      <c r="G629" s="156">
        <v>260</v>
      </c>
      <c r="H629" s="161">
        <f t="shared" ref="H629:H630" si="152">ROUND(E629*G629,2)</f>
        <v>16640</v>
      </c>
      <c r="I629" s="160">
        <v>50</v>
      </c>
      <c r="J629" s="161">
        <f t="shared" ref="J629:J630" si="153">ROUND(E629*I629,2)</f>
        <v>3200</v>
      </c>
      <c r="K629" s="159">
        <f t="shared" ref="K629:K630" si="154">H629+J629</f>
        <v>19840</v>
      </c>
      <c r="L629" s="163"/>
    </row>
    <row r="630" spans="1:12" ht="24">
      <c r="A630" s="200"/>
      <c r="B630" s="133" t="s">
        <v>257</v>
      </c>
      <c r="C630" s="61"/>
      <c r="D630" s="62"/>
      <c r="E630" s="158">
        <v>1440</v>
      </c>
      <c r="F630" s="158" t="s">
        <v>183</v>
      </c>
      <c r="G630" s="156">
        <v>120</v>
      </c>
      <c r="H630" s="161">
        <f t="shared" si="152"/>
        <v>172800</v>
      </c>
      <c r="I630" s="160">
        <v>0</v>
      </c>
      <c r="J630" s="161">
        <f t="shared" si="153"/>
        <v>0</v>
      </c>
      <c r="K630" s="159">
        <f t="shared" si="154"/>
        <v>172800</v>
      </c>
      <c r="L630" s="163"/>
    </row>
    <row r="631" spans="1:12" ht="24">
      <c r="A631" s="200"/>
      <c r="B631" s="222" t="s">
        <v>343</v>
      </c>
      <c r="C631" s="61"/>
      <c r="D631" s="67"/>
      <c r="E631" s="159">
        <v>134</v>
      </c>
      <c r="F631" s="159" t="s">
        <v>184</v>
      </c>
      <c r="G631" s="160"/>
      <c r="H631" s="161"/>
      <c r="I631" s="160"/>
      <c r="J631" s="161"/>
      <c r="K631" s="159"/>
      <c r="L631" s="162"/>
    </row>
    <row r="632" spans="1:12" ht="24">
      <c r="A632" s="200"/>
      <c r="B632" s="222" t="s">
        <v>381</v>
      </c>
      <c r="C632" s="61"/>
      <c r="D632" s="67"/>
      <c r="E632" s="159">
        <f>67.32+78.72+78.72+19.92+19.92</f>
        <v>264.60000000000002</v>
      </c>
      <c r="F632" s="159" t="s">
        <v>183</v>
      </c>
      <c r="G632" s="160"/>
      <c r="H632" s="161"/>
      <c r="I632" s="160"/>
      <c r="J632" s="161"/>
      <c r="K632" s="159"/>
      <c r="L632" s="162"/>
    </row>
    <row r="633" spans="1:12" ht="24">
      <c r="A633" s="200"/>
      <c r="B633" s="222" t="s">
        <v>382</v>
      </c>
      <c r="C633" s="61"/>
      <c r="D633" s="67"/>
      <c r="E633" s="159">
        <f>42.4+42.4+67.32</f>
        <v>152.12</v>
      </c>
      <c r="F633" s="159" t="s">
        <v>184</v>
      </c>
      <c r="G633" s="160"/>
      <c r="H633" s="161"/>
      <c r="I633" s="160"/>
      <c r="J633" s="161"/>
      <c r="K633" s="159"/>
      <c r="L633" s="162"/>
    </row>
    <row r="634" spans="1:12" ht="24">
      <c r="A634" s="200"/>
      <c r="B634" s="222" t="s">
        <v>383</v>
      </c>
      <c r="C634" s="61"/>
      <c r="D634" s="67"/>
      <c r="E634" s="159">
        <v>152.12</v>
      </c>
      <c r="F634" s="159" t="s">
        <v>184</v>
      </c>
      <c r="G634" s="160"/>
      <c r="H634" s="161"/>
      <c r="I634" s="160"/>
      <c r="J634" s="161"/>
      <c r="K634" s="159"/>
      <c r="L634" s="162"/>
    </row>
    <row r="635" spans="1:12" ht="24">
      <c r="A635" s="200"/>
      <c r="B635" s="60"/>
      <c r="C635" s="61"/>
      <c r="D635" s="67"/>
      <c r="E635" s="159"/>
      <c r="F635" s="159"/>
      <c r="G635" s="160"/>
      <c r="H635" s="161"/>
      <c r="I635" s="160"/>
      <c r="J635" s="161"/>
      <c r="K635" s="159"/>
      <c r="L635" s="162"/>
    </row>
    <row r="636" spans="1:12" ht="24">
      <c r="A636" s="200"/>
      <c r="B636" s="60"/>
      <c r="C636" s="61"/>
      <c r="D636" s="67"/>
      <c r="E636" s="159"/>
      <c r="F636" s="159"/>
      <c r="G636" s="160"/>
      <c r="H636" s="161"/>
      <c r="I636" s="160"/>
      <c r="J636" s="161"/>
      <c r="K636" s="159"/>
      <c r="L636" s="162"/>
    </row>
    <row r="637" spans="1:12" ht="24">
      <c r="A637" s="200"/>
      <c r="B637" s="60"/>
      <c r="C637" s="61"/>
      <c r="D637" s="67"/>
      <c r="E637" s="159"/>
      <c r="F637" s="159"/>
      <c r="G637" s="160"/>
      <c r="H637" s="161"/>
      <c r="I637" s="160"/>
      <c r="J637" s="161"/>
      <c r="K637" s="159"/>
      <c r="L637" s="162"/>
    </row>
    <row r="638" spans="1:12" ht="24">
      <c r="A638" s="200"/>
      <c r="B638" s="60"/>
      <c r="C638" s="61"/>
      <c r="D638" s="67"/>
      <c r="E638" s="159"/>
      <c r="F638" s="159"/>
      <c r="G638" s="160"/>
      <c r="H638" s="161"/>
      <c r="I638" s="160"/>
      <c r="J638" s="161"/>
      <c r="K638" s="159"/>
      <c r="L638" s="162"/>
    </row>
    <row r="639" spans="1:12" ht="24">
      <c r="A639" s="200"/>
      <c r="B639" s="60"/>
      <c r="C639" s="61"/>
      <c r="D639" s="67"/>
      <c r="E639" s="159"/>
      <c r="F639" s="159"/>
      <c r="G639" s="160"/>
      <c r="H639" s="161"/>
      <c r="I639" s="160"/>
      <c r="J639" s="161"/>
      <c r="K639" s="159"/>
      <c r="L639" s="162"/>
    </row>
    <row r="640" spans="1:12" ht="24">
      <c r="A640" s="200"/>
      <c r="B640" s="60"/>
      <c r="C640" s="61"/>
      <c r="D640" s="67"/>
      <c r="E640" s="159"/>
      <c r="F640" s="159"/>
      <c r="G640" s="160"/>
      <c r="H640" s="161"/>
      <c r="I640" s="160"/>
      <c r="J640" s="161"/>
      <c r="K640" s="159"/>
      <c r="L640" s="162"/>
    </row>
    <row r="641" spans="1:12" ht="24">
      <c r="A641" s="200"/>
      <c r="B641" s="60"/>
      <c r="C641" s="61"/>
      <c r="D641" s="67"/>
      <c r="E641" s="159"/>
      <c r="F641" s="159"/>
      <c r="G641" s="160"/>
      <c r="H641" s="161"/>
      <c r="I641" s="160"/>
      <c r="J641" s="161"/>
      <c r="K641" s="159"/>
      <c r="L641" s="162"/>
    </row>
    <row r="642" spans="1:12" ht="24">
      <c r="A642" s="200"/>
      <c r="B642" s="60"/>
      <c r="C642" s="61"/>
      <c r="D642" s="67"/>
      <c r="E642" s="159"/>
      <c r="F642" s="159"/>
      <c r="G642" s="160"/>
      <c r="H642" s="161"/>
      <c r="I642" s="160"/>
      <c r="J642" s="161"/>
      <c r="K642" s="159"/>
      <c r="L642" s="162"/>
    </row>
    <row r="643" spans="1:12" ht="24">
      <c r="A643" s="201"/>
      <c r="B643" s="60"/>
      <c r="C643" s="61"/>
      <c r="D643" s="67"/>
      <c r="E643" s="159"/>
      <c r="F643" s="159"/>
      <c r="G643" s="160"/>
      <c r="H643" s="161"/>
      <c r="I643" s="160"/>
      <c r="J643" s="161"/>
      <c r="K643" s="159"/>
      <c r="L643" s="162"/>
    </row>
    <row r="644" spans="1:12" ht="24">
      <c r="A644" s="201"/>
      <c r="B644" s="60"/>
      <c r="C644" s="61"/>
      <c r="D644" s="67"/>
      <c r="E644" s="159"/>
      <c r="F644" s="159"/>
      <c r="G644" s="160"/>
      <c r="H644" s="161"/>
      <c r="I644" s="160"/>
      <c r="J644" s="161"/>
      <c r="K644" s="159"/>
      <c r="L644" s="162"/>
    </row>
    <row r="645" spans="1:12" ht="24">
      <c r="A645" s="201"/>
      <c r="B645" s="60"/>
      <c r="C645" s="61"/>
      <c r="D645" s="67"/>
      <c r="E645" s="159"/>
      <c r="F645" s="159"/>
      <c r="G645" s="160"/>
      <c r="H645" s="161"/>
      <c r="I645" s="160"/>
      <c r="J645" s="161"/>
      <c r="K645" s="159"/>
      <c r="L645" s="162"/>
    </row>
    <row r="646" spans="1:12" ht="24">
      <c r="A646" s="201"/>
      <c r="B646" s="60"/>
      <c r="C646" s="61"/>
      <c r="D646" s="67"/>
      <c r="E646" s="159"/>
      <c r="F646" s="159"/>
      <c r="G646" s="160"/>
      <c r="H646" s="161"/>
      <c r="I646" s="160"/>
      <c r="J646" s="161"/>
      <c r="K646" s="159"/>
      <c r="L646" s="162"/>
    </row>
    <row r="647" spans="1:12" ht="24.75" thickBot="1">
      <c r="A647" s="201"/>
      <c r="B647" s="60"/>
      <c r="C647" s="61"/>
      <c r="D647" s="67"/>
      <c r="E647" s="159"/>
      <c r="F647" s="159"/>
      <c r="G647" s="160"/>
      <c r="H647" s="161"/>
      <c r="I647" s="160"/>
      <c r="J647" s="161"/>
      <c r="K647" s="159"/>
      <c r="L647" s="162"/>
    </row>
    <row r="648" spans="1:12" ht="24.75" thickTop="1">
      <c r="A648" s="149"/>
      <c r="B648" s="1981" t="s">
        <v>69</v>
      </c>
      <c r="C648" s="1982"/>
      <c r="D648" s="1983"/>
      <c r="E648" s="164"/>
      <c r="F648" s="164"/>
      <c r="G648" s="165"/>
      <c r="H648" s="166"/>
      <c r="I648" s="165"/>
      <c r="J648" s="166"/>
      <c r="K648" s="164">
        <f>SUM(K628:K647)</f>
        <v>783040</v>
      </c>
      <c r="L648" s="167"/>
    </row>
    <row r="649" spans="1:12" ht="24">
      <c r="A649" s="207" t="s">
        <v>258</v>
      </c>
      <c r="B649" s="148" t="s">
        <v>259</v>
      </c>
      <c r="C649" s="192"/>
      <c r="D649" s="193"/>
      <c r="E649" s="155"/>
      <c r="F649" s="155"/>
      <c r="G649" s="156"/>
      <c r="H649" s="157"/>
      <c r="I649" s="156"/>
      <c r="J649" s="157"/>
      <c r="K649" s="158"/>
      <c r="L649" s="158"/>
    </row>
    <row r="650" spans="1:12" ht="24">
      <c r="A650" s="205"/>
      <c r="B650" s="145" t="s">
        <v>139</v>
      </c>
      <c r="C650" s="61" t="s">
        <v>140</v>
      </c>
      <c r="D650" s="62"/>
      <c r="E650" s="227">
        <f>213.19+184.8+141.96+1005+420+1005+432</f>
        <v>3401.95</v>
      </c>
      <c r="F650" s="158" t="s">
        <v>183</v>
      </c>
      <c r="G650" s="156">
        <v>55</v>
      </c>
      <c r="H650" s="161">
        <f t="shared" ref="H650:H654" si="155">ROUND(E650*G650,2)</f>
        <v>187107.25</v>
      </c>
      <c r="I650" s="156">
        <v>30</v>
      </c>
      <c r="J650" s="161">
        <f t="shared" ref="J650:J653" si="156">ROUND(E650*I650,2)</f>
        <v>102058.5</v>
      </c>
      <c r="K650" s="159">
        <f t="shared" ref="K650:K653" si="157">ROUND(H650+J650,2)</f>
        <v>289165.75</v>
      </c>
      <c r="L650" s="163"/>
    </row>
    <row r="651" spans="1:12" ht="24">
      <c r="A651" s="200"/>
      <c r="B651" s="60" t="s">
        <v>134</v>
      </c>
      <c r="C651" s="61" t="s">
        <v>232</v>
      </c>
      <c r="D651" s="67"/>
      <c r="E651" s="159">
        <f>E650</f>
        <v>3401.95</v>
      </c>
      <c r="F651" s="159" t="s">
        <v>183</v>
      </c>
      <c r="G651" s="160">
        <v>58</v>
      </c>
      <c r="H651" s="161">
        <f t="shared" si="155"/>
        <v>197313.1</v>
      </c>
      <c r="I651" s="156">
        <v>82</v>
      </c>
      <c r="J651" s="161">
        <f t="shared" si="156"/>
        <v>278959.90000000002</v>
      </c>
      <c r="K651" s="159">
        <f t="shared" si="157"/>
        <v>476273</v>
      </c>
      <c r="L651" s="163"/>
    </row>
    <row r="652" spans="1:12" ht="24">
      <c r="A652" s="200"/>
      <c r="B652" s="145" t="s">
        <v>131</v>
      </c>
      <c r="C652" s="61" t="s">
        <v>228</v>
      </c>
      <c r="D652" s="67"/>
      <c r="E652" s="194">
        <f>177.32+153.72+141.96</f>
        <v>473</v>
      </c>
      <c r="F652" s="159" t="s">
        <v>183</v>
      </c>
      <c r="G652" s="160">
        <v>225</v>
      </c>
      <c r="H652" s="161">
        <f t="shared" si="155"/>
        <v>106425</v>
      </c>
      <c r="I652" s="156">
        <v>55</v>
      </c>
      <c r="J652" s="161">
        <f t="shared" si="156"/>
        <v>26015</v>
      </c>
      <c r="K652" s="159">
        <f t="shared" si="157"/>
        <v>132440</v>
      </c>
      <c r="L652" s="163"/>
    </row>
    <row r="653" spans="1:12" ht="24">
      <c r="A653" s="200"/>
      <c r="B653" s="60"/>
      <c r="C653" s="61" t="s">
        <v>137</v>
      </c>
      <c r="D653" s="67"/>
      <c r="E653" s="159">
        <f>E652*0.8</f>
        <v>378.40000000000003</v>
      </c>
      <c r="F653" s="159" t="s">
        <v>184</v>
      </c>
      <c r="G653" s="160">
        <v>70</v>
      </c>
      <c r="H653" s="161">
        <f t="shared" si="155"/>
        <v>26488</v>
      </c>
      <c r="I653" s="156">
        <v>35</v>
      </c>
      <c r="J653" s="161">
        <f t="shared" si="156"/>
        <v>13244</v>
      </c>
      <c r="K653" s="159">
        <f t="shared" si="157"/>
        <v>39732</v>
      </c>
      <c r="L653" s="162"/>
    </row>
    <row r="654" spans="1:12" ht="24">
      <c r="A654" s="200"/>
      <c r="B654" s="145" t="s">
        <v>133</v>
      </c>
      <c r="C654" s="61" t="s">
        <v>376</v>
      </c>
      <c r="D654" s="67"/>
      <c r="E654" s="159">
        <f>9+24+24+9+8+8+16.6+16.6+18+16.6+16.6+9+9+9+9+8+8+24+24+9+9+20.6+20.6</f>
        <v>325.60000000000002</v>
      </c>
      <c r="F654" s="159" t="s">
        <v>184</v>
      </c>
      <c r="G654" s="160"/>
      <c r="H654" s="161">
        <f t="shared" si="155"/>
        <v>0</v>
      </c>
      <c r="I654" s="156"/>
      <c r="J654" s="161">
        <f t="shared" ref="J654" si="158">ROUND(E654*I654,2)</f>
        <v>0</v>
      </c>
      <c r="K654" s="159">
        <f t="shared" ref="K654" si="159">ROUND(H654+J654,2)</f>
        <v>0</v>
      </c>
      <c r="L654" s="162"/>
    </row>
    <row r="655" spans="1:12" ht="24">
      <c r="A655" s="200"/>
      <c r="B655" s="145" t="s">
        <v>133</v>
      </c>
      <c r="C655" s="61" t="s">
        <v>377</v>
      </c>
      <c r="D655" s="67"/>
      <c r="E655" s="159">
        <f>4+4+8+8+8+8+4+8+8+8+7.6+3.6+3.8+3.6+2.9+3.8+8+8+2.9+5.1+3.8+3.8+8+3.8+24+3.8+12.6+25.05+2.9+8.2+5.1+8.2+8+3.8+3.8+8.2+3.8+3.6+3.6+3.8+4+8+8+8.2+2.9+3.8+3.8+3.8+8.2+8.2+8+3.8+3.8+2.8+2.8+2.8+8.2+8.2+8.2+8.2+8+8+8+6</f>
        <v>410.85</v>
      </c>
      <c r="F655" s="159" t="s">
        <v>184</v>
      </c>
      <c r="G655" s="160"/>
      <c r="H655" s="161">
        <f t="shared" ref="H655:H658" si="160">ROUND(E655*G655,2)</f>
        <v>0</v>
      </c>
      <c r="I655" s="156"/>
      <c r="J655" s="161">
        <f t="shared" ref="J655:J658" si="161">ROUND(E655*I655,2)</f>
        <v>0</v>
      </c>
      <c r="K655" s="159">
        <f t="shared" ref="K655:K658" si="162">ROUND(H655+J655,2)</f>
        <v>0</v>
      </c>
      <c r="L655" s="162"/>
    </row>
    <row r="656" spans="1:12" ht="24">
      <c r="A656" s="200"/>
      <c r="B656" s="145" t="s">
        <v>133</v>
      </c>
      <c r="C656" s="61" t="s">
        <v>378</v>
      </c>
      <c r="D656" s="67"/>
      <c r="E656" s="159"/>
      <c r="F656" s="159" t="s">
        <v>184</v>
      </c>
      <c r="G656" s="160"/>
      <c r="H656" s="161">
        <f t="shared" si="160"/>
        <v>0</v>
      </c>
      <c r="I656" s="156"/>
      <c r="J656" s="161">
        <f t="shared" si="161"/>
        <v>0</v>
      </c>
      <c r="K656" s="159">
        <f t="shared" si="162"/>
        <v>0</v>
      </c>
      <c r="L656" s="162"/>
    </row>
    <row r="657" spans="1:12" ht="24">
      <c r="A657" s="200"/>
      <c r="B657" s="145" t="s">
        <v>133</v>
      </c>
      <c r="C657" s="61" t="s">
        <v>378</v>
      </c>
      <c r="D657" s="67"/>
      <c r="E657" s="159"/>
      <c r="F657" s="159" t="s">
        <v>184</v>
      </c>
      <c r="G657" s="160"/>
      <c r="H657" s="161">
        <f t="shared" si="160"/>
        <v>0</v>
      </c>
      <c r="I657" s="156"/>
      <c r="J657" s="161">
        <f t="shared" si="161"/>
        <v>0</v>
      </c>
      <c r="K657" s="159">
        <f t="shared" si="162"/>
        <v>0</v>
      </c>
      <c r="L657" s="162"/>
    </row>
    <row r="658" spans="1:12" ht="24">
      <c r="A658" s="200"/>
      <c r="B658" s="145" t="s">
        <v>133</v>
      </c>
      <c r="C658" s="61" t="s">
        <v>260</v>
      </c>
      <c r="D658" s="67"/>
      <c r="E658" s="159"/>
      <c r="F658" s="159" t="s">
        <v>184</v>
      </c>
      <c r="G658" s="160"/>
      <c r="H658" s="161">
        <f t="shared" si="160"/>
        <v>0</v>
      </c>
      <c r="I658" s="156"/>
      <c r="J658" s="161">
        <f t="shared" si="161"/>
        <v>0</v>
      </c>
      <c r="K658" s="159">
        <f t="shared" si="162"/>
        <v>0</v>
      </c>
      <c r="L658" s="162"/>
    </row>
    <row r="659" spans="1:12" ht="24">
      <c r="A659" s="200"/>
      <c r="B659" s="60" t="s">
        <v>134</v>
      </c>
      <c r="C659" s="61" t="s">
        <v>261</v>
      </c>
      <c r="D659" s="67"/>
      <c r="E659" s="159">
        <f>25.2+126+113.4+42+176.4</f>
        <v>483</v>
      </c>
      <c r="F659" s="159" t="s">
        <v>184</v>
      </c>
      <c r="G659" s="160">
        <v>87</v>
      </c>
      <c r="H659" s="161">
        <f t="shared" ref="H659" si="163">ROUND(E659*G659,2)</f>
        <v>42021</v>
      </c>
      <c r="I659" s="156">
        <v>135</v>
      </c>
      <c r="J659" s="161">
        <f t="shared" ref="J659" si="164">ROUND(E659*I659,2)</f>
        <v>65205</v>
      </c>
      <c r="K659" s="159">
        <f t="shared" ref="K659" si="165">ROUND(H659+J659,2)</f>
        <v>107226</v>
      </c>
      <c r="L659" s="162"/>
    </row>
    <row r="660" spans="1:12" ht="24">
      <c r="A660" s="200"/>
      <c r="B660" s="222" t="s">
        <v>379</v>
      </c>
      <c r="C660" s="61"/>
      <c r="D660" s="67"/>
      <c r="E660" s="159"/>
      <c r="F660" s="159"/>
      <c r="G660" s="160"/>
      <c r="H660" s="161"/>
      <c r="I660" s="160"/>
      <c r="J660" s="161"/>
      <c r="K660" s="159"/>
      <c r="L660" s="162"/>
    </row>
    <row r="661" spans="1:12" ht="24">
      <c r="A661" s="200"/>
      <c r="B661" s="228" t="s">
        <v>134</v>
      </c>
      <c r="C661" s="61" t="s">
        <v>256</v>
      </c>
      <c r="D661" s="61"/>
      <c r="E661" s="213">
        <f>483.24+109.22</f>
        <v>592.46</v>
      </c>
      <c r="F661" s="158" t="s">
        <v>183</v>
      </c>
      <c r="G661" s="156">
        <v>340</v>
      </c>
      <c r="H661" s="161">
        <f t="shared" ref="H661" si="166">ROUND(E661*G661,2)</f>
        <v>201436.4</v>
      </c>
      <c r="I661" s="160">
        <v>70</v>
      </c>
      <c r="J661" s="161">
        <f t="shared" ref="J661" si="167">ROUND(E661*I661,2)</f>
        <v>41472.199999999997</v>
      </c>
      <c r="K661" s="159">
        <f t="shared" ref="K661" si="168">H661+J661</f>
        <v>242908.59999999998</v>
      </c>
      <c r="L661" s="162"/>
    </row>
    <row r="662" spans="1:12" ht="24">
      <c r="A662" s="200"/>
      <c r="B662" s="228" t="s">
        <v>134</v>
      </c>
      <c r="C662" s="133" t="s">
        <v>265</v>
      </c>
      <c r="D662" s="61"/>
      <c r="E662" s="213">
        <v>0</v>
      </c>
      <c r="F662" s="159"/>
      <c r="G662" s="160"/>
      <c r="H662" s="161"/>
      <c r="I662" s="160"/>
      <c r="J662" s="161"/>
      <c r="K662" s="159"/>
      <c r="L662" s="162"/>
    </row>
    <row r="663" spans="1:12" ht="24">
      <c r="A663" s="200"/>
      <c r="B663" s="228" t="s">
        <v>134</v>
      </c>
      <c r="C663" s="133" t="s">
        <v>257</v>
      </c>
      <c r="D663" s="61"/>
      <c r="E663" s="213">
        <v>0</v>
      </c>
      <c r="F663" s="159"/>
      <c r="G663" s="160"/>
      <c r="H663" s="161"/>
      <c r="I663" s="160"/>
      <c r="J663" s="161"/>
      <c r="K663" s="159"/>
      <c r="L663" s="162"/>
    </row>
    <row r="664" spans="1:12" ht="24">
      <c r="A664" s="201"/>
      <c r="B664" s="228" t="s">
        <v>134</v>
      </c>
      <c r="C664" s="222" t="s">
        <v>343</v>
      </c>
      <c r="D664" s="61"/>
      <c r="E664" s="213">
        <v>0</v>
      </c>
      <c r="F664" s="159"/>
      <c r="G664" s="160"/>
      <c r="H664" s="161"/>
      <c r="I664" s="160"/>
      <c r="J664" s="161"/>
      <c r="K664" s="159"/>
      <c r="L664" s="162"/>
    </row>
    <row r="665" spans="1:12" ht="24">
      <c r="A665" s="201"/>
      <c r="B665" s="228" t="s">
        <v>134</v>
      </c>
      <c r="C665" s="61" t="s">
        <v>380</v>
      </c>
      <c r="D665" s="61"/>
      <c r="E665" s="213">
        <v>8.6</v>
      </c>
      <c r="F665" s="159" t="s">
        <v>184</v>
      </c>
      <c r="G665" s="160"/>
      <c r="H665" s="161"/>
      <c r="I665" s="160"/>
      <c r="J665" s="161"/>
      <c r="K665" s="159"/>
      <c r="L665" s="162"/>
    </row>
    <row r="666" spans="1:12" ht="24">
      <c r="A666" s="201"/>
      <c r="B666" s="60"/>
      <c r="C666" s="61"/>
      <c r="D666" s="61"/>
      <c r="E666" s="213"/>
      <c r="F666" s="159"/>
      <c r="G666" s="160"/>
      <c r="H666" s="161"/>
      <c r="I666" s="160"/>
      <c r="J666" s="161"/>
      <c r="K666" s="159"/>
      <c r="L666" s="162"/>
    </row>
    <row r="667" spans="1:12" ht="24">
      <c r="A667" s="201"/>
      <c r="B667" s="60"/>
      <c r="C667" s="61"/>
      <c r="D667" s="67"/>
      <c r="E667" s="159"/>
      <c r="F667" s="159"/>
      <c r="G667" s="160"/>
      <c r="H667" s="161"/>
      <c r="I667" s="160"/>
      <c r="J667" s="161"/>
      <c r="K667" s="159"/>
      <c r="L667" s="162"/>
    </row>
    <row r="668" spans="1:12" ht="24.75" thickBot="1">
      <c r="A668" s="201"/>
      <c r="B668" s="60"/>
      <c r="C668" s="61"/>
      <c r="D668" s="67"/>
      <c r="E668" s="159"/>
      <c r="F668" s="159"/>
      <c r="G668" s="160"/>
      <c r="H668" s="161"/>
      <c r="I668" s="160"/>
      <c r="J668" s="161"/>
      <c r="K668" s="159"/>
      <c r="L668" s="162"/>
    </row>
    <row r="669" spans="1:12" ht="24.75" thickTop="1">
      <c r="A669" s="149"/>
      <c r="B669" s="1981" t="s">
        <v>69</v>
      </c>
      <c r="C669" s="1982"/>
      <c r="D669" s="1983"/>
      <c r="E669" s="164"/>
      <c r="F669" s="164"/>
      <c r="G669" s="165"/>
      <c r="H669" s="166"/>
      <c r="I669" s="165"/>
      <c r="J669" s="166"/>
      <c r="K669" s="164">
        <f>SUM(K650:K668)</f>
        <v>1287745.3500000001</v>
      </c>
      <c r="L669" s="167"/>
    </row>
    <row r="670" spans="1:12" ht="24">
      <c r="A670" s="202">
        <v>2.2000000000000002</v>
      </c>
      <c r="B670" s="2013" t="s">
        <v>209</v>
      </c>
      <c r="C670" s="2014"/>
      <c r="D670" s="2015"/>
      <c r="E670" s="155"/>
      <c r="F670" s="155"/>
      <c r="G670" s="156"/>
      <c r="H670" s="157"/>
      <c r="I670" s="156"/>
      <c r="J670" s="157"/>
      <c r="K670" s="158"/>
      <c r="L670" s="158"/>
    </row>
    <row r="671" spans="1:12" ht="24">
      <c r="A671" s="203"/>
      <c r="B671" s="2010"/>
      <c r="C671" s="2011"/>
      <c r="D671" s="2012"/>
      <c r="E671" s="159"/>
      <c r="F671" s="159"/>
      <c r="G671" s="160"/>
      <c r="H671" s="161"/>
      <c r="I671" s="160"/>
      <c r="J671" s="161"/>
      <c r="K671" s="159"/>
      <c r="L671" s="162"/>
    </row>
    <row r="672" spans="1:12" ht="24">
      <c r="A672" s="199" t="s">
        <v>268</v>
      </c>
      <c r="B672" s="133" t="s">
        <v>263</v>
      </c>
      <c r="C672" s="54"/>
      <c r="D672" s="62"/>
      <c r="E672" s="158"/>
      <c r="F672" s="158"/>
      <c r="G672" s="156"/>
      <c r="H672" s="157"/>
      <c r="I672" s="156"/>
      <c r="J672" s="157"/>
      <c r="K672" s="158"/>
      <c r="L672" s="163"/>
    </row>
    <row r="673" spans="1:12" ht="24">
      <c r="A673" s="199" t="s">
        <v>269</v>
      </c>
      <c r="B673" s="133" t="s">
        <v>264</v>
      </c>
      <c r="C673" s="61"/>
      <c r="D673" s="62"/>
      <c r="E673" s="158"/>
      <c r="F673" s="158"/>
      <c r="G673" s="156"/>
      <c r="H673" s="157"/>
      <c r="I673" s="156"/>
      <c r="J673" s="157"/>
      <c r="K673" s="158"/>
      <c r="L673" s="163"/>
    </row>
    <row r="674" spans="1:12" ht="24">
      <c r="A674" s="199" t="s">
        <v>271</v>
      </c>
      <c r="B674" s="133" t="s">
        <v>115</v>
      </c>
      <c r="C674" s="61"/>
      <c r="D674" s="67"/>
      <c r="E674" s="159"/>
      <c r="F674" s="159"/>
      <c r="G674" s="160"/>
      <c r="H674" s="161"/>
      <c r="I674" s="160"/>
      <c r="J674" s="161"/>
      <c r="K674" s="159"/>
      <c r="L674" s="162"/>
    </row>
    <row r="675" spans="1:12" ht="24">
      <c r="A675" s="199" t="s">
        <v>272</v>
      </c>
      <c r="B675" s="133" t="s">
        <v>116</v>
      </c>
      <c r="C675" s="61"/>
      <c r="D675" s="67"/>
      <c r="E675" s="159"/>
      <c r="F675" s="159"/>
      <c r="G675" s="160"/>
      <c r="H675" s="161"/>
      <c r="I675" s="160"/>
      <c r="J675" s="161"/>
      <c r="K675" s="159"/>
      <c r="L675" s="162"/>
    </row>
    <row r="676" spans="1:12" ht="24">
      <c r="A676" s="199" t="s">
        <v>280</v>
      </c>
      <c r="B676" s="133" t="s">
        <v>262</v>
      </c>
      <c r="C676" s="61"/>
      <c r="D676" s="67"/>
      <c r="E676" s="159"/>
      <c r="F676" s="159"/>
      <c r="G676" s="160"/>
      <c r="H676" s="161"/>
      <c r="I676" s="160"/>
      <c r="J676" s="161"/>
      <c r="K676" s="159"/>
      <c r="L676" s="162"/>
    </row>
    <row r="677" spans="1:12" ht="24">
      <c r="A677" s="199"/>
      <c r="B677" s="133"/>
      <c r="C677" s="61"/>
      <c r="D677" s="67"/>
      <c r="E677" s="159"/>
      <c r="F677" s="159"/>
      <c r="G677" s="160"/>
      <c r="H677" s="161"/>
      <c r="I677" s="160"/>
      <c r="J677" s="161"/>
      <c r="K677" s="159"/>
      <c r="L677" s="162"/>
    </row>
    <row r="678" spans="1:12" ht="24">
      <c r="A678" s="199"/>
      <c r="B678" s="133"/>
      <c r="C678" s="61"/>
      <c r="D678" s="67"/>
      <c r="E678" s="159"/>
      <c r="F678" s="159"/>
      <c r="G678" s="160"/>
      <c r="H678" s="161"/>
      <c r="I678" s="160"/>
      <c r="J678" s="161"/>
      <c r="K678" s="159"/>
      <c r="L678" s="162"/>
    </row>
    <row r="679" spans="1:12" ht="24">
      <c r="A679" s="199"/>
      <c r="B679" s="60"/>
      <c r="C679" s="61"/>
      <c r="D679" s="67"/>
      <c r="E679" s="159"/>
      <c r="F679" s="159"/>
      <c r="G679" s="160"/>
      <c r="H679" s="161"/>
      <c r="I679" s="160"/>
      <c r="J679" s="161"/>
      <c r="K679" s="159"/>
      <c r="L679" s="162"/>
    </row>
    <row r="680" spans="1:12" ht="24">
      <c r="A680" s="200"/>
      <c r="B680" s="60"/>
      <c r="C680" s="61"/>
      <c r="D680" s="67"/>
      <c r="E680" s="159"/>
      <c r="F680" s="159"/>
      <c r="G680" s="160"/>
      <c r="H680" s="161"/>
      <c r="I680" s="160"/>
      <c r="J680" s="161"/>
      <c r="K680" s="159"/>
      <c r="L680" s="162"/>
    </row>
    <row r="681" spans="1:12" ht="24">
      <c r="A681" s="200"/>
      <c r="B681" s="60"/>
      <c r="C681" s="61"/>
      <c r="D681" s="67"/>
      <c r="E681" s="159"/>
      <c r="F681" s="159"/>
      <c r="G681" s="160"/>
      <c r="H681" s="161"/>
      <c r="I681" s="160"/>
      <c r="J681" s="161"/>
      <c r="K681" s="159"/>
      <c r="L681" s="162"/>
    </row>
    <row r="682" spans="1:12" ht="24">
      <c r="A682" s="200"/>
      <c r="B682" s="60"/>
      <c r="C682" s="61"/>
      <c r="D682" s="67"/>
      <c r="E682" s="159"/>
      <c r="F682" s="159"/>
      <c r="G682" s="160"/>
      <c r="H682" s="161"/>
      <c r="I682" s="160"/>
      <c r="J682" s="161"/>
      <c r="K682" s="159"/>
      <c r="L682" s="162"/>
    </row>
    <row r="683" spans="1:12" ht="24">
      <c r="A683" s="200"/>
      <c r="B683" s="60"/>
      <c r="C683" s="61"/>
      <c r="D683" s="67"/>
      <c r="E683" s="159"/>
      <c r="F683" s="159"/>
      <c r="G683" s="160"/>
      <c r="H683" s="161"/>
      <c r="I683" s="160"/>
      <c r="J683" s="161"/>
      <c r="K683" s="159"/>
      <c r="L683" s="162"/>
    </row>
    <row r="684" spans="1:12" ht="24">
      <c r="A684" s="200"/>
      <c r="B684" s="60"/>
      <c r="C684" s="61"/>
      <c r="D684" s="67"/>
      <c r="E684" s="159"/>
      <c r="F684" s="159"/>
      <c r="G684" s="160"/>
      <c r="H684" s="161"/>
      <c r="I684" s="160"/>
      <c r="J684" s="161"/>
      <c r="K684" s="159"/>
      <c r="L684" s="162"/>
    </row>
    <row r="685" spans="1:12" ht="24">
      <c r="A685" s="201"/>
      <c r="B685" s="60"/>
      <c r="C685" s="61"/>
      <c r="D685" s="67"/>
      <c r="E685" s="159"/>
      <c r="F685" s="159"/>
      <c r="G685" s="160"/>
      <c r="H685" s="161"/>
      <c r="I685" s="160"/>
      <c r="J685" s="161"/>
      <c r="K685" s="159"/>
      <c r="L685" s="162"/>
    </row>
    <row r="686" spans="1:12" ht="24">
      <c r="A686" s="201"/>
      <c r="B686" s="60"/>
      <c r="C686" s="61"/>
      <c r="D686" s="67"/>
      <c r="E686" s="159"/>
      <c r="F686" s="159"/>
      <c r="G686" s="160"/>
      <c r="H686" s="161"/>
      <c r="I686" s="160"/>
      <c r="J686" s="161"/>
      <c r="K686" s="159"/>
      <c r="L686" s="162"/>
    </row>
    <row r="687" spans="1:12" ht="24">
      <c r="A687" s="201"/>
      <c r="B687" s="60"/>
      <c r="C687" s="61"/>
      <c r="D687" s="67"/>
      <c r="E687" s="159"/>
      <c r="F687" s="159"/>
      <c r="G687" s="160"/>
      <c r="H687" s="161"/>
      <c r="I687" s="160"/>
      <c r="J687" s="161"/>
      <c r="K687" s="159"/>
      <c r="L687" s="162"/>
    </row>
    <row r="688" spans="1:12" ht="24">
      <c r="A688" s="201"/>
      <c r="B688" s="60"/>
      <c r="C688" s="61"/>
      <c r="D688" s="67"/>
      <c r="E688" s="159"/>
      <c r="F688" s="159"/>
      <c r="G688" s="160"/>
      <c r="H688" s="161"/>
      <c r="I688" s="160"/>
      <c r="J688" s="161"/>
      <c r="K688" s="159"/>
      <c r="L688" s="162"/>
    </row>
    <row r="689" spans="1:12" ht="24.75" thickBot="1">
      <c r="A689" s="201"/>
      <c r="B689" s="60"/>
      <c r="C689" s="61"/>
      <c r="D689" s="67"/>
      <c r="E689" s="159"/>
      <c r="F689" s="159"/>
      <c r="G689" s="160"/>
      <c r="H689" s="161"/>
      <c r="I689" s="160"/>
      <c r="J689" s="161"/>
      <c r="K689" s="159"/>
      <c r="L689" s="162"/>
    </row>
    <row r="690" spans="1:12" ht="24.75" thickTop="1">
      <c r="A690" s="149"/>
      <c r="B690" s="2004" t="s">
        <v>69</v>
      </c>
      <c r="C690" s="2005"/>
      <c r="D690" s="2006"/>
      <c r="E690" s="168"/>
      <c r="F690" s="168"/>
      <c r="G690" s="169"/>
      <c r="H690" s="170"/>
      <c r="I690" s="169"/>
      <c r="J690" s="170"/>
      <c r="K690" s="168"/>
      <c r="L690" s="171"/>
    </row>
    <row r="691" spans="1:12" ht="24">
      <c r="A691" s="202" t="s">
        <v>268</v>
      </c>
      <c r="B691" s="2013" t="str">
        <f>B670</f>
        <v xml:space="preserve"> อาคารสำนักงานศูนย์ขนส่งสาธารณะ  ฝขส. ขนาด 2 ชั้น (อาคาร G)</v>
      </c>
      <c r="C691" s="2014"/>
      <c r="D691" s="2015"/>
      <c r="E691" s="155"/>
      <c r="F691" s="155"/>
      <c r="G691" s="156"/>
      <c r="H691" s="157"/>
      <c r="I691" s="156"/>
      <c r="J691" s="157"/>
      <c r="K691" s="158"/>
      <c r="L691" s="158"/>
    </row>
    <row r="692" spans="1:12" ht="24">
      <c r="A692" s="202"/>
      <c r="B692" s="2016" t="s">
        <v>386</v>
      </c>
      <c r="C692" s="2017"/>
      <c r="D692" s="2018"/>
      <c r="E692" s="155"/>
      <c r="F692" s="155"/>
      <c r="G692" s="156"/>
      <c r="H692" s="157"/>
      <c r="I692" s="156"/>
      <c r="J692" s="157"/>
      <c r="K692" s="158"/>
      <c r="L692" s="158"/>
    </row>
    <row r="693" spans="1:12" ht="24">
      <c r="A693" s="204" t="s">
        <v>273</v>
      </c>
      <c r="B693" s="134" t="s">
        <v>93</v>
      </c>
      <c r="C693" s="54"/>
      <c r="D693" s="55"/>
      <c r="E693" s="159"/>
      <c r="F693" s="159" t="s">
        <v>182</v>
      </c>
      <c r="G693" s="160"/>
      <c r="H693" s="161"/>
      <c r="I693" s="160"/>
      <c r="J693" s="161"/>
      <c r="K693" s="159"/>
      <c r="L693" s="162"/>
    </row>
    <row r="694" spans="1:12" ht="24">
      <c r="A694" s="199" t="s">
        <v>274</v>
      </c>
      <c r="B694" s="133" t="s">
        <v>109</v>
      </c>
      <c r="C694" s="61"/>
      <c r="D694" s="62"/>
      <c r="E694" s="158"/>
      <c r="F694" s="158" t="s">
        <v>182</v>
      </c>
      <c r="G694" s="156"/>
      <c r="H694" s="157"/>
      <c r="I694" s="156"/>
      <c r="J694" s="157"/>
      <c r="K694" s="158"/>
      <c r="L694" s="163"/>
    </row>
    <row r="695" spans="1:12" ht="24">
      <c r="A695" s="204" t="s">
        <v>275</v>
      </c>
      <c r="B695" s="133" t="s">
        <v>110</v>
      </c>
      <c r="C695" s="61"/>
      <c r="D695" s="62"/>
      <c r="E695" s="158"/>
      <c r="F695" s="158" t="s">
        <v>182</v>
      </c>
      <c r="G695" s="156"/>
      <c r="H695" s="157"/>
      <c r="I695" s="156"/>
      <c r="J695" s="157"/>
      <c r="K695" s="158"/>
      <c r="L695" s="163"/>
    </row>
    <row r="696" spans="1:12" ht="24">
      <c r="A696" s="199" t="s">
        <v>276</v>
      </c>
      <c r="B696" s="133" t="s">
        <v>111</v>
      </c>
      <c r="C696" s="61"/>
      <c r="D696" s="67"/>
      <c r="E696" s="159"/>
      <c r="F696" s="159" t="s">
        <v>182</v>
      </c>
      <c r="G696" s="160"/>
      <c r="H696" s="161"/>
      <c r="I696" s="160"/>
      <c r="J696" s="161"/>
      <c r="K696" s="159"/>
      <c r="L696" s="162"/>
    </row>
    <row r="697" spans="1:12" ht="24">
      <c r="A697" s="204" t="s">
        <v>277</v>
      </c>
      <c r="B697" s="133" t="s">
        <v>112</v>
      </c>
      <c r="C697" s="61"/>
      <c r="D697" s="67"/>
      <c r="E697" s="159"/>
      <c r="F697" s="159" t="s">
        <v>182</v>
      </c>
      <c r="G697" s="160"/>
      <c r="H697" s="161"/>
      <c r="I697" s="160"/>
      <c r="J697" s="161"/>
      <c r="K697" s="159"/>
      <c r="L697" s="162"/>
    </row>
    <row r="698" spans="1:12" ht="24">
      <c r="A698" s="199" t="s">
        <v>278</v>
      </c>
      <c r="B698" s="133" t="s">
        <v>113</v>
      </c>
      <c r="C698" s="61"/>
      <c r="D698" s="67"/>
      <c r="E698" s="159"/>
      <c r="F698" s="159" t="s">
        <v>182</v>
      </c>
      <c r="G698" s="160"/>
      <c r="H698" s="161"/>
      <c r="I698" s="160"/>
      <c r="J698" s="161"/>
      <c r="K698" s="159"/>
      <c r="L698" s="162"/>
    </row>
    <row r="699" spans="1:12" ht="24">
      <c r="A699" s="204" t="s">
        <v>279</v>
      </c>
      <c r="B699" s="133" t="s">
        <v>114</v>
      </c>
      <c r="C699" s="61"/>
      <c r="D699" s="67"/>
      <c r="E699" s="159"/>
      <c r="F699" s="159" t="s">
        <v>182</v>
      </c>
      <c r="G699" s="160"/>
      <c r="H699" s="161"/>
      <c r="I699" s="160"/>
      <c r="J699" s="161"/>
      <c r="K699" s="159"/>
      <c r="L699" s="162"/>
    </row>
    <row r="700" spans="1:12" ht="24">
      <c r="A700" s="199"/>
      <c r="B700" s="133"/>
      <c r="C700" s="61"/>
      <c r="D700" s="67"/>
      <c r="E700" s="159"/>
      <c r="F700" s="159"/>
      <c r="G700" s="160"/>
      <c r="H700" s="161"/>
      <c r="I700" s="160"/>
      <c r="J700" s="161"/>
      <c r="K700" s="159"/>
      <c r="L700" s="162"/>
    </row>
    <row r="701" spans="1:12" ht="24">
      <c r="A701" s="204"/>
      <c r="B701" s="133"/>
      <c r="C701" s="61"/>
      <c r="D701" s="67"/>
      <c r="E701" s="159"/>
      <c r="F701" s="159"/>
      <c r="G701" s="160"/>
      <c r="H701" s="161"/>
      <c r="I701" s="160"/>
      <c r="J701" s="161"/>
      <c r="K701" s="159"/>
      <c r="L701" s="162"/>
    </row>
    <row r="702" spans="1:12" ht="24">
      <c r="A702" s="199"/>
      <c r="B702" s="133"/>
      <c r="C702" s="61"/>
      <c r="D702" s="67"/>
      <c r="E702" s="159"/>
      <c r="F702" s="159"/>
      <c r="G702" s="160"/>
      <c r="H702" s="161"/>
      <c r="I702" s="160"/>
      <c r="J702" s="161"/>
      <c r="K702" s="159"/>
      <c r="L702" s="162"/>
    </row>
    <row r="703" spans="1:12" ht="24">
      <c r="A703" s="199"/>
      <c r="B703" s="133"/>
      <c r="C703" s="61"/>
      <c r="D703" s="67"/>
      <c r="E703" s="159"/>
      <c r="F703" s="159"/>
      <c r="G703" s="160"/>
      <c r="H703" s="161"/>
      <c r="I703" s="160"/>
      <c r="J703" s="161"/>
      <c r="K703" s="159"/>
      <c r="L703" s="162"/>
    </row>
    <row r="704" spans="1:12" ht="24">
      <c r="A704" s="199"/>
      <c r="B704" s="133"/>
      <c r="C704" s="61"/>
      <c r="D704" s="67"/>
      <c r="E704" s="159"/>
      <c r="F704" s="159"/>
      <c r="G704" s="160"/>
      <c r="H704" s="161"/>
      <c r="I704" s="160"/>
      <c r="J704" s="161"/>
      <c r="K704" s="159"/>
      <c r="L704" s="162"/>
    </row>
    <row r="705" spans="1:12" ht="24">
      <c r="A705" s="199"/>
      <c r="B705" s="133"/>
      <c r="C705" s="61"/>
      <c r="D705" s="67"/>
      <c r="E705" s="159"/>
      <c r="F705" s="159"/>
      <c r="G705" s="160"/>
      <c r="H705" s="161"/>
      <c r="I705" s="160"/>
      <c r="J705" s="161"/>
      <c r="K705" s="159"/>
      <c r="L705" s="162"/>
    </row>
    <row r="706" spans="1:12" ht="24">
      <c r="A706" s="199"/>
      <c r="B706" s="133"/>
      <c r="C706" s="61"/>
      <c r="D706" s="67"/>
      <c r="E706" s="159"/>
      <c r="F706" s="159"/>
      <c r="G706" s="160"/>
      <c r="H706" s="161"/>
      <c r="I706" s="160"/>
      <c r="J706" s="161"/>
      <c r="K706" s="159"/>
      <c r="L706" s="162"/>
    </row>
    <row r="707" spans="1:12" ht="24">
      <c r="A707" s="199"/>
      <c r="B707" s="133"/>
      <c r="C707" s="61"/>
      <c r="D707" s="67"/>
      <c r="E707" s="159"/>
      <c r="F707" s="159"/>
      <c r="G707" s="160"/>
      <c r="H707" s="161"/>
      <c r="I707" s="160"/>
      <c r="J707" s="161"/>
      <c r="K707" s="159"/>
      <c r="L707" s="162"/>
    </row>
    <row r="708" spans="1:12" ht="24">
      <c r="A708" s="201"/>
      <c r="B708" s="60"/>
      <c r="C708" s="61"/>
      <c r="D708" s="67"/>
      <c r="E708" s="159"/>
      <c r="F708" s="159"/>
      <c r="G708" s="160"/>
      <c r="H708" s="161"/>
      <c r="I708" s="160"/>
      <c r="J708" s="161"/>
      <c r="K708" s="159"/>
      <c r="L708" s="162"/>
    </row>
    <row r="709" spans="1:12" ht="24">
      <c r="A709" s="201"/>
      <c r="B709" s="60"/>
      <c r="C709" s="61"/>
      <c r="D709" s="67"/>
      <c r="E709" s="159"/>
      <c r="F709" s="159"/>
      <c r="G709" s="160"/>
      <c r="H709" s="161"/>
      <c r="I709" s="160"/>
      <c r="J709" s="161"/>
      <c r="K709" s="159"/>
      <c r="L709" s="162"/>
    </row>
    <row r="710" spans="1:12" ht="24.75" thickBot="1">
      <c r="A710" s="201"/>
      <c r="B710" s="60"/>
      <c r="C710" s="61"/>
      <c r="D710" s="67"/>
      <c r="E710" s="159"/>
      <c r="F710" s="159"/>
      <c r="G710" s="160"/>
      <c r="H710" s="161"/>
      <c r="I710" s="160"/>
      <c r="J710" s="161"/>
      <c r="K710" s="159"/>
      <c r="L710" s="162"/>
    </row>
    <row r="711" spans="1:12" ht="24.75" thickTop="1">
      <c r="A711" s="149"/>
      <c r="B711" s="2004" t="s">
        <v>69</v>
      </c>
      <c r="C711" s="2005"/>
      <c r="D711" s="2006"/>
      <c r="E711" s="168"/>
      <c r="F711" s="168"/>
      <c r="G711" s="169"/>
      <c r="H711" s="170"/>
      <c r="I711" s="169"/>
      <c r="J711" s="170"/>
      <c r="K711" s="168"/>
      <c r="L711" s="171"/>
    </row>
    <row r="712" spans="1:12" ht="24">
      <c r="A712" s="204" t="s">
        <v>273</v>
      </c>
      <c r="B712" s="53" t="s">
        <v>93</v>
      </c>
      <c r="C712" s="142"/>
      <c r="D712" s="143"/>
      <c r="E712" s="155"/>
      <c r="F712" s="155"/>
      <c r="G712" s="156"/>
      <c r="H712" s="157"/>
      <c r="I712" s="156"/>
      <c r="J712" s="157"/>
      <c r="K712" s="158"/>
      <c r="L712" s="158"/>
    </row>
    <row r="713" spans="1:12" ht="24">
      <c r="A713" s="205"/>
      <c r="B713" s="144" t="s">
        <v>117</v>
      </c>
      <c r="C713" s="61" t="s">
        <v>125</v>
      </c>
      <c r="D713" s="55"/>
      <c r="E713" s="159">
        <v>0</v>
      </c>
      <c r="F713" s="159" t="s">
        <v>183</v>
      </c>
      <c r="G713" s="160">
        <v>0</v>
      </c>
      <c r="H713" s="161">
        <f>ROUND(E713*G713,2)</f>
        <v>0</v>
      </c>
      <c r="I713" s="160">
        <v>0</v>
      </c>
      <c r="J713" s="161">
        <f>ROUND(E713*I713,2)</f>
        <v>0</v>
      </c>
      <c r="K713" s="159">
        <f>ROUND(H713+J713,2)</f>
        <v>0</v>
      </c>
      <c r="L713" s="162"/>
    </row>
    <row r="714" spans="1:12" ht="24">
      <c r="A714" s="200"/>
      <c r="B714" s="145" t="s">
        <v>118</v>
      </c>
      <c r="C714" s="61" t="s">
        <v>126</v>
      </c>
      <c r="D714" s="62"/>
      <c r="E714" s="158">
        <v>0</v>
      </c>
      <c r="F714" s="158" t="s">
        <v>183</v>
      </c>
      <c r="G714" s="156">
        <v>0</v>
      </c>
      <c r="H714" s="161">
        <f t="shared" ref="H714:H719" si="169">ROUND(E714*G714,2)</f>
        <v>0</v>
      </c>
      <c r="I714" s="160">
        <v>0</v>
      </c>
      <c r="J714" s="161">
        <f t="shared" ref="J714:J719" si="170">ROUND(E714*I714,2)</f>
        <v>0</v>
      </c>
      <c r="K714" s="159">
        <f t="shared" ref="K714:K719" si="171">ROUND(H714+J714,2)</f>
        <v>0</v>
      </c>
      <c r="L714" s="163"/>
    </row>
    <row r="715" spans="1:12" ht="24">
      <c r="A715" s="200"/>
      <c r="B715" s="145" t="s">
        <v>119</v>
      </c>
      <c r="C715" s="61" t="s">
        <v>210</v>
      </c>
      <c r="D715" s="62"/>
      <c r="E715" s="220"/>
      <c r="F715" s="158" t="s">
        <v>183</v>
      </c>
      <c r="G715" s="156">
        <v>76</v>
      </c>
      <c r="H715" s="161">
        <f t="shared" si="169"/>
        <v>0</v>
      </c>
      <c r="I715" s="160">
        <v>82</v>
      </c>
      <c r="J715" s="161">
        <f t="shared" si="170"/>
        <v>0</v>
      </c>
      <c r="K715" s="159">
        <f t="shared" si="171"/>
        <v>0</v>
      </c>
      <c r="L715" s="163"/>
    </row>
    <row r="716" spans="1:12" ht="24">
      <c r="A716" s="200"/>
      <c r="B716" s="145" t="s">
        <v>120</v>
      </c>
      <c r="C716" s="61" t="s">
        <v>211</v>
      </c>
      <c r="D716" s="67"/>
      <c r="E716" s="194">
        <f>5.11</f>
        <v>5.1100000000000003</v>
      </c>
      <c r="F716" s="159" t="s">
        <v>183</v>
      </c>
      <c r="G716" s="160">
        <v>83</v>
      </c>
      <c r="H716" s="161">
        <f t="shared" si="169"/>
        <v>424.13</v>
      </c>
      <c r="I716" s="160">
        <v>82</v>
      </c>
      <c r="J716" s="161">
        <f t="shared" si="170"/>
        <v>419.02</v>
      </c>
      <c r="K716" s="159">
        <f t="shared" si="171"/>
        <v>843.15</v>
      </c>
      <c r="L716" s="162"/>
    </row>
    <row r="717" spans="1:12" ht="24">
      <c r="A717" s="200"/>
      <c r="B717" s="145" t="s">
        <v>121</v>
      </c>
      <c r="C717" s="61" t="s">
        <v>212</v>
      </c>
      <c r="D717" s="67"/>
      <c r="E717" s="194"/>
      <c r="F717" s="159" t="s">
        <v>183</v>
      </c>
      <c r="G717" s="160">
        <v>105</v>
      </c>
      <c r="H717" s="161">
        <f t="shared" si="169"/>
        <v>0</v>
      </c>
      <c r="I717" s="160">
        <v>61</v>
      </c>
      <c r="J717" s="161">
        <f t="shared" si="170"/>
        <v>0</v>
      </c>
      <c r="K717" s="159">
        <f t="shared" si="171"/>
        <v>0</v>
      </c>
      <c r="L717" s="162"/>
    </row>
    <row r="718" spans="1:12" ht="24">
      <c r="A718" s="200"/>
      <c r="B718" s="145" t="s">
        <v>122</v>
      </c>
      <c r="C718" s="61" t="s">
        <v>127</v>
      </c>
      <c r="D718" s="67"/>
      <c r="E718" s="194">
        <f>99.49+12.65</f>
        <v>112.14</v>
      </c>
      <c r="F718" s="159" t="s">
        <v>183</v>
      </c>
      <c r="G718" s="160">
        <v>690</v>
      </c>
      <c r="H718" s="161">
        <f t="shared" si="169"/>
        <v>77376.600000000006</v>
      </c>
      <c r="I718" s="160">
        <v>175</v>
      </c>
      <c r="J718" s="161">
        <f t="shared" si="170"/>
        <v>19624.5</v>
      </c>
      <c r="K718" s="159">
        <f t="shared" si="171"/>
        <v>97001.1</v>
      </c>
      <c r="L718" s="162"/>
    </row>
    <row r="719" spans="1:12" ht="24">
      <c r="A719" s="200"/>
      <c r="B719" s="145" t="s">
        <v>123</v>
      </c>
      <c r="C719" s="61" t="s">
        <v>213</v>
      </c>
      <c r="D719" s="67"/>
      <c r="E719" s="194">
        <f>20.64+20.96</f>
        <v>41.6</v>
      </c>
      <c r="F719" s="159" t="s">
        <v>183</v>
      </c>
      <c r="G719" s="160">
        <v>850</v>
      </c>
      <c r="H719" s="161">
        <f t="shared" si="169"/>
        <v>35360</v>
      </c>
      <c r="I719" s="160">
        <v>175</v>
      </c>
      <c r="J719" s="161">
        <f t="shared" si="170"/>
        <v>7280</v>
      </c>
      <c r="K719" s="159">
        <f t="shared" si="171"/>
        <v>42640</v>
      </c>
      <c r="L719" s="162"/>
    </row>
    <row r="720" spans="1:12" ht="24">
      <c r="A720" s="200"/>
      <c r="B720" s="145" t="s">
        <v>124</v>
      </c>
      <c r="C720" s="61" t="s">
        <v>333</v>
      </c>
      <c r="D720" s="67"/>
      <c r="E720" s="194"/>
      <c r="F720" s="159" t="s">
        <v>183</v>
      </c>
      <c r="G720" s="160"/>
      <c r="H720" s="161"/>
      <c r="I720" s="160"/>
      <c r="J720" s="161"/>
      <c r="K720" s="159"/>
      <c r="L720" s="162"/>
    </row>
    <row r="721" spans="1:12" ht="24">
      <c r="A721" s="200"/>
      <c r="B721" s="145" t="s">
        <v>216</v>
      </c>
      <c r="C721" s="61" t="s">
        <v>214</v>
      </c>
      <c r="D721" s="67"/>
      <c r="E721" s="194">
        <f>48.8</f>
        <v>48.8</v>
      </c>
      <c r="F721" s="159" t="s">
        <v>183</v>
      </c>
      <c r="G721" s="160">
        <v>2000</v>
      </c>
      <c r="H721" s="161">
        <f t="shared" ref="H721" si="172">ROUND(E721*G721,2)</f>
        <v>97600</v>
      </c>
      <c r="I721" s="160">
        <v>198</v>
      </c>
      <c r="J721" s="161">
        <f t="shared" ref="J721" si="173">ROUND(E721*I721,2)</f>
        <v>9662.4</v>
      </c>
      <c r="K721" s="159">
        <f t="shared" ref="K721" si="174">ROUND(H721+J721,2)</f>
        <v>107262.39999999999</v>
      </c>
      <c r="L721" s="162"/>
    </row>
    <row r="722" spans="1:12" ht="24">
      <c r="A722" s="200"/>
      <c r="B722" s="60"/>
      <c r="C722" s="61" t="s">
        <v>215</v>
      </c>
      <c r="D722" s="67"/>
      <c r="E722" s="194"/>
      <c r="F722" s="159"/>
      <c r="G722" s="160"/>
      <c r="H722" s="161"/>
      <c r="I722" s="160"/>
      <c r="J722" s="161"/>
      <c r="K722" s="159"/>
      <c r="L722" s="162"/>
    </row>
    <row r="723" spans="1:12" ht="24">
      <c r="A723" s="200"/>
      <c r="B723" s="145" t="s">
        <v>219</v>
      </c>
      <c r="C723" s="61" t="s">
        <v>217</v>
      </c>
      <c r="D723" s="67"/>
      <c r="E723" s="194">
        <f>9.3+6.69+122.33+228.88+15.85+17.47+5.5+10.75+9.72+7.56</f>
        <v>434.05</v>
      </c>
      <c r="F723" s="159" t="s">
        <v>183</v>
      </c>
      <c r="G723" s="183">
        <f>500+105</f>
        <v>605</v>
      </c>
      <c r="H723" s="161">
        <f>ROUND(E723*G723,2)</f>
        <v>262600.25</v>
      </c>
      <c r="I723" s="160">
        <f>100+61</f>
        <v>161</v>
      </c>
      <c r="J723" s="161">
        <f>ROUND(E723*I723,2)</f>
        <v>69882.05</v>
      </c>
      <c r="K723" s="159">
        <f>ROUND(H723+J723,2)</f>
        <v>332482.3</v>
      </c>
      <c r="L723" s="162"/>
    </row>
    <row r="724" spans="1:12" ht="24">
      <c r="A724" s="200"/>
      <c r="B724" s="60"/>
      <c r="C724" s="61" t="s">
        <v>218</v>
      </c>
      <c r="D724" s="67"/>
      <c r="E724" s="194"/>
      <c r="F724" s="159"/>
      <c r="G724" s="160"/>
      <c r="H724" s="161"/>
      <c r="I724" s="160"/>
      <c r="J724" s="161"/>
      <c r="K724" s="159"/>
      <c r="L724" s="162"/>
    </row>
    <row r="725" spans="1:12" ht="24">
      <c r="A725" s="200"/>
      <c r="B725" s="145" t="s">
        <v>221</v>
      </c>
      <c r="C725" s="61" t="s">
        <v>220</v>
      </c>
      <c r="D725" s="67"/>
      <c r="E725" s="194"/>
      <c r="F725" s="159" t="s">
        <v>183</v>
      </c>
      <c r="G725" s="183">
        <f>250+105</f>
        <v>355</v>
      </c>
      <c r="H725" s="161">
        <f t="shared" ref="H725:H727" si="175">ROUND(E725*G725,2)</f>
        <v>0</v>
      </c>
      <c r="I725" s="160">
        <f>50+61</f>
        <v>111</v>
      </c>
      <c r="J725" s="161">
        <f t="shared" ref="J725:J727" si="176">ROUND(E725*I725,2)</f>
        <v>0</v>
      </c>
      <c r="K725" s="159">
        <f t="shared" ref="K725" si="177">ROUND(H725+J725,2)</f>
        <v>0</v>
      </c>
      <c r="L725" s="162"/>
    </row>
    <row r="726" spans="1:12" ht="24">
      <c r="A726" s="200"/>
      <c r="B726" s="145" t="s">
        <v>285</v>
      </c>
      <c r="C726" s="61" t="s">
        <v>387</v>
      </c>
      <c r="D726" s="67"/>
      <c r="E726" s="194"/>
      <c r="F726" s="159" t="s">
        <v>183</v>
      </c>
      <c r="G726" s="160">
        <v>320</v>
      </c>
      <c r="H726" s="161">
        <f t="shared" si="175"/>
        <v>0</v>
      </c>
      <c r="I726" s="160">
        <v>35</v>
      </c>
      <c r="J726" s="161">
        <f t="shared" si="176"/>
        <v>0</v>
      </c>
      <c r="K726" s="159">
        <f t="shared" ref="K726:K727" si="178">H726+J726</f>
        <v>0</v>
      </c>
      <c r="L726" s="162"/>
    </row>
    <row r="727" spans="1:12" ht="24">
      <c r="A727" s="201"/>
      <c r="B727" s="145" t="s">
        <v>388</v>
      </c>
      <c r="C727" s="61" t="s">
        <v>389</v>
      </c>
      <c r="D727" s="61"/>
      <c r="E727" s="236">
        <v>274.18</v>
      </c>
      <c r="F727" s="185" t="s">
        <v>183</v>
      </c>
      <c r="G727" s="186">
        <v>120</v>
      </c>
      <c r="H727" s="161">
        <f t="shared" si="175"/>
        <v>32901.599999999999</v>
      </c>
      <c r="I727" s="190">
        <v>45</v>
      </c>
      <c r="J727" s="159">
        <f t="shared" si="176"/>
        <v>12338.1</v>
      </c>
      <c r="K727" s="159">
        <f t="shared" si="178"/>
        <v>45239.7</v>
      </c>
      <c r="L727" s="187"/>
    </row>
    <row r="728" spans="1:12" ht="24">
      <c r="A728" s="201"/>
      <c r="B728" s="60"/>
      <c r="C728" s="61" t="s">
        <v>390</v>
      </c>
      <c r="D728" s="61"/>
      <c r="E728" s="236"/>
      <c r="F728" s="185"/>
      <c r="G728" s="186"/>
      <c r="H728" s="161"/>
      <c r="I728" s="190"/>
      <c r="J728" s="159"/>
      <c r="K728" s="159"/>
      <c r="L728" s="162"/>
    </row>
    <row r="729" spans="1:12" ht="24">
      <c r="A729" s="201"/>
      <c r="B729" s="60" t="s">
        <v>134</v>
      </c>
      <c r="C729" s="61" t="s">
        <v>233</v>
      </c>
      <c r="D729" s="61"/>
      <c r="E729" s="184"/>
      <c r="F729" s="185" t="s">
        <v>183</v>
      </c>
      <c r="G729" s="186">
        <v>120</v>
      </c>
      <c r="H729" s="161">
        <f t="shared" ref="H729" si="179">ROUND(E729*G729,2)</f>
        <v>0</v>
      </c>
      <c r="I729" s="190">
        <v>45</v>
      </c>
      <c r="J729" s="159">
        <f t="shared" ref="J729" si="180">ROUND(E729*I729,2)</f>
        <v>0</v>
      </c>
      <c r="K729" s="159">
        <f t="shared" ref="K729" si="181">H729+J729</f>
        <v>0</v>
      </c>
      <c r="L729" s="162"/>
    </row>
    <row r="730" spans="1:12" ht="24">
      <c r="A730" s="201"/>
      <c r="B730" s="188" t="s">
        <v>134</v>
      </c>
      <c r="C730" s="189" t="s">
        <v>253</v>
      </c>
      <c r="E730" s="213"/>
      <c r="F730" s="159"/>
      <c r="G730" s="160"/>
      <c r="H730" s="161"/>
      <c r="I730" s="160"/>
      <c r="J730" s="161"/>
      <c r="K730" s="159"/>
      <c r="L730" s="162"/>
    </row>
    <row r="731" spans="1:12" ht="24">
      <c r="A731" s="201"/>
      <c r="B731" s="60"/>
      <c r="C731" s="61"/>
      <c r="D731" s="61"/>
      <c r="E731" s="213"/>
      <c r="F731" s="159"/>
      <c r="G731" s="160"/>
      <c r="H731" s="161"/>
      <c r="I731" s="160"/>
      <c r="J731" s="161"/>
      <c r="K731" s="159"/>
      <c r="L731" s="162"/>
    </row>
    <row r="732" spans="1:12" ht="24.75" thickBot="1">
      <c r="A732" s="201"/>
      <c r="B732" s="60"/>
      <c r="C732" s="61"/>
      <c r="D732" s="67"/>
      <c r="E732" s="159"/>
      <c r="F732" s="159"/>
      <c r="G732" s="160"/>
      <c r="H732" s="161"/>
      <c r="I732" s="160"/>
      <c r="J732" s="161"/>
      <c r="K732" s="159"/>
      <c r="L732" s="162"/>
    </row>
    <row r="733" spans="1:12" ht="24.75" thickTop="1">
      <c r="A733" s="149"/>
      <c r="B733" s="1981" t="s">
        <v>69</v>
      </c>
      <c r="C733" s="1982"/>
      <c r="D733" s="1983"/>
      <c r="E733" s="164"/>
      <c r="F733" s="164"/>
      <c r="G733" s="165"/>
      <c r="H733" s="166"/>
      <c r="I733" s="165"/>
      <c r="J733" s="166"/>
      <c r="K733" s="164">
        <f>SUM(K713:K732)</f>
        <v>625468.64999999991</v>
      </c>
      <c r="L733" s="167"/>
    </row>
    <row r="734" spans="1:12" ht="24">
      <c r="A734" s="199" t="s">
        <v>189</v>
      </c>
      <c r="B734" s="146" t="s">
        <v>109</v>
      </c>
      <c r="C734" s="142"/>
      <c r="D734" s="143"/>
      <c r="E734" s="155"/>
      <c r="F734" s="155"/>
      <c r="G734" s="156"/>
      <c r="H734" s="157"/>
      <c r="I734" s="156"/>
      <c r="J734" s="157"/>
      <c r="K734" s="158"/>
      <c r="L734" s="158"/>
    </row>
    <row r="735" spans="1:12" ht="24">
      <c r="A735" s="205"/>
      <c r="B735" s="144" t="s">
        <v>117</v>
      </c>
      <c r="C735" s="61" t="s">
        <v>125</v>
      </c>
      <c r="D735" s="55"/>
      <c r="E735" s="159">
        <v>0</v>
      </c>
      <c r="F735" s="159" t="s">
        <v>183</v>
      </c>
      <c r="G735" s="160">
        <v>0</v>
      </c>
      <c r="H735" s="161">
        <f>ROUND(E735*G735,2)</f>
        <v>0</v>
      </c>
      <c r="I735" s="160">
        <v>0</v>
      </c>
      <c r="J735" s="161">
        <f>ROUND(E735*I735,2)</f>
        <v>0</v>
      </c>
      <c r="K735" s="159">
        <f>ROUND(H735+J735,2)</f>
        <v>0</v>
      </c>
      <c r="L735" s="162"/>
    </row>
    <row r="736" spans="1:12" ht="24">
      <c r="A736" s="200"/>
      <c r="B736" s="145" t="s">
        <v>128</v>
      </c>
      <c r="C736" s="61" t="s">
        <v>135</v>
      </c>
      <c r="D736" s="62"/>
      <c r="E736" s="220">
        <f>181.44</f>
        <v>181.44</v>
      </c>
      <c r="F736" s="158" t="s">
        <v>183</v>
      </c>
      <c r="G736" s="156">
        <v>0</v>
      </c>
      <c r="H736" s="161">
        <f>ROUND(E736*G736,2)</f>
        <v>0</v>
      </c>
      <c r="I736" s="156">
        <v>0</v>
      </c>
      <c r="J736" s="161">
        <f>ROUND(E736*I736,2)</f>
        <v>0</v>
      </c>
      <c r="K736" s="159">
        <f>ROUND(H736+J736,2)</f>
        <v>0</v>
      </c>
      <c r="L736" s="163"/>
    </row>
    <row r="737" spans="1:12" ht="24">
      <c r="A737" s="200"/>
      <c r="B737" s="145" t="s">
        <v>129</v>
      </c>
      <c r="C737" s="61" t="s">
        <v>222</v>
      </c>
      <c r="D737" s="62"/>
      <c r="E737" s="220">
        <f>(3.1+3.3+6.12+0.65+1.6+0.6+3.2+3.2)*4.2</f>
        <v>91.433999999999997</v>
      </c>
      <c r="F737" s="158" t="s">
        <v>183</v>
      </c>
      <c r="G737" s="156">
        <v>156</v>
      </c>
      <c r="H737" s="161">
        <f>ROUND(E737*G737,2)</f>
        <v>14263.7</v>
      </c>
      <c r="I737" s="156">
        <v>89</v>
      </c>
      <c r="J737" s="161">
        <f>ROUND(E737*I737,2)</f>
        <v>8137.63</v>
      </c>
      <c r="K737" s="159">
        <f>ROUND(H737+J737,2)</f>
        <v>22401.33</v>
      </c>
      <c r="L737" s="163"/>
    </row>
    <row r="738" spans="1:12" ht="24">
      <c r="A738" s="200"/>
      <c r="B738" s="145" t="s">
        <v>130</v>
      </c>
      <c r="C738" s="61" t="s">
        <v>223</v>
      </c>
      <c r="D738" s="67"/>
      <c r="E738" s="194">
        <f>(4.2+3.8)*4.2</f>
        <v>33.6</v>
      </c>
      <c r="F738" s="159" t="s">
        <v>183</v>
      </c>
      <c r="G738" s="160">
        <v>324</v>
      </c>
      <c r="H738" s="161">
        <f>ROUND(E738*G738,2)</f>
        <v>10886.4</v>
      </c>
      <c r="I738" s="156">
        <v>144</v>
      </c>
      <c r="J738" s="161">
        <f>ROUND(E738*I738,2)</f>
        <v>4838.3999999999996</v>
      </c>
      <c r="K738" s="159">
        <f>ROUND(H738+J738,2)</f>
        <v>15724.8</v>
      </c>
      <c r="L738" s="162"/>
    </row>
    <row r="739" spans="1:12" ht="24">
      <c r="A739" s="200"/>
      <c r="B739" s="145" t="s">
        <v>224</v>
      </c>
      <c r="C739" s="61" t="s">
        <v>225</v>
      </c>
      <c r="D739" s="67"/>
      <c r="E739" s="194">
        <f>(14.6+2.85+2.85+0.55+0.34+3.5+3.5)*4.2</f>
        <v>118.39800000000001</v>
      </c>
      <c r="F739" s="159" t="s">
        <v>183</v>
      </c>
      <c r="G739" s="160">
        <v>798</v>
      </c>
      <c r="H739" s="161">
        <f t="shared" ref="H739" si="182">ROUND(E739*G739,2)</f>
        <v>94481.600000000006</v>
      </c>
      <c r="I739" s="156">
        <v>130</v>
      </c>
      <c r="J739" s="161">
        <f t="shared" ref="J739" si="183">ROUND(E739*I739,2)</f>
        <v>15391.74</v>
      </c>
      <c r="K739" s="159">
        <f t="shared" ref="K739" si="184">ROUND(H739+J739,2)</f>
        <v>109873.34</v>
      </c>
      <c r="L739" s="162"/>
    </row>
    <row r="740" spans="1:12" ht="24">
      <c r="A740" s="200"/>
      <c r="B740" s="145"/>
      <c r="C740" s="61" t="s">
        <v>226</v>
      </c>
      <c r="D740" s="67"/>
      <c r="E740" s="194"/>
      <c r="F740" s="159"/>
      <c r="G740" s="160"/>
      <c r="H740" s="161"/>
      <c r="I740" s="156"/>
      <c r="J740" s="161"/>
      <c r="K740" s="159"/>
      <c r="L740" s="162"/>
    </row>
    <row r="741" spans="1:12" ht="24">
      <c r="A741" s="200"/>
      <c r="B741" s="145" t="s">
        <v>131</v>
      </c>
      <c r="C741" s="61" t="s">
        <v>228</v>
      </c>
      <c r="D741" s="67"/>
      <c r="E741" s="194">
        <f>((1.9+5.8+5.8+5.7+5.7+3.2+5.7+3.55+7.4+0.8+1.6+0.6+0.6+0.6+2+2.47+1.9+1.87+1.87+2.4+2.4)*(4.2))+(47.04)+(13.44)+(302.4)</f>
        <v>631.09199999999987</v>
      </c>
      <c r="F741" s="159" t="s">
        <v>183</v>
      </c>
      <c r="G741" s="160">
        <v>225</v>
      </c>
      <c r="H741" s="161">
        <f t="shared" ref="H741:H743" si="185">ROUND(E741*G741,2)</f>
        <v>141995.70000000001</v>
      </c>
      <c r="I741" s="156">
        <v>55</v>
      </c>
      <c r="J741" s="161">
        <f t="shared" ref="J741:J743" si="186">ROUND(E741*I741,2)</f>
        <v>34710.06</v>
      </c>
      <c r="K741" s="159">
        <f t="shared" ref="K741:K743" si="187">ROUND(H741+J741,2)</f>
        <v>176705.76</v>
      </c>
      <c r="L741" s="162"/>
    </row>
    <row r="742" spans="1:12" ht="24">
      <c r="A742" s="200"/>
      <c r="B742" s="145" t="s">
        <v>132</v>
      </c>
      <c r="C742" s="61" t="s">
        <v>229</v>
      </c>
      <c r="D742" s="67"/>
      <c r="E742" s="194">
        <f>(6.3+6.3+2.6+2.6)*4.2</f>
        <v>74.760000000000005</v>
      </c>
      <c r="F742" s="159" t="s">
        <v>183</v>
      </c>
      <c r="G742" s="160">
        <v>375</v>
      </c>
      <c r="H742" s="161">
        <f t="shared" si="185"/>
        <v>28035</v>
      </c>
      <c r="I742" s="156">
        <v>55</v>
      </c>
      <c r="J742" s="161">
        <f t="shared" si="186"/>
        <v>4111.8</v>
      </c>
      <c r="K742" s="159">
        <f t="shared" si="187"/>
        <v>32146.799999999999</v>
      </c>
      <c r="L742" s="162"/>
    </row>
    <row r="743" spans="1:12" ht="24">
      <c r="A743" s="200"/>
      <c r="B743" s="145" t="s">
        <v>133</v>
      </c>
      <c r="C743" s="61" t="s">
        <v>227</v>
      </c>
      <c r="D743" s="67"/>
      <c r="E743" s="194">
        <v>0</v>
      </c>
      <c r="F743" s="159" t="s">
        <v>183</v>
      </c>
      <c r="G743" s="160">
        <v>2000</v>
      </c>
      <c r="H743" s="161">
        <f t="shared" si="185"/>
        <v>0</v>
      </c>
      <c r="I743" s="156">
        <v>200</v>
      </c>
      <c r="J743" s="161">
        <f t="shared" si="186"/>
        <v>0</v>
      </c>
      <c r="K743" s="159">
        <f t="shared" si="187"/>
        <v>0</v>
      </c>
      <c r="L743" s="162"/>
    </row>
    <row r="744" spans="1:12" ht="24">
      <c r="A744" s="200"/>
      <c r="B744" s="145" t="s">
        <v>134</v>
      </c>
      <c r="C744" s="61" t="s">
        <v>136</v>
      </c>
      <c r="D744" s="67"/>
      <c r="E744" s="194"/>
      <c r="F744" s="159"/>
      <c r="G744" s="160"/>
      <c r="H744" s="161"/>
      <c r="I744" s="160"/>
      <c r="J744" s="161"/>
      <c r="K744" s="159"/>
      <c r="L744" s="162"/>
    </row>
    <row r="745" spans="1:12" ht="24">
      <c r="A745" s="200"/>
      <c r="B745" s="60"/>
      <c r="C745" s="61" t="s">
        <v>137</v>
      </c>
      <c r="D745" s="67"/>
      <c r="E745" s="194">
        <f>(E737+E741)*0.8</f>
        <v>578.02079999999989</v>
      </c>
      <c r="F745" s="159" t="s">
        <v>184</v>
      </c>
      <c r="G745" s="160">
        <v>70</v>
      </c>
      <c r="H745" s="161">
        <f t="shared" ref="H745:H747" si="188">ROUND(E745*G745,2)</f>
        <v>40461.46</v>
      </c>
      <c r="I745" s="156">
        <v>35</v>
      </c>
      <c r="J745" s="161">
        <f t="shared" ref="J745:J747" si="189">ROUND(E745*I745,2)</f>
        <v>20230.73</v>
      </c>
      <c r="K745" s="159">
        <f t="shared" ref="K745:K747" si="190">ROUND(H745+J745,2)</f>
        <v>60692.19</v>
      </c>
      <c r="L745" s="162"/>
    </row>
    <row r="746" spans="1:12" ht="24">
      <c r="A746" s="200"/>
      <c r="B746" s="60"/>
      <c r="C746" s="61" t="s">
        <v>230</v>
      </c>
      <c r="D746" s="67"/>
      <c r="E746" s="194">
        <f>E742*0.8</f>
        <v>59.808000000000007</v>
      </c>
      <c r="F746" s="159" t="s">
        <v>184</v>
      </c>
      <c r="G746" s="160">
        <v>90</v>
      </c>
      <c r="H746" s="161">
        <f t="shared" si="188"/>
        <v>5382.72</v>
      </c>
      <c r="I746" s="156">
        <v>40</v>
      </c>
      <c r="J746" s="161">
        <f t="shared" si="189"/>
        <v>2392.3200000000002</v>
      </c>
      <c r="K746" s="159">
        <f t="shared" si="190"/>
        <v>7775.04</v>
      </c>
      <c r="L746" s="162"/>
    </row>
    <row r="747" spans="1:12" ht="24">
      <c r="A747" s="200"/>
      <c r="B747" s="60"/>
      <c r="C747" s="61" t="s">
        <v>138</v>
      </c>
      <c r="D747" s="67"/>
      <c r="E747" s="194">
        <f>E738*0.8</f>
        <v>26.880000000000003</v>
      </c>
      <c r="F747" s="159" t="s">
        <v>184</v>
      </c>
      <c r="G747" s="160">
        <v>115</v>
      </c>
      <c r="H747" s="161">
        <f t="shared" si="188"/>
        <v>3091.2</v>
      </c>
      <c r="I747" s="156">
        <v>40</v>
      </c>
      <c r="J747" s="161">
        <f t="shared" si="189"/>
        <v>1075.2</v>
      </c>
      <c r="K747" s="159">
        <f t="shared" si="190"/>
        <v>4166.3999999999996</v>
      </c>
      <c r="L747" s="162"/>
    </row>
    <row r="748" spans="1:12" ht="24">
      <c r="A748" s="200"/>
      <c r="B748" s="60"/>
      <c r="C748" s="61"/>
      <c r="D748" s="67"/>
      <c r="E748" s="194"/>
      <c r="F748" s="159"/>
      <c r="G748" s="160"/>
      <c r="H748" s="161"/>
      <c r="I748" s="160"/>
      <c r="J748" s="161"/>
      <c r="K748" s="159"/>
      <c r="L748" s="162"/>
    </row>
    <row r="749" spans="1:12" ht="24">
      <c r="A749" s="201"/>
      <c r="B749" s="60"/>
      <c r="C749" s="61"/>
      <c r="D749" s="67"/>
      <c r="E749" s="159"/>
      <c r="F749" s="159"/>
      <c r="G749" s="160"/>
      <c r="H749" s="161"/>
      <c r="I749" s="160"/>
      <c r="J749" s="161"/>
      <c r="K749" s="159"/>
      <c r="L749" s="162"/>
    </row>
    <row r="750" spans="1:12" ht="24">
      <c r="A750" s="201"/>
      <c r="B750" s="60"/>
      <c r="C750" s="61"/>
      <c r="D750" s="67"/>
      <c r="E750" s="159"/>
      <c r="F750" s="159"/>
      <c r="G750" s="160"/>
      <c r="H750" s="161"/>
      <c r="I750" s="160"/>
      <c r="J750" s="161"/>
      <c r="K750" s="159"/>
      <c r="L750" s="162"/>
    </row>
    <row r="751" spans="1:12" ht="24">
      <c r="A751" s="201"/>
      <c r="B751" s="60"/>
      <c r="C751" s="61"/>
      <c r="D751" s="67"/>
      <c r="E751" s="159"/>
      <c r="F751" s="159"/>
      <c r="G751" s="160"/>
      <c r="H751" s="161"/>
      <c r="I751" s="160"/>
      <c r="J751" s="161"/>
      <c r="K751" s="159"/>
      <c r="L751" s="162"/>
    </row>
    <row r="752" spans="1:12" ht="24">
      <c r="A752" s="201"/>
      <c r="B752" s="60"/>
      <c r="C752" s="61"/>
      <c r="D752" s="67"/>
      <c r="E752" s="159"/>
      <c r="F752" s="159"/>
      <c r="G752" s="160"/>
      <c r="H752" s="161"/>
      <c r="I752" s="160"/>
      <c r="J752" s="161"/>
      <c r="K752" s="159"/>
      <c r="L752" s="162"/>
    </row>
    <row r="753" spans="1:12" ht="24">
      <c r="A753" s="201"/>
      <c r="B753" s="60"/>
      <c r="C753" s="61"/>
      <c r="D753" s="67"/>
      <c r="E753" s="159"/>
      <c r="F753" s="159"/>
      <c r="G753" s="160"/>
      <c r="H753" s="161"/>
      <c r="I753" s="160"/>
      <c r="J753" s="161"/>
      <c r="K753" s="159"/>
      <c r="L753" s="162"/>
    </row>
    <row r="754" spans="1:12" ht="24.75" thickBot="1">
      <c r="A754" s="201"/>
      <c r="B754" s="60"/>
      <c r="C754" s="61"/>
      <c r="D754" s="67"/>
      <c r="E754" s="159"/>
      <c r="F754" s="159"/>
      <c r="G754" s="160"/>
      <c r="H754" s="161"/>
      <c r="I754" s="160"/>
      <c r="J754" s="161"/>
      <c r="K754" s="159"/>
      <c r="L754" s="162"/>
    </row>
    <row r="755" spans="1:12" ht="24.75" thickTop="1">
      <c r="A755" s="149"/>
      <c r="B755" s="1981" t="s">
        <v>69</v>
      </c>
      <c r="C755" s="1982"/>
      <c r="D755" s="1983"/>
      <c r="E755" s="164"/>
      <c r="F755" s="164"/>
      <c r="G755" s="165"/>
      <c r="H755" s="166"/>
      <c r="I755" s="165"/>
      <c r="J755" s="166"/>
      <c r="K755" s="164">
        <f>SUM(K735:K754)</f>
        <v>429485.66</v>
      </c>
      <c r="L755" s="167"/>
    </row>
    <row r="756" spans="1:12" ht="24">
      <c r="A756" s="206" t="s">
        <v>190</v>
      </c>
      <c r="B756" s="146" t="s">
        <v>110</v>
      </c>
      <c r="C756" s="142"/>
      <c r="D756" s="143"/>
      <c r="E756" s="155"/>
      <c r="F756" s="155"/>
      <c r="G756" s="156"/>
      <c r="H756" s="157"/>
      <c r="I756" s="156"/>
      <c r="J756" s="157"/>
      <c r="K756" s="158"/>
      <c r="L756" s="158"/>
    </row>
    <row r="757" spans="1:12" ht="24">
      <c r="A757" s="205"/>
      <c r="B757" s="144" t="s">
        <v>117</v>
      </c>
      <c r="C757" s="61" t="s">
        <v>125</v>
      </c>
      <c r="D757" s="55"/>
      <c r="E757" s="159">
        <v>0</v>
      </c>
      <c r="F757" s="159" t="s">
        <v>183</v>
      </c>
      <c r="G757" s="160">
        <v>0</v>
      </c>
      <c r="H757" s="161">
        <f t="shared" ref="H757:H760" si="191">ROUND(E757*G757,2)</f>
        <v>0</v>
      </c>
      <c r="I757" s="156">
        <v>0</v>
      </c>
      <c r="J757" s="161">
        <f t="shared" ref="J757:J760" si="192">ROUND(E757*I757,2)</f>
        <v>0</v>
      </c>
      <c r="K757" s="159">
        <f t="shared" ref="K757:K760" si="193">ROUND(H757+J757,2)</f>
        <v>0</v>
      </c>
      <c r="L757" s="162"/>
    </row>
    <row r="758" spans="1:12" ht="24">
      <c r="A758" s="200"/>
      <c r="B758" s="145" t="s">
        <v>139</v>
      </c>
      <c r="C758" s="61" t="s">
        <v>140</v>
      </c>
      <c r="D758" s="62"/>
      <c r="E758" s="220">
        <v>0</v>
      </c>
      <c r="F758" s="158" t="s">
        <v>183</v>
      </c>
      <c r="G758" s="156">
        <v>55</v>
      </c>
      <c r="H758" s="161">
        <f t="shared" si="191"/>
        <v>0</v>
      </c>
      <c r="I758" s="156">
        <v>30</v>
      </c>
      <c r="J758" s="161">
        <f t="shared" si="192"/>
        <v>0</v>
      </c>
      <c r="K758" s="159">
        <f t="shared" si="193"/>
        <v>0</v>
      </c>
      <c r="L758" s="191"/>
    </row>
    <row r="759" spans="1:12" ht="24">
      <c r="A759" s="200"/>
      <c r="B759" s="145" t="s">
        <v>141</v>
      </c>
      <c r="C759" s="61" t="s">
        <v>142</v>
      </c>
      <c r="D759" s="62"/>
      <c r="E759" s="220">
        <f>(16.1+51+9.4+15.6+12.2+10.6+79.24+9.34+12.6+14.5+17.1+68.44+11.1)*4.2+83.64</f>
        <v>1457.9640000000002</v>
      </c>
      <c r="F759" s="158" t="s">
        <v>183</v>
      </c>
      <c r="G759" s="156">
        <v>50</v>
      </c>
      <c r="H759" s="161">
        <f t="shared" si="191"/>
        <v>72898.2</v>
      </c>
      <c r="I759" s="156">
        <v>30</v>
      </c>
      <c r="J759" s="161">
        <f t="shared" si="192"/>
        <v>43738.92</v>
      </c>
      <c r="K759" s="159">
        <f t="shared" si="193"/>
        <v>116637.12</v>
      </c>
      <c r="L759" s="163"/>
    </row>
    <row r="760" spans="1:12" ht="24">
      <c r="A760" s="200"/>
      <c r="B760" s="145" t="s">
        <v>143</v>
      </c>
      <c r="C760" s="224" t="s">
        <v>332</v>
      </c>
      <c r="D760" s="67"/>
      <c r="E760" s="194">
        <f>160.4</f>
        <v>160.4</v>
      </c>
      <c r="F760" s="159" t="s">
        <v>183</v>
      </c>
      <c r="G760" s="160">
        <v>430</v>
      </c>
      <c r="H760" s="161">
        <f t="shared" si="191"/>
        <v>68972</v>
      </c>
      <c r="I760" s="156">
        <v>138</v>
      </c>
      <c r="J760" s="161">
        <f t="shared" si="192"/>
        <v>22135.200000000001</v>
      </c>
      <c r="K760" s="159">
        <f t="shared" si="193"/>
        <v>91107.199999999997</v>
      </c>
      <c r="L760" s="162"/>
    </row>
    <row r="761" spans="1:12" ht="24">
      <c r="A761" s="200"/>
      <c r="B761" s="145" t="s">
        <v>143</v>
      </c>
      <c r="C761" s="224" t="s">
        <v>334</v>
      </c>
      <c r="D761" s="67"/>
      <c r="E761" s="194"/>
      <c r="F761" s="159" t="s">
        <v>183</v>
      </c>
      <c r="G761" s="160"/>
      <c r="H761" s="161"/>
      <c r="I761" s="156"/>
      <c r="J761" s="161"/>
      <c r="K761" s="159"/>
      <c r="L761" s="162"/>
    </row>
    <row r="762" spans="1:12" ht="24">
      <c r="A762" s="200"/>
      <c r="B762" s="60" t="s">
        <v>134</v>
      </c>
      <c r="C762" s="61" t="s">
        <v>231</v>
      </c>
      <c r="D762" s="67"/>
      <c r="E762" s="194">
        <f>E759</f>
        <v>1457.9640000000002</v>
      </c>
      <c r="F762" s="159" t="s">
        <v>183</v>
      </c>
      <c r="G762" s="160">
        <v>58</v>
      </c>
      <c r="H762" s="161">
        <f t="shared" ref="H762:H764" si="194">ROUND(E762*G762,2)</f>
        <v>84561.91</v>
      </c>
      <c r="I762" s="156">
        <v>82</v>
      </c>
      <c r="J762" s="161">
        <f t="shared" ref="J762:J764" si="195">ROUND(E762*I762,2)</f>
        <v>119553.05</v>
      </c>
      <c r="K762" s="159">
        <f t="shared" ref="K762:K764" si="196">ROUND(H762+J762,2)</f>
        <v>204114.96</v>
      </c>
      <c r="L762" s="162"/>
    </row>
    <row r="763" spans="1:12" ht="24">
      <c r="A763" s="200"/>
      <c r="B763" s="60" t="s">
        <v>134</v>
      </c>
      <c r="C763" s="61" t="s">
        <v>232</v>
      </c>
      <c r="D763" s="67"/>
      <c r="E763" s="194">
        <v>0</v>
      </c>
      <c r="F763" s="159" t="s">
        <v>183</v>
      </c>
      <c r="G763" s="160">
        <v>58</v>
      </c>
      <c r="H763" s="161">
        <f t="shared" si="194"/>
        <v>0</v>
      </c>
      <c r="I763" s="156">
        <v>82</v>
      </c>
      <c r="J763" s="161">
        <f t="shared" si="195"/>
        <v>0</v>
      </c>
      <c r="K763" s="159">
        <f t="shared" si="196"/>
        <v>0</v>
      </c>
      <c r="L763" s="191"/>
    </row>
    <row r="764" spans="1:12" ht="24">
      <c r="A764" s="200"/>
      <c r="B764" s="60" t="s">
        <v>134</v>
      </c>
      <c r="C764" s="61" t="s">
        <v>144</v>
      </c>
      <c r="D764" s="67"/>
      <c r="E764" s="194">
        <f>E736</f>
        <v>181.44</v>
      </c>
      <c r="F764" s="159" t="s">
        <v>183</v>
      </c>
      <c r="G764" s="160">
        <v>63</v>
      </c>
      <c r="H764" s="161">
        <f t="shared" si="194"/>
        <v>11430.72</v>
      </c>
      <c r="I764" s="156">
        <v>100</v>
      </c>
      <c r="J764" s="161">
        <f t="shared" si="195"/>
        <v>18144</v>
      </c>
      <c r="K764" s="159">
        <f t="shared" si="196"/>
        <v>29574.720000000001</v>
      </c>
      <c r="L764" s="162"/>
    </row>
    <row r="765" spans="1:12" ht="24">
      <c r="A765" s="200"/>
      <c r="B765" s="60"/>
      <c r="C765" s="61"/>
      <c r="D765" s="67"/>
      <c r="E765" s="159"/>
      <c r="F765" s="159"/>
      <c r="G765" s="160"/>
      <c r="H765" s="161"/>
      <c r="I765" s="160"/>
      <c r="J765" s="161"/>
      <c r="K765" s="159"/>
      <c r="L765" s="162"/>
    </row>
    <row r="766" spans="1:12" ht="24">
      <c r="A766" s="200"/>
      <c r="B766" s="60"/>
      <c r="C766" s="61"/>
      <c r="D766" s="67"/>
      <c r="E766" s="159"/>
      <c r="F766" s="159"/>
      <c r="G766" s="160"/>
      <c r="H766" s="161"/>
      <c r="I766" s="160"/>
      <c r="J766" s="161"/>
      <c r="K766" s="159"/>
      <c r="L766" s="162"/>
    </row>
    <row r="767" spans="1:12" ht="24">
      <c r="A767" s="200"/>
      <c r="B767" s="60"/>
      <c r="C767" s="61"/>
      <c r="D767" s="67"/>
      <c r="E767" s="159"/>
      <c r="F767" s="159"/>
      <c r="G767" s="160"/>
      <c r="H767" s="161"/>
      <c r="I767" s="160"/>
      <c r="J767" s="161"/>
      <c r="K767" s="159"/>
      <c r="L767" s="162"/>
    </row>
    <row r="768" spans="1:12" ht="24">
      <c r="A768" s="200"/>
      <c r="B768" s="60"/>
      <c r="C768" s="61"/>
      <c r="D768" s="67"/>
      <c r="E768" s="159"/>
      <c r="F768" s="159"/>
      <c r="G768" s="160"/>
      <c r="H768" s="161"/>
      <c r="I768" s="160"/>
      <c r="J768" s="161"/>
      <c r="K768" s="159"/>
      <c r="L768" s="162"/>
    </row>
    <row r="769" spans="1:12" ht="24">
      <c r="A769" s="200"/>
      <c r="B769" s="60"/>
      <c r="C769" s="61"/>
      <c r="D769" s="67"/>
      <c r="E769" s="159"/>
      <c r="F769" s="159"/>
      <c r="G769" s="160"/>
      <c r="H769" s="161"/>
      <c r="I769" s="160"/>
      <c r="J769" s="161"/>
      <c r="K769" s="159"/>
      <c r="L769" s="162"/>
    </row>
    <row r="770" spans="1:12" ht="24">
      <c r="A770" s="200"/>
      <c r="B770" s="60"/>
      <c r="C770" s="61"/>
      <c r="D770" s="67"/>
      <c r="E770" s="159"/>
      <c r="F770" s="159"/>
      <c r="G770" s="160"/>
      <c r="H770" s="161"/>
      <c r="I770" s="160"/>
      <c r="J770" s="161"/>
      <c r="K770" s="159"/>
      <c r="L770" s="162"/>
    </row>
    <row r="771" spans="1:12" ht="24">
      <c r="A771" s="200"/>
      <c r="B771" s="60"/>
      <c r="C771" s="61"/>
      <c r="D771" s="67"/>
      <c r="E771" s="159"/>
      <c r="F771" s="159"/>
      <c r="G771" s="160"/>
      <c r="H771" s="161"/>
      <c r="I771" s="160"/>
      <c r="J771" s="161"/>
      <c r="K771" s="159"/>
      <c r="L771" s="162"/>
    </row>
    <row r="772" spans="1:12" ht="24">
      <c r="A772" s="201"/>
      <c r="B772" s="60"/>
      <c r="C772" s="61"/>
      <c r="D772" s="67"/>
      <c r="E772" s="159"/>
      <c r="F772" s="159"/>
      <c r="G772" s="160"/>
      <c r="H772" s="161"/>
      <c r="I772" s="160"/>
      <c r="J772" s="161"/>
      <c r="K772" s="159"/>
      <c r="L772" s="162"/>
    </row>
    <row r="773" spans="1:12" ht="24">
      <c r="A773" s="201"/>
      <c r="B773" s="60"/>
      <c r="C773" s="61"/>
      <c r="D773" s="67"/>
      <c r="E773" s="159"/>
      <c r="F773" s="159"/>
      <c r="G773" s="160"/>
      <c r="H773" s="161"/>
      <c r="I773" s="160"/>
      <c r="J773" s="161"/>
      <c r="K773" s="159"/>
      <c r="L773" s="162"/>
    </row>
    <row r="774" spans="1:12" ht="24">
      <c r="A774" s="201"/>
      <c r="B774" s="60"/>
      <c r="C774" s="61"/>
      <c r="D774" s="67"/>
      <c r="E774" s="159"/>
      <c r="F774" s="159"/>
      <c r="G774" s="160"/>
      <c r="H774" s="161"/>
      <c r="I774" s="160"/>
      <c r="J774" s="161"/>
      <c r="K774" s="159"/>
      <c r="L774" s="162"/>
    </row>
    <row r="775" spans="1:12" ht="24">
      <c r="A775" s="201"/>
      <c r="B775" s="60"/>
      <c r="C775" s="61"/>
      <c r="D775" s="67"/>
      <c r="E775" s="159"/>
      <c r="F775" s="159"/>
      <c r="G775" s="160"/>
      <c r="H775" s="161"/>
      <c r="I775" s="160"/>
      <c r="J775" s="161"/>
      <c r="K775" s="159"/>
      <c r="L775" s="162"/>
    </row>
    <row r="776" spans="1:12" ht="24.75" thickBot="1">
      <c r="A776" s="201"/>
      <c r="B776" s="60"/>
      <c r="C776" s="61"/>
      <c r="D776" s="67"/>
      <c r="E776" s="159"/>
      <c r="F776" s="159"/>
      <c r="G776" s="160"/>
      <c r="H776" s="161"/>
      <c r="I776" s="160"/>
      <c r="J776" s="161"/>
      <c r="K776" s="159"/>
      <c r="L776" s="162"/>
    </row>
    <row r="777" spans="1:12" ht="24.75" thickTop="1">
      <c r="A777" s="149"/>
      <c r="B777" s="1981" t="s">
        <v>69</v>
      </c>
      <c r="C777" s="1982"/>
      <c r="D777" s="1983"/>
      <c r="E777" s="164"/>
      <c r="F777" s="164"/>
      <c r="G777" s="165"/>
      <c r="H777" s="166"/>
      <c r="I777" s="165"/>
      <c r="J777" s="166"/>
      <c r="K777" s="164">
        <f>SUM(K757:K776)</f>
        <v>441434</v>
      </c>
      <c r="L777" s="167"/>
    </row>
    <row r="778" spans="1:12" ht="24">
      <c r="A778" s="206" t="s">
        <v>191</v>
      </c>
      <c r="B778" s="146" t="s">
        <v>111</v>
      </c>
      <c r="C778" s="142"/>
      <c r="D778" s="143"/>
      <c r="E778" s="155"/>
      <c r="F778" s="155"/>
      <c r="G778" s="156"/>
      <c r="H778" s="157"/>
      <c r="I778" s="156"/>
      <c r="J778" s="157"/>
      <c r="K778" s="158"/>
      <c r="L778" s="158"/>
    </row>
    <row r="779" spans="1:12" ht="24">
      <c r="A779" s="205"/>
      <c r="B779" s="144" t="s">
        <v>117</v>
      </c>
      <c r="C779" s="61" t="s">
        <v>145</v>
      </c>
      <c r="D779" s="55"/>
      <c r="E779" s="159">
        <v>0</v>
      </c>
      <c r="F779" s="159" t="s">
        <v>184</v>
      </c>
      <c r="G779" s="160">
        <v>0</v>
      </c>
      <c r="H779" s="161">
        <f t="shared" ref="H779:H783" si="197">ROUND(E779*G779,2)</f>
        <v>0</v>
      </c>
      <c r="I779" s="160">
        <v>0</v>
      </c>
      <c r="J779" s="161">
        <f t="shared" ref="J779:J783" si="198">ROUND(E779*I779,2)</f>
        <v>0</v>
      </c>
      <c r="K779" s="159">
        <f t="shared" ref="K779:K783" si="199">ROUND(H779+J779,2)</f>
        <v>0</v>
      </c>
      <c r="L779" s="162"/>
    </row>
    <row r="780" spans="1:12" ht="24">
      <c r="A780" s="200"/>
      <c r="B780" s="145" t="s">
        <v>146</v>
      </c>
      <c r="C780" s="61" t="s">
        <v>147</v>
      </c>
      <c r="D780" s="62"/>
      <c r="E780" s="158"/>
      <c r="F780" s="158" t="s">
        <v>184</v>
      </c>
      <c r="G780" s="156">
        <v>15</v>
      </c>
      <c r="H780" s="161">
        <f t="shared" si="197"/>
        <v>0</v>
      </c>
      <c r="I780" s="156">
        <v>18</v>
      </c>
      <c r="J780" s="161">
        <f t="shared" si="198"/>
        <v>0</v>
      </c>
      <c r="K780" s="159">
        <f t="shared" si="199"/>
        <v>0</v>
      </c>
      <c r="L780" s="163"/>
    </row>
    <row r="781" spans="1:12" ht="24">
      <c r="A781" s="200"/>
      <c r="B781" s="145" t="s">
        <v>148</v>
      </c>
      <c r="C781" s="61" t="s">
        <v>149</v>
      </c>
      <c r="D781" s="62"/>
      <c r="E781" s="158"/>
      <c r="F781" s="158" t="s">
        <v>184</v>
      </c>
      <c r="G781" s="156">
        <v>50</v>
      </c>
      <c r="H781" s="161">
        <f t="shared" si="197"/>
        <v>0</v>
      </c>
      <c r="I781" s="156">
        <v>35</v>
      </c>
      <c r="J781" s="161">
        <f t="shared" si="198"/>
        <v>0</v>
      </c>
      <c r="K781" s="159">
        <f t="shared" si="199"/>
        <v>0</v>
      </c>
      <c r="L781" s="163"/>
    </row>
    <row r="782" spans="1:12" ht="24">
      <c r="A782" s="200"/>
      <c r="B782" s="145" t="s">
        <v>150</v>
      </c>
      <c r="C782" s="61" t="s">
        <v>297</v>
      </c>
      <c r="D782" s="67"/>
      <c r="E782" s="159"/>
      <c r="F782" s="159" t="s">
        <v>184</v>
      </c>
      <c r="G782" s="160">
        <v>230</v>
      </c>
      <c r="H782" s="161">
        <f t="shared" si="197"/>
        <v>0</v>
      </c>
      <c r="I782" s="156">
        <v>50</v>
      </c>
      <c r="J782" s="161">
        <f t="shared" si="198"/>
        <v>0</v>
      </c>
      <c r="K782" s="159">
        <f t="shared" si="199"/>
        <v>0</v>
      </c>
      <c r="L782" s="162"/>
    </row>
    <row r="783" spans="1:12" ht="24">
      <c r="A783" s="200"/>
      <c r="B783" s="145" t="s">
        <v>152</v>
      </c>
      <c r="C783" s="61" t="s">
        <v>298</v>
      </c>
      <c r="D783" s="67"/>
      <c r="E783" s="159"/>
      <c r="F783" s="159" t="s">
        <v>184</v>
      </c>
      <c r="G783" s="160">
        <v>320</v>
      </c>
      <c r="H783" s="161">
        <f t="shared" si="197"/>
        <v>0</v>
      </c>
      <c r="I783" s="156">
        <v>41</v>
      </c>
      <c r="J783" s="161">
        <f t="shared" si="198"/>
        <v>0</v>
      </c>
      <c r="K783" s="159">
        <f t="shared" si="199"/>
        <v>0</v>
      </c>
      <c r="L783" s="162"/>
    </row>
    <row r="784" spans="1:12" ht="24">
      <c r="A784" s="200"/>
      <c r="B784" s="145" t="s">
        <v>295</v>
      </c>
      <c r="C784" s="61" t="s">
        <v>299</v>
      </c>
      <c r="D784" s="67"/>
      <c r="E784" s="159"/>
      <c r="F784" s="159" t="s">
        <v>184</v>
      </c>
      <c r="G784" s="217"/>
      <c r="H784" s="218"/>
      <c r="I784" s="217"/>
      <c r="J784" s="218"/>
      <c r="K784" s="216"/>
      <c r="L784" s="219"/>
    </row>
    <row r="785" spans="1:12" ht="24">
      <c r="A785" s="200"/>
      <c r="B785" s="60"/>
      <c r="C785" s="61"/>
      <c r="D785" s="67"/>
      <c r="E785" s="159"/>
      <c r="F785" s="159"/>
      <c r="G785" s="160"/>
      <c r="H785" s="161"/>
      <c r="I785" s="160"/>
      <c r="J785" s="161"/>
      <c r="K785" s="159"/>
      <c r="L785" s="162"/>
    </row>
    <row r="786" spans="1:12" ht="24">
      <c r="A786" s="200"/>
      <c r="B786" s="60"/>
      <c r="C786" s="61"/>
      <c r="D786" s="67"/>
      <c r="E786" s="159"/>
      <c r="F786" s="159"/>
      <c r="G786" s="160"/>
      <c r="H786" s="161"/>
      <c r="I786" s="160"/>
      <c r="J786" s="161"/>
      <c r="K786" s="159"/>
      <c r="L786" s="162"/>
    </row>
    <row r="787" spans="1:12" ht="24">
      <c r="A787" s="200"/>
      <c r="B787" s="60"/>
      <c r="C787" s="61"/>
      <c r="D787" s="67"/>
      <c r="E787" s="159"/>
      <c r="F787" s="159"/>
      <c r="G787" s="160"/>
      <c r="H787" s="161"/>
      <c r="I787" s="160"/>
      <c r="J787" s="161"/>
      <c r="K787" s="159"/>
      <c r="L787" s="162"/>
    </row>
    <row r="788" spans="1:12" ht="24">
      <c r="A788" s="200"/>
      <c r="B788" s="60"/>
      <c r="C788" s="61"/>
      <c r="D788" s="67"/>
      <c r="E788" s="159"/>
      <c r="F788" s="159"/>
      <c r="G788" s="160"/>
      <c r="H788" s="161"/>
      <c r="I788" s="160"/>
      <c r="J788" s="161"/>
      <c r="K788" s="159"/>
      <c r="L788" s="162"/>
    </row>
    <row r="789" spans="1:12" ht="24">
      <c r="A789" s="200"/>
      <c r="B789" s="60"/>
      <c r="C789" s="61"/>
      <c r="D789" s="67"/>
      <c r="E789" s="159"/>
      <c r="F789" s="159"/>
      <c r="G789" s="160"/>
      <c r="H789" s="161"/>
      <c r="I789" s="160"/>
      <c r="J789" s="161"/>
      <c r="K789" s="159"/>
      <c r="L789" s="162"/>
    </row>
    <row r="790" spans="1:12" ht="24">
      <c r="A790" s="200"/>
      <c r="B790" s="60"/>
      <c r="C790" s="61"/>
      <c r="D790" s="67"/>
      <c r="E790" s="159"/>
      <c r="F790" s="159"/>
      <c r="G790" s="160"/>
      <c r="H790" s="161"/>
      <c r="I790" s="160"/>
      <c r="J790" s="161"/>
      <c r="K790" s="159"/>
      <c r="L790" s="162"/>
    </row>
    <row r="791" spans="1:12" ht="24">
      <c r="A791" s="200"/>
      <c r="B791" s="60"/>
      <c r="C791" s="61"/>
      <c r="D791" s="67"/>
      <c r="E791" s="159"/>
      <c r="F791" s="159"/>
      <c r="G791" s="160"/>
      <c r="H791" s="161"/>
      <c r="I791" s="160"/>
      <c r="J791" s="161"/>
      <c r="K791" s="159"/>
      <c r="L791" s="162"/>
    </row>
    <row r="792" spans="1:12" ht="24">
      <c r="A792" s="200"/>
      <c r="B792" s="60"/>
      <c r="C792" s="61"/>
      <c r="D792" s="67"/>
      <c r="E792" s="159"/>
      <c r="F792" s="159"/>
      <c r="G792" s="160"/>
      <c r="H792" s="161"/>
      <c r="I792" s="160"/>
      <c r="J792" s="161"/>
      <c r="K792" s="159"/>
      <c r="L792" s="162"/>
    </row>
    <row r="793" spans="1:12" ht="24">
      <c r="A793" s="200"/>
      <c r="B793" s="60"/>
      <c r="C793" s="61"/>
      <c r="D793" s="67"/>
      <c r="E793" s="159"/>
      <c r="F793" s="159"/>
      <c r="G793" s="160"/>
      <c r="H793" s="161"/>
      <c r="I793" s="160"/>
      <c r="J793" s="161"/>
      <c r="K793" s="159"/>
      <c r="L793" s="162"/>
    </row>
    <row r="794" spans="1:12" ht="24">
      <c r="A794" s="201"/>
      <c r="B794" s="60"/>
      <c r="C794" s="61"/>
      <c r="D794" s="67"/>
      <c r="E794" s="159"/>
      <c r="F794" s="159"/>
      <c r="G794" s="160"/>
      <c r="H794" s="161"/>
      <c r="I794" s="160"/>
      <c r="J794" s="161"/>
      <c r="K794" s="159"/>
      <c r="L794" s="162"/>
    </row>
    <row r="795" spans="1:12" ht="24">
      <c r="A795" s="201"/>
      <c r="B795" s="60"/>
      <c r="C795" s="61"/>
      <c r="D795" s="67"/>
      <c r="E795" s="159"/>
      <c r="F795" s="159"/>
      <c r="G795" s="160"/>
      <c r="H795" s="161"/>
      <c r="I795" s="160"/>
      <c r="J795" s="161"/>
      <c r="K795" s="159"/>
      <c r="L795" s="162"/>
    </row>
    <row r="796" spans="1:12" ht="24">
      <c r="A796" s="201"/>
      <c r="B796" s="60"/>
      <c r="C796" s="61"/>
      <c r="D796" s="67"/>
      <c r="E796" s="159"/>
      <c r="F796" s="159"/>
      <c r="G796" s="160"/>
      <c r="H796" s="161"/>
      <c r="I796" s="160"/>
      <c r="J796" s="161"/>
      <c r="K796" s="159"/>
      <c r="L796" s="162"/>
    </row>
    <row r="797" spans="1:12" ht="24">
      <c r="A797" s="201"/>
      <c r="B797" s="60"/>
      <c r="C797" s="61"/>
      <c r="D797" s="67"/>
      <c r="E797" s="159"/>
      <c r="F797" s="159"/>
      <c r="G797" s="160"/>
      <c r="H797" s="161"/>
      <c r="I797" s="160"/>
      <c r="J797" s="161"/>
      <c r="K797" s="159"/>
      <c r="L797" s="162"/>
    </row>
    <row r="798" spans="1:12" ht="24.75" thickBot="1">
      <c r="A798" s="201"/>
      <c r="B798" s="60"/>
      <c r="C798" s="61"/>
      <c r="D798" s="67"/>
      <c r="E798" s="159"/>
      <c r="F798" s="159"/>
      <c r="G798" s="160"/>
      <c r="H798" s="161"/>
      <c r="I798" s="160"/>
      <c r="J798" s="161"/>
      <c r="K798" s="159"/>
      <c r="L798" s="162"/>
    </row>
    <row r="799" spans="1:12" ht="24.75" thickTop="1">
      <c r="A799" s="149"/>
      <c r="B799" s="1981" t="s">
        <v>69</v>
      </c>
      <c r="C799" s="1982"/>
      <c r="D799" s="1983"/>
      <c r="E799" s="164"/>
      <c r="F799" s="164"/>
      <c r="G799" s="165"/>
      <c r="H799" s="166"/>
      <c r="I799" s="165"/>
      <c r="J799" s="166"/>
      <c r="K799" s="164"/>
      <c r="L799" s="167"/>
    </row>
    <row r="800" spans="1:12" ht="24">
      <c r="A800" s="206" t="s">
        <v>192</v>
      </c>
      <c r="B800" s="146" t="s">
        <v>112</v>
      </c>
      <c r="C800" s="142"/>
      <c r="D800" s="143"/>
      <c r="E800" s="155"/>
      <c r="F800" s="155"/>
      <c r="G800" s="156"/>
      <c r="H800" s="157"/>
      <c r="I800" s="156"/>
      <c r="J800" s="157"/>
      <c r="K800" s="158"/>
      <c r="L800" s="158"/>
    </row>
    <row r="801" spans="1:12" ht="24">
      <c r="A801" s="205"/>
      <c r="B801" s="144" t="s">
        <v>117</v>
      </c>
      <c r="C801" s="61" t="s">
        <v>145</v>
      </c>
      <c r="D801" s="55"/>
      <c r="E801" s="159">
        <v>0</v>
      </c>
      <c r="F801" s="159" t="s">
        <v>183</v>
      </c>
      <c r="G801" s="160">
        <v>0</v>
      </c>
      <c r="H801" s="161">
        <f t="shared" ref="H801:H803" si="200">ROUND(E801*G801,2)</f>
        <v>0</v>
      </c>
      <c r="I801" s="160">
        <v>0</v>
      </c>
      <c r="J801" s="161">
        <f t="shared" ref="J801:J803" si="201">ROUND(E801*I801,2)</f>
        <v>0</v>
      </c>
      <c r="K801" s="159">
        <f t="shared" ref="K801:K803" si="202">ROUND(H801+J801,2)</f>
        <v>0</v>
      </c>
      <c r="L801" s="162"/>
    </row>
    <row r="802" spans="1:12" ht="24">
      <c r="A802" s="200"/>
      <c r="B802" s="145" t="s">
        <v>153</v>
      </c>
      <c r="C802" s="61" t="s">
        <v>154</v>
      </c>
      <c r="D802" s="62"/>
      <c r="E802" s="158">
        <f>9.45+10.8+32.8+30.4+11.48</f>
        <v>94.929999999999993</v>
      </c>
      <c r="F802" s="158" t="s">
        <v>183</v>
      </c>
      <c r="G802" s="156">
        <v>30</v>
      </c>
      <c r="H802" s="161">
        <f t="shared" si="200"/>
        <v>2847.9</v>
      </c>
      <c r="I802" s="160">
        <v>35</v>
      </c>
      <c r="J802" s="161">
        <f t="shared" si="201"/>
        <v>3322.55</v>
      </c>
      <c r="K802" s="159">
        <f t="shared" si="202"/>
        <v>6170.45</v>
      </c>
      <c r="L802" s="163"/>
    </row>
    <row r="803" spans="1:12" ht="24">
      <c r="A803" s="200"/>
      <c r="B803" s="145" t="s">
        <v>155</v>
      </c>
      <c r="C803" s="61" t="s">
        <v>156</v>
      </c>
      <c r="D803" s="62"/>
      <c r="E803" s="158">
        <f>72.75+424.29+42.8+21.6+17.43+18.41+18.41+15.54+12.96+32.4+9.88+65.42+384</f>
        <v>1135.8899999999999</v>
      </c>
      <c r="F803" s="158" t="s">
        <v>183</v>
      </c>
      <c r="G803" s="156">
        <v>262</v>
      </c>
      <c r="H803" s="161">
        <f t="shared" si="200"/>
        <v>297603.18</v>
      </c>
      <c r="I803" s="160">
        <v>75</v>
      </c>
      <c r="J803" s="161">
        <f t="shared" si="201"/>
        <v>85191.75</v>
      </c>
      <c r="K803" s="159">
        <f t="shared" si="202"/>
        <v>382794.93</v>
      </c>
      <c r="L803" s="163"/>
    </row>
    <row r="804" spans="1:12" ht="24">
      <c r="A804" s="200"/>
      <c r="B804" s="145"/>
      <c r="C804" s="61" t="s">
        <v>234</v>
      </c>
      <c r="D804" s="67"/>
      <c r="E804" s="159"/>
      <c r="F804" s="159"/>
      <c r="G804" s="160"/>
      <c r="H804" s="161"/>
      <c r="I804" s="160"/>
      <c r="J804" s="161"/>
      <c r="K804" s="159"/>
      <c r="L804" s="162"/>
    </row>
    <row r="805" spans="1:12" ht="24">
      <c r="A805" s="200"/>
      <c r="B805" s="145" t="s">
        <v>157</v>
      </c>
      <c r="C805" s="61" t="s">
        <v>237</v>
      </c>
      <c r="D805" s="67"/>
      <c r="E805" s="159">
        <v>67.2</v>
      </c>
      <c r="F805" s="159" t="s">
        <v>183</v>
      </c>
      <c r="G805" s="160">
        <v>650</v>
      </c>
      <c r="H805" s="161">
        <f t="shared" ref="H805" si="203">ROUND(E805*G805,2)</f>
        <v>43680</v>
      </c>
      <c r="I805" s="160">
        <v>52</v>
      </c>
      <c r="J805" s="161">
        <f t="shared" ref="J805" si="204">ROUND(E805*I805,2)</f>
        <v>3494.4</v>
      </c>
      <c r="K805" s="159">
        <f t="shared" ref="K805" si="205">ROUND(H805+J805,2)</f>
        <v>47174.400000000001</v>
      </c>
      <c r="L805" s="162"/>
    </row>
    <row r="806" spans="1:12" ht="24">
      <c r="A806" s="200"/>
      <c r="B806" s="145"/>
      <c r="C806" s="61" t="s">
        <v>238</v>
      </c>
      <c r="D806" s="67"/>
      <c r="E806" s="159"/>
      <c r="F806" s="159"/>
      <c r="G806" s="160"/>
      <c r="H806" s="161"/>
      <c r="I806" s="160"/>
      <c r="J806" s="161"/>
      <c r="K806" s="159"/>
      <c r="L806" s="162"/>
    </row>
    <row r="807" spans="1:12" ht="24">
      <c r="A807" s="200"/>
      <c r="B807" s="145"/>
      <c r="C807" s="61" t="s">
        <v>239</v>
      </c>
      <c r="D807" s="67"/>
      <c r="E807" s="159"/>
      <c r="F807" s="159"/>
      <c r="G807" s="160"/>
      <c r="H807" s="161"/>
      <c r="I807" s="160"/>
      <c r="J807" s="161"/>
      <c r="K807" s="159"/>
      <c r="L807" s="162"/>
    </row>
    <row r="808" spans="1:12" ht="24">
      <c r="A808" s="200"/>
      <c r="B808" s="145" t="s">
        <v>159</v>
      </c>
      <c r="C808" s="61" t="s">
        <v>158</v>
      </c>
      <c r="D808" s="67"/>
      <c r="E808" s="159">
        <f>6.5+13+26.7+20.16+9.48+20</f>
        <v>95.84</v>
      </c>
      <c r="F808" s="159" t="s">
        <v>183</v>
      </c>
      <c r="G808" s="160">
        <v>329</v>
      </c>
      <c r="H808" s="161">
        <f t="shared" ref="H808" si="206">ROUND(E808*G808,2)</f>
        <v>31531.360000000001</v>
      </c>
      <c r="I808" s="160">
        <v>75</v>
      </c>
      <c r="J808" s="161">
        <f t="shared" ref="J808" si="207">ROUND(E808*I808,2)</f>
        <v>7188</v>
      </c>
      <c r="K808" s="159">
        <f t="shared" ref="K808" si="208">ROUND(H808+J808,2)</f>
        <v>38719.360000000001</v>
      </c>
      <c r="L808" s="162"/>
    </row>
    <row r="809" spans="1:12" ht="24">
      <c r="A809" s="200"/>
      <c r="B809" s="60"/>
      <c r="C809" s="61" t="s">
        <v>235</v>
      </c>
      <c r="D809" s="67"/>
      <c r="E809" s="159"/>
      <c r="F809" s="159"/>
      <c r="G809" s="160"/>
      <c r="H809" s="161"/>
      <c r="I809" s="160"/>
      <c r="J809" s="161"/>
      <c r="K809" s="159"/>
      <c r="L809" s="162"/>
    </row>
    <row r="810" spans="1:12" ht="24">
      <c r="A810" s="200"/>
      <c r="B810" s="60" t="s">
        <v>240</v>
      </c>
      <c r="C810" s="61" t="s">
        <v>241</v>
      </c>
      <c r="D810" s="67"/>
      <c r="E810" s="159">
        <f>38.42</f>
        <v>38.42</v>
      </c>
      <c r="F810" s="159" t="s">
        <v>183</v>
      </c>
      <c r="G810" s="160">
        <v>215</v>
      </c>
      <c r="H810" s="161">
        <f t="shared" ref="H810" si="209">ROUND(E810*G810,2)</f>
        <v>8260.2999999999993</v>
      </c>
      <c r="I810" s="160">
        <v>52</v>
      </c>
      <c r="J810" s="161">
        <f t="shared" ref="J810" si="210">ROUND(E810*I810,2)</f>
        <v>1997.84</v>
      </c>
      <c r="K810" s="159">
        <f t="shared" ref="K810" si="211">ROUND(H810+J810,2)</f>
        <v>10258.14</v>
      </c>
      <c r="L810" s="162"/>
    </row>
    <row r="811" spans="1:12" ht="24">
      <c r="A811" s="200"/>
      <c r="B811" s="145"/>
      <c r="C811" s="61" t="s">
        <v>242</v>
      </c>
      <c r="D811" s="67"/>
      <c r="E811" s="159"/>
      <c r="F811" s="159"/>
      <c r="G811" s="160"/>
      <c r="H811" s="161"/>
      <c r="I811" s="160"/>
      <c r="J811" s="161"/>
      <c r="K811" s="159"/>
      <c r="L811" s="162"/>
    </row>
    <row r="812" spans="1:12" ht="24">
      <c r="A812" s="200"/>
      <c r="B812" s="60" t="s">
        <v>134</v>
      </c>
      <c r="C812" s="61" t="s">
        <v>160</v>
      </c>
      <c r="D812" s="67"/>
      <c r="E812" s="159"/>
      <c r="F812" s="159" t="s">
        <v>183</v>
      </c>
      <c r="G812" s="160">
        <v>264</v>
      </c>
      <c r="H812" s="161">
        <f t="shared" ref="H812" si="212">ROUND(E812*G812,2)</f>
        <v>0</v>
      </c>
      <c r="I812" s="160">
        <v>80</v>
      </c>
      <c r="J812" s="161">
        <f t="shared" ref="J812" si="213">ROUND(E812*I812,2)</f>
        <v>0</v>
      </c>
      <c r="K812" s="159">
        <f t="shared" ref="K812" si="214">ROUND(H812+J812,2)</f>
        <v>0</v>
      </c>
      <c r="L812" s="162"/>
    </row>
    <row r="813" spans="1:12" ht="24">
      <c r="A813" s="200"/>
      <c r="B813" s="60"/>
      <c r="C813" s="61" t="s">
        <v>236</v>
      </c>
      <c r="D813" s="67"/>
      <c r="E813" s="159"/>
      <c r="F813" s="159"/>
      <c r="G813" s="160"/>
      <c r="H813" s="161"/>
      <c r="I813" s="160"/>
      <c r="J813" s="161"/>
      <c r="K813" s="159"/>
      <c r="L813" s="162"/>
    </row>
    <row r="814" spans="1:12" ht="24">
      <c r="A814" s="200"/>
      <c r="B814" s="60" t="s">
        <v>134</v>
      </c>
      <c r="C814" s="61" t="s">
        <v>161</v>
      </c>
      <c r="D814" s="67"/>
      <c r="E814" s="159">
        <f>E802+E803+E805+E808+E810</f>
        <v>1432.28</v>
      </c>
      <c r="F814" s="159" t="s">
        <v>183</v>
      </c>
      <c r="G814" s="160">
        <v>55</v>
      </c>
      <c r="H814" s="161">
        <f t="shared" ref="H814" si="215">ROUND(E814*G814,2)</f>
        <v>78775.399999999994</v>
      </c>
      <c r="I814" s="160">
        <v>30</v>
      </c>
      <c r="J814" s="161">
        <f t="shared" ref="J814" si="216">ROUND(E814*I814,2)</f>
        <v>42968.4</v>
      </c>
      <c r="K814" s="159">
        <f t="shared" ref="K814" si="217">ROUND(H814+J814,2)</f>
        <v>121743.8</v>
      </c>
      <c r="L814" s="162"/>
    </row>
    <row r="815" spans="1:12" ht="24">
      <c r="A815" s="201"/>
      <c r="B815" s="60"/>
      <c r="C815" s="61"/>
      <c r="D815" s="67"/>
      <c r="E815" s="159"/>
      <c r="F815" s="159"/>
      <c r="G815" s="160"/>
      <c r="H815" s="161"/>
      <c r="I815" s="160"/>
      <c r="J815" s="161"/>
      <c r="K815" s="159"/>
      <c r="L815" s="162"/>
    </row>
    <row r="816" spans="1:12" ht="24">
      <c r="A816" s="201"/>
      <c r="B816" s="60"/>
      <c r="C816" s="61"/>
      <c r="D816" s="67"/>
      <c r="E816" s="159"/>
      <c r="F816" s="159"/>
      <c r="G816" s="160"/>
      <c r="H816" s="161"/>
      <c r="I816" s="160"/>
      <c r="J816" s="161"/>
      <c r="K816" s="159"/>
      <c r="L816" s="162"/>
    </row>
    <row r="817" spans="1:12" ht="24">
      <c r="A817" s="201"/>
      <c r="B817" s="60"/>
      <c r="C817" s="61"/>
      <c r="D817" s="67"/>
      <c r="E817" s="159"/>
      <c r="F817" s="159"/>
      <c r="G817" s="160"/>
      <c r="H817" s="161"/>
      <c r="I817" s="160"/>
      <c r="J817" s="161"/>
      <c r="K817" s="159"/>
      <c r="L817" s="162"/>
    </row>
    <row r="818" spans="1:12" ht="24">
      <c r="A818" s="201"/>
      <c r="B818" s="60"/>
      <c r="C818" s="61"/>
      <c r="D818" s="67"/>
      <c r="E818" s="159"/>
      <c r="F818" s="159"/>
      <c r="G818" s="160"/>
      <c r="H818" s="161"/>
      <c r="I818" s="160"/>
      <c r="J818" s="161"/>
      <c r="K818" s="159"/>
      <c r="L818" s="162"/>
    </row>
    <row r="819" spans="1:12" ht="24">
      <c r="A819" s="201"/>
      <c r="B819" s="60"/>
      <c r="C819" s="61"/>
      <c r="D819" s="67"/>
      <c r="E819" s="159"/>
      <c r="F819" s="159"/>
      <c r="G819" s="160"/>
      <c r="H819" s="161"/>
      <c r="I819" s="160"/>
      <c r="J819" s="161"/>
      <c r="K819" s="159"/>
      <c r="L819" s="162"/>
    </row>
    <row r="820" spans="1:12" ht="24.75" thickBot="1">
      <c r="A820" s="201"/>
      <c r="B820" s="60"/>
      <c r="C820" s="61"/>
      <c r="D820" s="67"/>
      <c r="E820" s="159"/>
      <c r="F820" s="159"/>
      <c r="G820" s="160"/>
      <c r="H820" s="161"/>
      <c r="I820" s="160"/>
      <c r="J820" s="161"/>
      <c r="K820" s="159"/>
      <c r="L820" s="162"/>
    </row>
    <row r="821" spans="1:12" ht="24.75" thickTop="1">
      <c r="A821" s="149"/>
      <c r="B821" s="1981" t="s">
        <v>69</v>
      </c>
      <c r="C821" s="1982"/>
      <c r="D821" s="1983"/>
      <c r="E821" s="164"/>
      <c r="F821" s="164"/>
      <c r="G821" s="165"/>
      <c r="H821" s="166"/>
      <c r="I821" s="165"/>
      <c r="J821" s="166"/>
      <c r="K821" s="164"/>
      <c r="L821" s="167"/>
    </row>
    <row r="822" spans="1:12" ht="24">
      <c r="A822" s="206" t="s">
        <v>193</v>
      </c>
      <c r="B822" s="146" t="s">
        <v>113</v>
      </c>
      <c r="C822" s="142"/>
      <c r="D822" s="143"/>
      <c r="E822" s="155"/>
      <c r="F822" s="155"/>
      <c r="G822" s="156"/>
      <c r="H822" s="157"/>
      <c r="I822" s="156"/>
      <c r="J822" s="157"/>
      <c r="K822" s="158"/>
      <c r="L822" s="158"/>
    </row>
    <row r="823" spans="1:12" ht="24">
      <c r="A823" s="205"/>
      <c r="B823" s="147" t="s">
        <v>186</v>
      </c>
      <c r="C823" s="61" t="s">
        <v>346</v>
      </c>
      <c r="D823" s="55"/>
      <c r="E823" s="194">
        <v>3</v>
      </c>
      <c r="F823" s="159" t="s">
        <v>185</v>
      </c>
      <c r="G823" s="160"/>
      <c r="H823" s="161"/>
      <c r="I823" s="160"/>
      <c r="J823" s="161"/>
      <c r="K823" s="159"/>
      <c r="L823" s="162"/>
    </row>
    <row r="824" spans="1:12" ht="24">
      <c r="A824" s="200"/>
      <c r="B824" s="60" t="s">
        <v>187</v>
      </c>
      <c r="C824" s="61" t="s">
        <v>345</v>
      </c>
      <c r="D824" s="62"/>
      <c r="E824" s="220">
        <v>2</v>
      </c>
      <c r="F824" s="159" t="s">
        <v>185</v>
      </c>
      <c r="G824" s="156"/>
      <c r="H824" s="157"/>
      <c r="I824" s="156"/>
      <c r="J824" s="157"/>
      <c r="K824" s="158"/>
      <c r="L824" s="163"/>
    </row>
    <row r="825" spans="1:12" ht="24">
      <c r="A825" s="200"/>
      <c r="B825" s="60" t="s">
        <v>300</v>
      </c>
      <c r="C825" s="61" t="s">
        <v>344</v>
      </c>
      <c r="D825" s="62"/>
      <c r="E825" s="220">
        <v>1</v>
      </c>
      <c r="F825" s="159" t="s">
        <v>185</v>
      </c>
      <c r="G825" s="156"/>
      <c r="H825" s="157"/>
      <c r="I825" s="156"/>
      <c r="J825" s="157"/>
      <c r="K825" s="158"/>
      <c r="L825" s="163"/>
    </row>
    <row r="826" spans="1:12" ht="24">
      <c r="A826" s="200"/>
      <c r="B826" s="60" t="s">
        <v>301</v>
      </c>
      <c r="C826" s="61" t="s">
        <v>347</v>
      </c>
      <c r="D826" s="67"/>
      <c r="E826" s="194">
        <v>1</v>
      </c>
      <c r="F826" s="159" t="s">
        <v>185</v>
      </c>
      <c r="G826" s="160"/>
      <c r="H826" s="161"/>
      <c r="I826" s="160"/>
      <c r="J826" s="161"/>
      <c r="K826" s="159"/>
      <c r="L826" s="162"/>
    </row>
    <row r="827" spans="1:12" ht="24">
      <c r="A827" s="200"/>
      <c r="B827" s="60" t="s">
        <v>302</v>
      </c>
      <c r="C827" s="61" t="s">
        <v>348</v>
      </c>
      <c r="D827" s="67"/>
      <c r="E827" s="194">
        <v>3</v>
      </c>
      <c r="F827" s="159" t="s">
        <v>185</v>
      </c>
      <c r="G827" s="160"/>
      <c r="H827" s="161"/>
      <c r="I827" s="160"/>
      <c r="J827" s="161"/>
      <c r="K827" s="159"/>
      <c r="L827" s="162"/>
    </row>
    <row r="828" spans="1:12" ht="24">
      <c r="A828" s="200"/>
      <c r="B828" s="60" t="s">
        <v>303</v>
      </c>
      <c r="C828" s="61" t="s">
        <v>349</v>
      </c>
      <c r="D828" s="67"/>
      <c r="E828" s="194">
        <v>1</v>
      </c>
      <c r="F828" s="159" t="s">
        <v>185</v>
      </c>
      <c r="G828" s="160"/>
      <c r="H828" s="161"/>
      <c r="I828" s="160"/>
      <c r="J828" s="161"/>
      <c r="K828" s="159"/>
      <c r="L828" s="162"/>
    </row>
    <row r="829" spans="1:12" ht="24">
      <c r="A829" s="200"/>
      <c r="B829" s="60" t="s">
        <v>304</v>
      </c>
      <c r="C829" s="61" t="s">
        <v>350</v>
      </c>
      <c r="D829" s="67"/>
      <c r="E829" s="194">
        <v>1</v>
      </c>
      <c r="F829" s="159" t="s">
        <v>185</v>
      </c>
      <c r="G829" s="160"/>
      <c r="H829" s="161"/>
      <c r="I829" s="160"/>
      <c r="J829" s="161"/>
      <c r="K829" s="159"/>
      <c r="L829" s="162"/>
    </row>
    <row r="830" spans="1:12" ht="24">
      <c r="A830" s="200"/>
      <c r="B830" s="60" t="s">
        <v>305</v>
      </c>
      <c r="C830" s="61" t="s">
        <v>351</v>
      </c>
      <c r="D830" s="67"/>
      <c r="E830" s="194">
        <v>4</v>
      </c>
      <c r="F830" s="159" t="s">
        <v>185</v>
      </c>
      <c r="G830" s="160"/>
      <c r="H830" s="161"/>
      <c r="I830" s="160"/>
      <c r="J830" s="161"/>
      <c r="K830" s="159"/>
      <c r="L830" s="162"/>
    </row>
    <row r="831" spans="1:12" ht="24">
      <c r="A831" s="200"/>
      <c r="B831" s="60" t="s">
        <v>306</v>
      </c>
      <c r="C831" s="61" t="s">
        <v>352</v>
      </c>
      <c r="D831" s="67"/>
      <c r="E831" s="194">
        <v>3</v>
      </c>
      <c r="F831" s="159" t="s">
        <v>185</v>
      </c>
      <c r="G831" s="160"/>
      <c r="H831" s="161"/>
      <c r="I831" s="160"/>
      <c r="J831" s="161"/>
      <c r="K831" s="159"/>
      <c r="L831" s="162"/>
    </row>
    <row r="832" spans="1:12" ht="24">
      <c r="A832" s="200"/>
      <c r="B832" s="60" t="s">
        <v>307</v>
      </c>
      <c r="C832" s="61" t="s">
        <v>353</v>
      </c>
      <c r="D832" s="67"/>
      <c r="E832" s="194">
        <v>2</v>
      </c>
      <c r="F832" s="159" t="s">
        <v>185</v>
      </c>
      <c r="G832" s="160"/>
      <c r="H832" s="161"/>
      <c r="I832" s="160"/>
      <c r="J832" s="161"/>
      <c r="K832" s="159"/>
      <c r="L832" s="162"/>
    </row>
    <row r="833" spans="1:12" ht="24">
      <c r="A833" s="200"/>
      <c r="B833" s="60" t="s">
        <v>308</v>
      </c>
      <c r="C833" s="225" t="s">
        <v>354</v>
      </c>
      <c r="D833" s="67"/>
      <c r="E833" s="194">
        <v>2</v>
      </c>
      <c r="F833" s="159" t="s">
        <v>185</v>
      </c>
      <c r="G833" s="160"/>
      <c r="H833" s="161"/>
      <c r="I833" s="160"/>
      <c r="J833" s="161"/>
      <c r="K833" s="159"/>
      <c r="L833" s="162"/>
    </row>
    <row r="834" spans="1:12" ht="24">
      <c r="A834" s="200"/>
      <c r="B834" s="60" t="s">
        <v>309</v>
      </c>
      <c r="C834" s="225" t="s">
        <v>355</v>
      </c>
      <c r="D834" s="67"/>
      <c r="E834" s="194">
        <v>3</v>
      </c>
      <c r="F834" s="159" t="s">
        <v>185</v>
      </c>
      <c r="G834" s="160"/>
      <c r="H834" s="161"/>
      <c r="I834" s="160"/>
      <c r="J834" s="161"/>
      <c r="K834" s="159"/>
      <c r="L834" s="162"/>
    </row>
    <row r="835" spans="1:12" ht="24">
      <c r="A835" s="200"/>
      <c r="B835" s="60" t="s">
        <v>310</v>
      </c>
      <c r="C835" s="61" t="s">
        <v>356</v>
      </c>
      <c r="D835" s="67"/>
      <c r="E835" s="194">
        <v>1</v>
      </c>
      <c r="F835" s="159" t="s">
        <v>185</v>
      </c>
      <c r="G835" s="160"/>
      <c r="H835" s="161"/>
      <c r="I835" s="160"/>
      <c r="J835" s="161"/>
      <c r="K835" s="159"/>
      <c r="L835" s="162"/>
    </row>
    <row r="836" spans="1:12" ht="24">
      <c r="A836" s="200"/>
      <c r="B836" s="60" t="s">
        <v>311</v>
      </c>
      <c r="C836" s="226" t="s">
        <v>357</v>
      </c>
      <c r="D836" s="67"/>
      <c r="E836" s="194">
        <v>1</v>
      </c>
      <c r="F836" s="159" t="s">
        <v>185</v>
      </c>
      <c r="G836" s="160"/>
      <c r="H836" s="161"/>
      <c r="I836" s="160"/>
      <c r="J836" s="161"/>
      <c r="K836" s="159"/>
      <c r="L836" s="162"/>
    </row>
    <row r="837" spans="1:12" ht="24">
      <c r="A837" s="201"/>
      <c r="B837" s="60" t="s">
        <v>312</v>
      </c>
      <c r="C837" s="61" t="s">
        <v>358</v>
      </c>
      <c r="D837" s="67"/>
      <c r="E837" s="194">
        <v>2</v>
      </c>
      <c r="F837" s="159" t="s">
        <v>185</v>
      </c>
      <c r="G837" s="160"/>
      <c r="H837" s="161"/>
      <c r="I837" s="160"/>
      <c r="J837" s="161"/>
      <c r="K837" s="159"/>
      <c r="L837" s="162"/>
    </row>
    <row r="838" spans="1:12" ht="24">
      <c r="A838" s="201"/>
      <c r="B838" s="60" t="s">
        <v>313</v>
      </c>
      <c r="C838" s="61" t="s">
        <v>359</v>
      </c>
      <c r="D838" s="67"/>
      <c r="E838" s="194">
        <v>1</v>
      </c>
      <c r="F838" s="159" t="s">
        <v>185</v>
      </c>
      <c r="G838" s="160"/>
      <c r="H838" s="161"/>
      <c r="I838" s="160"/>
      <c r="J838" s="161"/>
      <c r="K838" s="159"/>
      <c r="L838" s="162"/>
    </row>
    <row r="839" spans="1:12" ht="24">
      <c r="A839" s="201"/>
      <c r="B839" s="60" t="s">
        <v>314</v>
      </c>
      <c r="C839" s="61" t="s">
        <v>360</v>
      </c>
      <c r="D839" s="67"/>
      <c r="E839" s="194">
        <v>1</v>
      </c>
      <c r="F839" s="159" t="s">
        <v>185</v>
      </c>
      <c r="G839" s="160"/>
      <c r="H839" s="161"/>
      <c r="I839" s="160"/>
      <c r="J839" s="161"/>
      <c r="K839" s="159"/>
      <c r="L839" s="162"/>
    </row>
    <row r="840" spans="1:12" ht="24">
      <c r="A840" s="201"/>
      <c r="B840" s="221">
        <v>1</v>
      </c>
      <c r="C840" s="61" t="s">
        <v>361</v>
      </c>
      <c r="D840" s="67"/>
      <c r="E840" s="194">
        <v>1</v>
      </c>
      <c r="F840" s="159" t="s">
        <v>185</v>
      </c>
      <c r="G840" s="160"/>
      <c r="H840" s="161"/>
      <c r="I840" s="160"/>
      <c r="J840" s="161"/>
      <c r="K840" s="159"/>
      <c r="L840" s="162"/>
    </row>
    <row r="841" spans="1:12" ht="24">
      <c r="A841" s="201"/>
      <c r="B841" s="221">
        <v>2</v>
      </c>
      <c r="C841" s="61" t="s">
        <v>362</v>
      </c>
      <c r="D841" s="67"/>
      <c r="E841" s="194">
        <v>6</v>
      </c>
      <c r="F841" s="159" t="s">
        <v>185</v>
      </c>
      <c r="G841" s="160"/>
      <c r="H841" s="161"/>
      <c r="I841" s="160"/>
      <c r="J841" s="161"/>
      <c r="K841" s="159"/>
      <c r="L841" s="162"/>
    </row>
    <row r="842" spans="1:12" ht="24">
      <c r="A842" s="201"/>
      <c r="B842" s="221">
        <v>4</v>
      </c>
      <c r="C842" s="61" t="s">
        <v>364</v>
      </c>
      <c r="D842" s="67"/>
      <c r="E842" s="194">
        <v>10</v>
      </c>
      <c r="F842" s="159" t="s">
        <v>185</v>
      </c>
      <c r="G842" s="160"/>
      <c r="H842" s="161"/>
      <c r="I842" s="160"/>
      <c r="J842" s="161"/>
      <c r="K842" s="159"/>
      <c r="L842" s="162"/>
    </row>
    <row r="843" spans="1:12" ht="24">
      <c r="A843" s="201"/>
      <c r="B843" s="221">
        <v>5</v>
      </c>
      <c r="C843" s="61" t="s">
        <v>365</v>
      </c>
      <c r="D843" s="67"/>
      <c r="E843" s="194">
        <v>1</v>
      </c>
      <c r="F843" s="159" t="s">
        <v>185</v>
      </c>
      <c r="G843" s="160"/>
      <c r="H843" s="161"/>
      <c r="I843" s="160"/>
      <c r="J843" s="161"/>
      <c r="K843" s="159"/>
      <c r="L843" s="162"/>
    </row>
    <row r="844" spans="1:12" ht="24">
      <c r="A844" s="201"/>
      <c r="B844" s="221">
        <v>6</v>
      </c>
      <c r="C844" s="61" t="s">
        <v>366</v>
      </c>
      <c r="D844" s="67"/>
      <c r="E844" s="194">
        <v>1</v>
      </c>
      <c r="F844" s="159" t="s">
        <v>185</v>
      </c>
      <c r="G844" s="160"/>
      <c r="H844" s="161"/>
      <c r="I844" s="160"/>
      <c r="J844" s="161"/>
      <c r="K844" s="159"/>
      <c r="L844" s="162"/>
    </row>
    <row r="845" spans="1:12" ht="24">
      <c r="A845" s="201"/>
      <c r="B845" s="221">
        <v>7</v>
      </c>
      <c r="C845" s="61" t="s">
        <v>367</v>
      </c>
      <c r="D845" s="67"/>
      <c r="E845" s="194">
        <v>9</v>
      </c>
      <c r="F845" s="159" t="s">
        <v>185</v>
      </c>
      <c r="G845" s="160"/>
      <c r="H845" s="161"/>
      <c r="I845" s="160"/>
      <c r="J845" s="161"/>
      <c r="K845" s="159"/>
      <c r="L845" s="162"/>
    </row>
    <row r="846" spans="1:12" ht="24">
      <c r="A846" s="201"/>
      <c r="B846" s="221"/>
      <c r="C846" s="61"/>
      <c r="D846" s="67"/>
      <c r="E846" s="159"/>
      <c r="F846" s="159"/>
      <c r="G846" s="160"/>
      <c r="H846" s="161"/>
      <c r="I846" s="160"/>
      <c r="J846" s="161"/>
      <c r="K846" s="159"/>
      <c r="L846" s="162"/>
    </row>
    <row r="847" spans="1:12" ht="24">
      <c r="A847" s="201"/>
      <c r="B847" s="221"/>
      <c r="C847" s="61"/>
      <c r="D847" s="67"/>
      <c r="E847" s="159"/>
      <c r="F847" s="159"/>
      <c r="G847" s="160"/>
      <c r="H847" s="161"/>
      <c r="I847" s="160"/>
      <c r="J847" s="161"/>
      <c r="K847" s="159"/>
      <c r="L847" s="162"/>
    </row>
    <row r="848" spans="1:12" ht="24.75" thickBot="1">
      <c r="A848" s="201"/>
      <c r="B848" s="60"/>
      <c r="C848" s="61"/>
      <c r="D848" s="67"/>
      <c r="E848" s="159"/>
      <c r="F848" s="159"/>
      <c r="G848" s="160"/>
      <c r="H848" s="161"/>
      <c r="I848" s="160"/>
      <c r="J848" s="161"/>
      <c r="K848" s="159"/>
      <c r="L848" s="162"/>
    </row>
    <row r="849" spans="1:12" ht="24.75" thickTop="1">
      <c r="A849" s="149"/>
      <c r="B849" s="1981" t="s">
        <v>69</v>
      </c>
      <c r="C849" s="1982"/>
      <c r="D849" s="1983"/>
      <c r="E849" s="164"/>
      <c r="F849" s="164"/>
      <c r="G849" s="165"/>
      <c r="H849" s="166"/>
      <c r="I849" s="165"/>
      <c r="J849" s="166"/>
      <c r="K849" s="164"/>
      <c r="L849" s="167"/>
    </row>
    <row r="850" spans="1:12" ht="24">
      <c r="A850" s="206" t="s">
        <v>194</v>
      </c>
      <c r="B850" s="133" t="s">
        <v>114</v>
      </c>
      <c r="C850" s="142"/>
      <c r="D850" s="143"/>
      <c r="E850" s="155"/>
      <c r="F850" s="155"/>
      <c r="G850" s="156"/>
      <c r="H850" s="157"/>
      <c r="I850" s="156"/>
      <c r="J850" s="157"/>
      <c r="K850" s="158"/>
      <c r="L850" s="158"/>
    </row>
    <row r="851" spans="1:12" ht="24">
      <c r="A851" s="205"/>
      <c r="B851" s="222" t="s">
        <v>315</v>
      </c>
      <c r="C851" s="54"/>
      <c r="D851" s="55"/>
      <c r="E851" s="159">
        <v>8</v>
      </c>
      <c r="F851" s="159" t="s">
        <v>185</v>
      </c>
      <c r="G851" s="160"/>
      <c r="H851" s="161"/>
      <c r="I851" s="160"/>
      <c r="J851" s="161"/>
      <c r="K851" s="159"/>
      <c r="L851" s="162"/>
    </row>
    <row r="852" spans="1:12" ht="24">
      <c r="A852" s="200"/>
      <c r="B852" s="222" t="s">
        <v>316</v>
      </c>
      <c r="C852" s="61"/>
      <c r="D852" s="62"/>
      <c r="E852" s="158">
        <v>15</v>
      </c>
      <c r="F852" s="159" t="s">
        <v>185</v>
      </c>
      <c r="G852" s="156"/>
      <c r="H852" s="157"/>
      <c r="I852" s="156"/>
      <c r="J852" s="157"/>
      <c r="K852" s="158"/>
      <c r="L852" s="163"/>
    </row>
    <row r="853" spans="1:12" ht="24">
      <c r="A853" s="200"/>
      <c r="B853" s="222" t="s">
        <v>317</v>
      </c>
      <c r="C853" s="61"/>
      <c r="D853" s="62"/>
      <c r="E853" s="158">
        <v>13</v>
      </c>
      <c r="F853" s="159" t="s">
        <v>185</v>
      </c>
      <c r="G853" s="156"/>
      <c r="H853" s="157"/>
      <c r="I853" s="156"/>
      <c r="J853" s="157"/>
      <c r="K853" s="158"/>
      <c r="L853" s="163"/>
    </row>
    <row r="854" spans="1:12" ht="24">
      <c r="A854" s="200"/>
      <c r="B854" s="222" t="s">
        <v>336</v>
      </c>
      <c r="C854" s="61"/>
      <c r="D854" s="62"/>
      <c r="E854" s="158">
        <v>13</v>
      </c>
      <c r="F854" s="159" t="s">
        <v>185</v>
      </c>
      <c r="G854" s="156"/>
      <c r="H854" s="157"/>
      <c r="I854" s="156"/>
      <c r="J854" s="157"/>
      <c r="K854" s="158"/>
      <c r="L854" s="163"/>
    </row>
    <row r="855" spans="1:12" ht="24">
      <c r="A855" s="200"/>
      <c r="B855" s="222" t="s">
        <v>318</v>
      </c>
      <c r="C855" s="61"/>
      <c r="D855" s="67"/>
      <c r="E855" s="159">
        <v>5</v>
      </c>
      <c r="F855" s="159" t="s">
        <v>185</v>
      </c>
      <c r="G855" s="160"/>
      <c r="H855" s="161"/>
      <c r="I855" s="160"/>
      <c r="J855" s="161"/>
      <c r="K855" s="159"/>
      <c r="L855" s="162"/>
    </row>
    <row r="856" spans="1:12" ht="24">
      <c r="A856" s="200"/>
      <c r="B856" s="222" t="s">
        <v>319</v>
      </c>
      <c r="C856" s="61"/>
      <c r="D856" s="67"/>
      <c r="E856" s="159">
        <v>15</v>
      </c>
      <c r="F856" s="159" t="s">
        <v>185</v>
      </c>
      <c r="G856" s="160"/>
      <c r="H856" s="161"/>
      <c r="I856" s="160"/>
      <c r="J856" s="161"/>
      <c r="K856" s="159"/>
      <c r="L856" s="162"/>
    </row>
    <row r="857" spans="1:12" ht="24">
      <c r="A857" s="200"/>
      <c r="B857" s="222" t="s">
        <v>320</v>
      </c>
      <c r="C857" s="61"/>
      <c r="D857" s="67"/>
      <c r="E857" s="159">
        <v>15</v>
      </c>
      <c r="F857" s="159" t="s">
        <v>185</v>
      </c>
      <c r="G857" s="160"/>
      <c r="H857" s="161"/>
      <c r="I857" s="160"/>
      <c r="J857" s="161"/>
      <c r="K857" s="159"/>
      <c r="L857" s="162"/>
    </row>
    <row r="858" spans="1:12" ht="24">
      <c r="A858" s="200"/>
      <c r="B858" s="222" t="s">
        <v>322</v>
      </c>
      <c r="C858" s="61"/>
      <c r="D858" s="67"/>
      <c r="E858" s="159">
        <v>3</v>
      </c>
      <c r="F858" s="159" t="s">
        <v>185</v>
      </c>
      <c r="G858" s="160"/>
      <c r="H858" s="161"/>
      <c r="I858" s="160"/>
      <c r="J858" s="161"/>
      <c r="K858" s="159"/>
      <c r="L858" s="162"/>
    </row>
    <row r="859" spans="1:12" ht="24">
      <c r="A859" s="200"/>
      <c r="B859" s="222" t="s">
        <v>323</v>
      </c>
      <c r="C859" s="61"/>
      <c r="D859" s="67"/>
      <c r="E859" s="159">
        <v>1</v>
      </c>
      <c r="F859" s="159" t="s">
        <v>185</v>
      </c>
      <c r="G859" s="160"/>
      <c r="H859" s="161"/>
      <c r="I859" s="160"/>
      <c r="J859" s="161"/>
      <c r="K859" s="159"/>
      <c r="L859" s="162"/>
    </row>
    <row r="860" spans="1:12" ht="24">
      <c r="A860" s="200"/>
      <c r="B860" s="222" t="s">
        <v>324</v>
      </c>
      <c r="C860" s="61"/>
      <c r="D860" s="67"/>
      <c r="E860" s="159">
        <v>1</v>
      </c>
      <c r="F860" s="159" t="s">
        <v>185</v>
      </c>
      <c r="G860" s="160"/>
      <c r="H860" s="161"/>
      <c r="I860" s="160"/>
      <c r="J860" s="161"/>
      <c r="K860" s="159"/>
      <c r="L860" s="162"/>
    </row>
    <row r="861" spans="1:12" ht="24">
      <c r="A861" s="200"/>
      <c r="B861" s="222" t="s">
        <v>325</v>
      </c>
      <c r="C861" s="61"/>
      <c r="D861" s="67"/>
      <c r="E861" s="159">
        <v>1</v>
      </c>
      <c r="F861" s="159" t="s">
        <v>185</v>
      </c>
      <c r="G861" s="160"/>
      <c r="H861" s="161"/>
      <c r="I861" s="160"/>
      <c r="J861" s="161"/>
      <c r="K861" s="159"/>
      <c r="L861" s="162"/>
    </row>
    <row r="862" spans="1:12" ht="24">
      <c r="A862" s="200"/>
      <c r="B862" s="222" t="s">
        <v>337</v>
      </c>
      <c r="C862" s="61"/>
      <c r="D862" s="67"/>
      <c r="E862" s="159">
        <v>3</v>
      </c>
      <c r="F862" s="159" t="s">
        <v>185</v>
      </c>
      <c r="G862" s="160"/>
      <c r="H862" s="161"/>
      <c r="I862" s="160"/>
      <c r="J862" s="161"/>
      <c r="K862" s="159"/>
      <c r="L862" s="162"/>
    </row>
    <row r="863" spans="1:12" ht="24">
      <c r="A863" s="200"/>
      <c r="B863" s="222" t="s">
        <v>338</v>
      </c>
      <c r="C863" s="61"/>
      <c r="D863" s="67"/>
      <c r="E863" s="159">
        <v>1</v>
      </c>
      <c r="F863" s="159" t="s">
        <v>185</v>
      </c>
      <c r="G863" s="160"/>
      <c r="H863" s="161"/>
      <c r="I863" s="160"/>
      <c r="J863" s="161"/>
      <c r="K863" s="159"/>
      <c r="L863" s="162"/>
    </row>
    <row r="864" spans="1:12" ht="24">
      <c r="A864" s="200"/>
      <c r="B864" s="222" t="s">
        <v>340</v>
      </c>
      <c r="C864" s="61"/>
      <c r="D864" s="67"/>
      <c r="E864" s="159">
        <v>1</v>
      </c>
      <c r="F864" s="159" t="s">
        <v>185</v>
      </c>
      <c r="G864" s="160"/>
      <c r="H864" s="161"/>
      <c r="I864" s="160"/>
      <c r="J864" s="161"/>
      <c r="K864" s="159"/>
      <c r="L864" s="162"/>
    </row>
    <row r="865" spans="1:12" ht="24">
      <c r="A865" s="200"/>
      <c r="B865" s="222" t="s">
        <v>339</v>
      </c>
      <c r="C865" s="61"/>
      <c r="D865" s="67"/>
      <c r="E865" s="159">
        <v>1</v>
      </c>
      <c r="F865" s="159" t="s">
        <v>185</v>
      </c>
      <c r="G865" s="160"/>
      <c r="H865" s="161"/>
      <c r="I865" s="160"/>
      <c r="J865" s="161"/>
      <c r="K865" s="159"/>
      <c r="L865" s="162"/>
    </row>
    <row r="866" spans="1:12" ht="24">
      <c r="A866" s="200"/>
      <c r="B866" s="222" t="s">
        <v>321</v>
      </c>
      <c r="C866" s="61"/>
      <c r="D866" s="67"/>
      <c r="E866" s="159">
        <v>14</v>
      </c>
      <c r="F866" s="159" t="s">
        <v>185</v>
      </c>
      <c r="G866" s="160"/>
      <c r="H866" s="161"/>
      <c r="I866" s="160"/>
      <c r="J866" s="161"/>
      <c r="K866" s="159"/>
      <c r="L866" s="162"/>
    </row>
    <row r="867" spans="1:12" ht="24">
      <c r="A867" s="201"/>
      <c r="B867" s="222" t="s">
        <v>335</v>
      </c>
      <c r="C867" s="61"/>
      <c r="D867" s="67"/>
      <c r="E867" s="159">
        <v>12</v>
      </c>
      <c r="F867" s="159" t="s">
        <v>185</v>
      </c>
      <c r="G867" s="160"/>
      <c r="H867" s="161"/>
      <c r="I867" s="160"/>
      <c r="J867" s="161"/>
      <c r="K867" s="159"/>
      <c r="L867" s="162"/>
    </row>
    <row r="868" spans="1:12" ht="24">
      <c r="A868" s="201"/>
      <c r="B868" s="222" t="s">
        <v>341</v>
      </c>
      <c r="C868" s="61"/>
      <c r="D868" s="67"/>
      <c r="E868" s="159">
        <v>2</v>
      </c>
      <c r="F868" s="159" t="s">
        <v>185</v>
      </c>
      <c r="G868" s="160"/>
      <c r="H868" s="161"/>
      <c r="I868" s="160"/>
      <c r="J868" s="161"/>
      <c r="K868" s="159"/>
      <c r="L868" s="162"/>
    </row>
    <row r="869" spans="1:12" ht="24">
      <c r="A869" s="201"/>
      <c r="B869" s="222" t="s">
        <v>342</v>
      </c>
      <c r="C869" s="61"/>
      <c r="D869" s="67"/>
      <c r="E869" s="159">
        <v>3</v>
      </c>
      <c r="F869" s="159" t="s">
        <v>185</v>
      </c>
      <c r="G869" s="160"/>
      <c r="H869" s="161"/>
      <c r="I869" s="160"/>
      <c r="J869" s="161"/>
      <c r="K869" s="159"/>
      <c r="L869" s="162"/>
    </row>
    <row r="870" spans="1:12" ht="24.75" thickBot="1">
      <c r="A870" s="229"/>
      <c r="B870" s="230"/>
      <c r="C870" s="215"/>
      <c r="D870" s="231"/>
      <c r="E870" s="232"/>
      <c r="F870" s="232"/>
      <c r="G870" s="233"/>
      <c r="H870" s="234"/>
      <c r="I870" s="233"/>
      <c r="J870" s="234"/>
      <c r="K870" s="232"/>
      <c r="L870" s="235"/>
    </row>
    <row r="871" spans="1:12" ht="24.75" thickTop="1">
      <c r="A871" s="149"/>
      <c r="B871" s="1981" t="s">
        <v>69</v>
      </c>
      <c r="C871" s="1982"/>
      <c r="D871" s="1983"/>
      <c r="E871" s="164"/>
      <c r="F871" s="164"/>
      <c r="G871" s="165"/>
      <c r="H871" s="166"/>
      <c r="I871" s="165"/>
      <c r="J871" s="166"/>
      <c r="K871" s="164"/>
      <c r="L871" s="167"/>
    </row>
    <row r="872" spans="1:12" ht="24">
      <c r="A872" s="202" t="s">
        <v>108</v>
      </c>
      <c r="B872" s="2007" t="str">
        <f>B691</f>
        <v xml:space="preserve"> อาคารสำนักงานศูนย์ขนส่งสาธารณะ  ฝขส. ขนาด 2 ชั้น (อาคาร G)</v>
      </c>
      <c r="C872" s="2008"/>
      <c r="D872" s="2009"/>
      <c r="E872" s="155"/>
      <c r="F872" s="155"/>
      <c r="G872" s="156"/>
      <c r="H872" s="157"/>
      <c r="I872" s="156"/>
      <c r="J872" s="157"/>
      <c r="K872" s="158"/>
      <c r="L872" s="158"/>
    </row>
    <row r="873" spans="1:12" ht="24">
      <c r="A873" s="202"/>
      <c r="B873" s="2001" t="e">
        <f>#REF!</f>
        <v>#REF!</v>
      </c>
      <c r="C873" s="2002"/>
      <c r="D873" s="2003"/>
      <c r="E873" s="155"/>
      <c r="F873" s="155"/>
      <c r="G873" s="156"/>
      <c r="H873" s="157"/>
      <c r="I873" s="156"/>
      <c r="J873" s="157"/>
      <c r="K873" s="158"/>
      <c r="L873" s="158"/>
    </row>
    <row r="874" spans="1:12" ht="24">
      <c r="A874" s="202"/>
      <c r="B874" s="2001" t="s">
        <v>284</v>
      </c>
      <c r="C874" s="2002"/>
      <c r="D874" s="2003"/>
      <c r="E874" s="196"/>
      <c r="F874" s="155"/>
      <c r="G874" s="156"/>
      <c r="H874" s="157"/>
      <c r="I874" s="156"/>
      <c r="J874" s="157"/>
      <c r="K874" s="158"/>
      <c r="L874" s="158"/>
    </row>
    <row r="875" spans="1:12" ht="24">
      <c r="A875" s="204" t="s">
        <v>195</v>
      </c>
      <c r="B875" s="134" t="s">
        <v>93</v>
      </c>
      <c r="C875" s="54"/>
      <c r="D875" s="55"/>
      <c r="E875" s="159"/>
      <c r="F875" s="159" t="s">
        <v>182</v>
      </c>
      <c r="G875" s="160"/>
      <c r="H875" s="161"/>
      <c r="I875" s="160"/>
      <c r="J875" s="161"/>
      <c r="K875" s="159"/>
      <c r="L875" s="162"/>
    </row>
    <row r="876" spans="1:12" ht="24">
      <c r="A876" s="199" t="s">
        <v>196</v>
      </c>
      <c r="B876" s="133" t="s">
        <v>109</v>
      </c>
      <c r="C876" s="61"/>
      <c r="D876" s="62"/>
      <c r="E876" s="158"/>
      <c r="F876" s="158" t="s">
        <v>182</v>
      </c>
      <c r="G876" s="156"/>
      <c r="H876" s="157"/>
      <c r="I876" s="156"/>
      <c r="J876" s="157"/>
      <c r="K876" s="158"/>
      <c r="L876" s="163"/>
    </row>
    <row r="877" spans="1:12" ht="24">
      <c r="A877" s="204" t="s">
        <v>197</v>
      </c>
      <c r="B877" s="133" t="s">
        <v>110</v>
      </c>
      <c r="C877" s="61"/>
      <c r="D877" s="62"/>
      <c r="E877" s="158"/>
      <c r="F877" s="158" t="s">
        <v>182</v>
      </c>
      <c r="G877" s="156"/>
      <c r="H877" s="157"/>
      <c r="I877" s="156"/>
      <c r="J877" s="157"/>
      <c r="K877" s="158"/>
      <c r="L877" s="163"/>
    </row>
    <row r="878" spans="1:12" ht="24">
      <c r="A878" s="199" t="s">
        <v>198</v>
      </c>
      <c r="B878" s="133" t="s">
        <v>111</v>
      </c>
      <c r="C878" s="61"/>
      <c r="D878" s="67"/>
      <c r="E878" s="159"/>
      <c r="F878" s="159" t="s">
        <v>182</v>
      </c>
      <c r="G878" s="160"/>
      <c r="H878" s="161"/>
      <c r="I878" s="160"/>
      <c r="J878" s="161"/>
      <c r="K878" s="159"/>
      <c r="L878" s="162"/>
    </row>
    <row r="879" spans="1:12" ht="24">
      <c r="A879" s="204" t="s">
        <v>199</v>
      </c>
      <c r="B879" s="133" t="s">
        <v>112</v>
      </c>
      <c r="C879" s="61"/>
      <c r="D879" s="67"/>
      <c r="E879" s="159"/>
      <c r="F879" s="159" t="s">
        <v>182</v>
      </c>
      <c r="G879" s="160"/>
      <c r="H879" s="161"/>
      <c r="I879" s="160"/>
      <c r="J879" s="161"/>
      <c r="K879" s="159"/>
      <c r="L879" s="162"/>
    </row>
    <row r="880" spans="1:12" ht="24">
      <c r="A880" s="199" t="s">
        <v>200</v>
      </c>
      <c r="B880" s="133" t="s">
        <v>113</v>
      </c>
      <c r="C880" s="61"/>
      <c r="D880" s="67"/>
      <c r="E880" s="159"/>
      <c r="F880" s="159" t="s">
        <v>182</v>
      </c>
      <c r="G880" s="160"/>
      <c r="H880" s="161"/>
      <c r="I880" s="160"/>
      <c r="J880" s="161"/>
      <c r="K880" s="159"/>
      <c r="L880" s="162"/>
    </row>
    <row r="881" spans="1:12" ht="24">
      <c r="A881" s="204" t="s">
        <v>201</v>
      </c>
      <c r="B881" s="133" t="s">
        <v>114</v>
      </c>
      <c r="C881" s="61"/>
      <c r="D881" s="67"/>
      <c r="E881" s="159"/>
      <c r="F881" s="159" t="s">
        <v>182</v>
      </c>
      <c r="G881" s="160"/>
      <c r="H881" s="161"/>
      <c r="I881" s="160"/>
      <c r="J881" s="161"/>
      <c r="K881" s="159"/>
      <c r="L881" s="162"/>
    </row>
    <row r="882" spans="1:12" ht="24">
      <c r="A882" s="199"/>
      <c r="B882" s="133"/>
      <c r="C882" s="61"/>
      <c r="D882" s="67"/>
      <c r="E882" s="159"/>
      <c r="F882" s="159"/>
      <c r="G882" s="160"/>
      <c r="H882" s="161"/>
      <c r="I882" s="160"/>
      <c r="J882" s="161"/>
      <c r="K882" s="159"/>
      <c r="L882" s="162"/>
    </row>
    <row r="883" spans="1:12" ht="24">
      <c r="A883" s="204"/>
      <c r="B883" s="133"/>
      <c r="C883" s="61"/>
      <c r="D883" s="67"/>
      <c r="E883" s="159"/>
      <c r="F883" s="159"/>
      <c r="G883" s="160"/>
      <c r="H883" s="161"/>
      <c r="I883" s="160"/>
      <c r="J883" s="161"/>
      <c r="K883" s="159"/>
      <c r="L883" s="162"/>
    </row>
    <row r="884" spans="1:12" ht="24">
      <c r="A884" s="199"/>
      <c r="B884" s="133"/>
      <c r="C884" s="61"/>
      <c r="D884" s="67"/>
      <c r="E884" s="159"/>
      <c r="F884" s="159"/>
      <c r="G884" s="160"/>
      <c r="H884" s="161"/>
      <c r="I884" s="160"/>
      <c r="J884" s="161"/>
      <c r="K884" s="159"/>
      <c r="L884" s="162"/>
    </row>
    <row r="885" spans="1:12" ht="24">
      <c r="A885" s="199"/>
      <c r="B885" s="133"/>
      <c r="C885" s="61"/>
      <c r="D885" s="67"/>
      <c r="E885" s="159"/>
      <c r="F885" s="159"/>
      <c r="G885" s="160"/>
      <c r="H885" s="161"/>
      <c r="I885" s="160"/>
      <c r="J885" s="161"/>
      <c r="K885" s="159"/>
      <c r="L885" s="162"/>
    </row>
    <row r="886" spans="1:12" ht="24">
      <c r="A886" s="199"/>
      <c r="B886" s="133"/>
      <c r="C886" s="61"/>
      <c r="D886" s="67"/>
      <c r="E886" s="159"/>
      <c r="F886" s="159"/>
      <c r="G886" s="160"/>
      <c r="H886" s="161"/>
      <c r="I886" s="160"/>
      <c r="J886" s="161"/>
      <c r="K886" s="159"/>
      <c r="L886" s="162"/>
    </row>
    <row r="887" spans="1:12" ht="24">
      <c r="A887" s="199"/>
      <c r="B887" s="133"/>
      <c r="C887" s="61"/>
      <c r="D887" s="67"/>
      <c r="E887" s="159"/>
      <c r="F887" s="159"/>
      <c r="G887" s="160"/>
      <c r="H887" s="161"/>
      <c r="I887" s="160"/>
      <c r="J887" s="161"/>
      <c r="K887" s="159"/>
      <c r="L887" s="162"/>
    </row>
    <row r="888" spans="1:12" ht="24">
      <c r="A888" s="199"/>
      <c r="B888" s="133"/>
      <c r="C888" s="61"/>
      <c r="D888" s="67"/>
      <c r="E888" s="159"/>
      <c r="F888" s="159"/>
      <c r="G888" s="160"/>
      <c r="H888" s="161"/>
      <c r="I888" s="160"/>
      <c r="J888" s="161"/>
      <c r="K888" s="159"/>
      <c r="L888" s="162"/>
    </row>
    <row r="889" spans="1:12" ht="24">
      <c r="A889" s="199"/>
      <c r="B889" s="133"/>
      <c r="C889" s="61"/>
      <c r="D889" s="67"/>
      <c r="E889" s="159"/>
      <c r="F889" s="159"/>
      <c r="G889" s="160"/>
      <c r="H889" s="161"/>
      <c r="I889" s="160"/>
      <c r="J889" s="161"/>
      <c r="K889" s="159"/>
      <c r="L889" s="162"/>
    </row>
    <row r="890" spans="1:12" ht="24">
      <c r="A890" s="201"/>
      <c r="B890" s="60"/>
      <c r="C890" s="61"/>
      <c r="D890" s="67"/>
      <c r="E890" s="159"/>
      <c r="F890" s="159"/>
      <c r="G890" s="160"/>
      <c r="H890" s="161"/>
      <c r="I890" s="160"/>
      <c r="J890" s="161"/>
      <c r="K890" s="159"/>
      <c r="L890" s="162"/>
    </row>
    <row r="891" spans="1:12" ht="24">
      <c r="A891" s="201"/>
      <c r="B891" s="60"/>
      <c r="C891" s="61"/>
      <c r="D891" s="67"/>
      <c r="E891" s="159"/>
      <c r="F891" s="159"/>
      <c r="G891" s="160"/>
      <c r="H891" s="161"/>
      <c r="I891" s="160"/>
      <c r="J891" s="161"/>
      <c r="K891" s="159"/>
      <c r="L891" s="162"/>
    </row>
    <row r="892" spans="1:12" ht="24.75" thickBot="1">
      <c r="A892" s="201"/>
      <c r="B892" s="60"/>
      <c r="C892" s="61"/>
      <c r="D892" s="67"/>
      <c r="E892" s="159"/>
      <c r="F892" s="159"/>
      <c r="G892" s="160"/>
      <c r="H892" s="161"/>
      <c r="I892" s="160"/>
      <c r="J892" s="161"/>
      <c r="K892" s="159"/>
      <c r="L892" s="162"/>
    </row>
    <row r="893" spans="1:12" ht="24.75" thickTop="1">
      <c r="A893" s="149"/>
      <c r="B893" s="2004" t="s">
        <v>69</v>
      </c>
      <c r="C893" s="2005"/>
      <c r="D893" s="2006"/>
      <c r="E893" s="168"/>
      <c r="F893" s="168"/>
      <c r="G893" s="169"/>
      <c r="H893" s="170"/>
      <c r="I893" s="169"/>
      <c r="J893" s="170"/>
      <c r="K893" s="168"/>
      <c r="L893" s="171"/>
    </row>
    <row r="894" spans="1:12" ht="24">
      <c r="A894" s="204" t="s">
        <v>195</v>
      </c>
      <c r="B894" s="53" t="s">
        <v>93</v>
      </c>
      <c r="C894" s="142"/>
      <c r="D894" s="143"/>
      <c r="E894" s="155"/>
      <c r="F894" s="155"/>
      <c r="G894" s="156"/>
      <c r="H894" s="157"/>
      <c r="I894" s="156"/>
      <c r="J894" s="157"/>
      <c r="K894" s="158"/>
      <c r="L894" s="158"/>
    </row>
    <row r="895" spans="1:12" ht="24">
      <c r="A895" s="205"/>
      <c r="B895" s="144" t="s">
        <v>117</v>
      </c>
      <c r="C895" s="61" t="s">
        <v>125</v>
      </c>
      <c r="D895" s="55"/>
      <c r="E895" s="159">
        <v>0</v>
      </c>
      <c r="F895" s="159" t="s">
        <v>183</v>
      </c>
      <c r="G895" s="160">
        <v>0</v>
      </c>
      <c r="H895" s="161">
        <f>ROUND(E895*G895,2)</f>
        <v>0</v>
      </c>
      <c r="I895" s="160">
        <v>0</v>
      </c>
      <c r="J895" s="161">
        <f>ROUND(E895*I895,2)</f>
        <v>0</v>
      </c>
      <c r="K895" s="159">
        <f>ROUND(H895+J895,2)</f>
        <v>0</v>
      </c>
      <c r="L895" s="162"/>
    </row>
    <row r="896" spans="1:12" ht="24">
      <c r="A896" s="200"/>
      <c r="B896" s="145" t="s">
        <v>118</v>
      </c>
      <c r="C896" s="61" t="s">
        <v>126</v>
      </c>
      <c r="D896" s="62"/>
      <c r="E896" s="158">
        <v>0</v>
      </c>
      <c r="F896" s="158" t="s">
        <v>183</v>
      </c>
      <c r="G896" s="156">
        <v>0</v>
      </c>
      <c r="H896" s="161">
        <f t="shared" ref="H896:H902" si="218">ROUND(E896*G896,2)</f>
        <v>0</v>
      </c>
      <c r="I896" s="160">
        <v>0</v>
      </c>
      <c r="J896" s="161">
        <f t="shared" ref="J896:J902" si="219">ROUND(E896*I896,2)</f>
        <v>0</v>
      </c>
      <c r="K896" s="159">
        <f t="shared" ref="K896:K902" si="220">ROUND(H896+J896,2)</f>
        <v>0</v>
      </c>
      <c r="L896" s="163"/>
    </row>
    <row r="897" spans="1:12" ht="24">
      <c r="A897" s="200"/>
      <c r="B897" s="145" t="s">
        <v>119</v>
      </c>
      <c r="C897" s="61" t="s">
        <v>210</v>
      </c>
      <c r="D897" s="62"/>
      <c r="E897" s="158"/>
      <c r="F897" s="158" t="s">
        <v>183</v>
      </c>
      <c r="G897" s="156">
        <v>76</v>
      </c>
      <c r="H897" s="161">
        <f t="shared" si="218"/>
        <v>0</v>
      </c>
      <c r="I897" s="160">
        <v>82</v>
      </c>
      <c r="J897" s="161">
        <f t="shared" si="219"/>
        <v>0</v>
      </c>
      <c r="K897" s="159">
        <f t="shared" si="220"/>
        <v>0</v>
      </c>
      <c r="L897" s="163"/>
    </row>
    <row r="898" spans="1:12" ht="24">
      <c r="A898" s="200"/>
      <c r="B898" s="145" t="s">
        <v>120</v>
      </c>
      <c r="C898" s="61" t="s">
        <v>211</v>
      </c>
      <c r="D898" s="67"/>
      <c r="E898" s="159"/>
      <c r="F898" s="159" t="s">
        <v>183</v>
      </c>
      <c r="G898" s="160">
        <v>83</v>
      </c>
      <c r="H898" s="161">
        <f t="shared" si="218"/>
        <v>0</v>
      </c>
      <c r="I898" s="160">
        <v>82</v>
      </c>
      <c r="J898" s="161">
        <f t="shared" si="219"/>
        <v>0</v>
      </c>
      <c r="K898" s="159">
        <f t="shared" si="220"/>
        <v>0</v>
      </c>
      <c r="L898" s="162"/>
    </row>
    <row r="899" spans="1:12" ht="24">
      <c r="A899" s="200"/>
      <c r="B899" s="145" t="s">
        <v>121</v>
      </c>
      <c r="C899" s="61" t="s">
        <v>212</v>
      </c>
      <c r="D899" s="67"/>
      <c r="E899" s="159"/>
      <c r="F899" s="159" t="s">
        <v>183</v>
      </c>
      <c r="G899" s="160">
        <v>105</v>
      </c>
      <c r="H899" s="161">
        <f t="shared" si="218"/>
        <v>0</v>
      </c>
      <c r="I899" s="160">
        <v>61</v>
      </c>
      <c r="J899" s="161">
        <f t="shared" si="219"/>
        <v>0</v>
      </c>
      <c r="K899" s="159">
        <f t="shared" si="220"/>
        <v>0</v>
      </c>
      <c r="L899" s="162"/>
    </row>
    <row r="900" spans="1:12" ht="24">
      <c r="A900" s="200"/>
      <c r="B900" s="145" t="s">
        <v>122</v>
      </c>
      <c r="C900" s="61" t="s">
        <v>127</v>
      </c>
      <c r="D900" s="67"/>
      <c r="E900" s="159">
        <v>65.42</v>
      </c>
      <c r="F900" s="159" t="s">
        <v>183</v>
      </c>
      <c r="G900" s="160">
        <v>690</v>
      </c>
      <c r="H900" s="161">
        <f t="shared" si="218"/>
        <v>45139.8</v>
      </c>
      <c r="I900" s="160">
        <v>175</v>
      </c>
      <c r="J900" s="161">
        <f t="shared" si="219"/>
        <v>11448.5</v>
      </c>
      <c r="K900" s="159">
        <f t="shared" si="220"/>
        <v>56588.3</v>
      </c>
      <c r="L900" s="162"/>
    </row>
    <row r="901" spans="1:12" ht="24">
      <c r="A901" s="200"/>
      <c r="B901" s="145" t="s">
        <v>123</v>
      </c>
      <c r="C901" s="61" t="s">
        <v>213</v>
      </c>
      <c r="D901" s="67"/>
      <c r="E901" s="159">
        <f>26.7+20.16</f>
        <v>46.86</v>
      </c>
      <c r="F901" s="159" t="s">
        <v>183</v>
      </c>
      <c r="G901" s="160">
        <v>850</v>
      </c>
      <c r="H901" s="161">
        <f t="shared" si="218"/>
        <v>39831</v>
      </c>
      <c r="I901" s="160">
        <v>175</v>
      </c>
      <c r="J901" s="161">
        <f t="shared" si="219"/>
        <v>8200.5</v>
      </c>
      <c r="K901" s="159">
        <f t="shared" si="220"/>
        <v>48031.5</v>
      </c>
      <c r="L901" s="162"/>
    </row>
    <row r="902" spans="1:12" ht="24">
      <c r="A902" s="200"/>
      <c r="B902" s="145" t="s">
        <v>124</v>
      </c>
      <c r="C902" s="61" t="s">
        <v>288</v>
      </c>
      <c r="D902" s="67"/>
      <c r="E902" s="159"/>
      <c r="F902" s="159" t="s">
        <v>183</v>
      </c>
      <c r="G902" s="160">
        <v>2000</v>
      </c>
      <c r="H902" s="161">
        <f t="shared" si="218"/>
        <v>0</v>
      </c>
      <c r="I902" s="160">
        <v>198</v>
      </c>
      <c r="J902" s="161">
        <f t="shared" si="219"/>
        <v>0</v>
      </c>
      <c r="K902" s="159">
        <f t="shared" si="220"/>
        <v>0</v>
      </c>
      <c r="L902" s="162"/>
    </row>
    <row r="903" spans="1:12" ht="24">
      <c r="A903" s="200"/>
      <c r="B903" s="145" t="s">
        <v>216</v>
      </c>
      <c r="C903" s="61" t="s">
        <v>289</v>
      </c>
      <c r="D903" s="67"/>
      <c r="E903" s="159"/>
      <c r="F903" s="159" t="s">
        <v>183</v>
      </c>
      <c r="G903" s="183">
        <f>500+105</f>
        <v>605</v>
      </c>
      <c r="H903" s="161">
        <f>ROUND(E903*G903,2)</f>
        <v>0</v>
      </c>
      <c r="I903" s="160">
        <f>100+61</f>
        <v>161</v>
      </c>
      <c r="J903" s="161">
        <f>ROUND(E903*I903,2)</f>
        <v>0</v>
      </c>
      <c r="K903" s="159">
        <f>ROUND(H903+J903,2)</f>
        <v>0</v>
      </c>
      <c r="L903" s="162"/>
    </row>
    <row r="904" spans="1:12" ht="24">
      <c r="A904" s="200"/>
      <c r="B904" s="60"/>
      <c r="C904" s="61" t="s">
        <v>290</v>
      </c>
      <c r="D904" s="67"/>
      <c r="E904" s="159"/>
      <c r="F904" s="159"/>
      <c r="G904" s="160"/>
      <c r="H904" s="161"/>
      <c r="I904" s="160"/>
      <c r="J904" s="161"/>
      <c r="K904" s="159"/>
      <c r="L904" s="162"/>
    </row>
    <row r="905" spans="1:12" ht="24">
      <c r="A905" s="200"/>
      <c r="B905" s="145" t="s">
        <v>219</v>
      </c>
      <c r="C905" s="61" t="s">
        <v>291</v>
      </c>
      <c r="D905" s="67"/>
      <c r="E905" s="159">
        <f>9.48+10.8+75.75+463.48+21.6+9.45+45.36+33.6+32+15.96+18.13+9.88+468+31.88</f>
        <v>1245.3700000000003</v>
      </c>
      <c r="F905" s="159" t="s">
        <v>183</v>
      </c>
      <c r="G905" s="183">
        <f>250+105</f>
        <v>355</v>
      </c>
      <c r="H905" s="161">
        <f t="shared" ref="H905:H906" si="221">ROUND(E905*G905,2)</f>
        <v>442106.35</v>
      </c>
      <c r="I905" s="160">
        <f>50+61</f>
        <v>111</v>
      </c>
      <c r="J905" s="161">
        <f t="shared" ref="J905:J906" si="222">ROUND(E905*I905,2)</f>
        <v>138236.07</v>
      </c>
      <c r="K905" s="159">
        <f t="shared" ref="K905:K906" si="223">ROUND(H905+J905,2)</f>
        <v>580342.42000000004</v>
      </c>
      <c r="L905" s="162"/>
    </row>
    <row r="906" spans="1:12" ht="24">
      <c r="A906" s="200"/>
      <c r="C906" s="215" t="s">
        <v>292</v>
      </c>
      <c r="D906" s="67"/>
      <c r="E906" s="159"/>
      <c r="F906" s="159" t="s">
        <v>183</v>
      </c>
      <c r="G906" s="183">
        <v>3200</v>
      </c>
      <c r="H906" s="161">
        <f t="shared" si="221"/>
        <v>0</v>
      </c>
      <c r="I906" s="160">
        <v>167</v>
      </c>
      <c r="J906" s="161">
        <f t="shared" si="222"/>
        <v>0</v>
      </c>
      <c r="K906" s="159">
        <f t="shared" si="223"/>
        <v>0</v>
      </c>
      <c r="L906" s="162"/>
    </row>
    <row r="907" spans="1:12" ht="24">
      <c r="A907" s="200"/>
      <c r="B907" s="145" t="s">
        <v>221</v>
      </c>
      <c r="C907" s="61" t="s">
        <v>293</v>
      </c>
      <c r="D907" s="67"/>
      <c r="E907" s="159"/>
      <c r="F907" s="159"/>
      <c r="G907" s="183"/>
      <c r="H907" s="161"/>
      <c r="I907" s="160"/>
      <c r="J907" s="161"/>
      <c r="K907" s="159"/>
      <c r="L907" s="162"/>
    </row>
    <row r="908" spans="1:12" ht="24">
      <c r="A908" s="200"/>
      <c r="B908" s="145" t="s">
        <v>285</v>
      </c>
      <c r="C908" s="61" t="s">
        <v>294</v>
      </c>
      <c r="D908" s="67"/>
      <c r="E908" s="159"/>
      <c r="F908" s="159" t="s">
        <v>183</v>
      </c>
      <c r="G908" s="183"/>
      <c r="H908" s="161"/>
      <c r="I908" s="160"/>
      <c r="J908" s="161"/>
      <c r="K908" s="159"/>
      <c r="L908" s="162"/>
    </row>
    <row r="909" spans="1:12" ht="24">
      <c r="A909" s="200"/>
      <c r="B909" s="60" t="s">
        <v>134</v>
      </c>
      <c r="C909" s="61" t="s">
        <v>233</v>
      </c>
      <c r="D909" s="67"/>
      <c r="E909" s="159"/>
      <c r="F909" s="159" t="s">
        <v>183</v>
      </c>
      <c r="G909" s="160">
        <v>320</v>
      </c>
      <c r="H909" s="161">
        <f t="shared" ref="H909:H910" si="224">ROUND(E909*G909,2)</f>
        <v>0</v>
      </c>
      <c r="I909" s="160">
        <v>35</v>
      </c>
      <c r="J909" s="161">
        <f t="shared" ref="J909:J910" si="225">ROUND(E909*I909,2)</f>
        <v>0</v>
      </c>
      <c r="K909" s="159">
        <f t="shared" ref="K909:K910" si="226">H909+J909</f>
        <v>0</v>
      </c>
      <c r="L909" s="162"/>
    </row>
    <row r="910" spans="1:12" ht="24">
      <c r="A910" s="201"/>
      <c r="B910" s="188" t="s">
        <v>134</v>
      </c>
      <c r="C910" s="189" t="s">
        <v>253</v>
      </c>
      <c r="E910" s="184"/>
      <c r="F910" s="185" t="s">
        <v>183</v>
      </c>
      <c r="G910" s="186">
        <v>120</v>
      </c>
      <c r="H910" s="161">
        <f t="shared" si="224"/>
        <v>0</v>
      </c>
      <c r="I910" s="190">
        <v>45</v>
      </c>
      <c r="J910" s="159">
        <f t="shared" si="225"/>
        <v>0</v>
      </c>
      <c r="K910" s="159">
        <f t="shared" si="226"/>
        <v>0</v>
      </c>
      <c r="L910" s="187"/>
    </row>
    <row r="911" spans="1:12" ht="24">
      <c r="A911" s="201"/>
      <c r="B911" s="60"/>
      <c r="C911" s="61"/>
      <c r="D911" s="67"/>
      <c r="E911" s="223"/>
      <c r="F911" s="208"/>
      <c r="G911" s="209"/>
      <c r="H911" s="161"/>
      <c r="I911" s="209"/>
      <c r="J911" s="159"/>
      <c r="K911" s="159"/>
      <c r="L911" s="210"/>
    </row>
    <row r="912" spans="1:12" ht="24">
      <c r="A912" s="201"/>
      <c r="B912" s="60"/>
      <c r="C912" s="61"/>
      <c r="D912" s="67"/>
      <c r="E912" s="223"/>
      <c r="F912" s="208"/>
      <c r="G912" s="209"/>
      <c r="H912" s="161"/>
      <c r="I912" s="209"/>
      <c r="J912" s="159"/>
      <c r="K912" s="159"/>
      <c r="L912" s="210"/>
    </row>
    <row r="913" spans="1:12" ht="24">
      <c r="A913" s="201"/>
      <c r="B913" s="60"/>
      <c r="C913" s="61"/>
      <c r="D913" s="67"/>
      <c r="E913" s="159"/>
      <c r="F913" s="159"/>
      <c r="G913" s="160"/>
      <c r="H913" s="161"/>
      <c r="I913" s="160"/>
      <c r="J913" s="161"/>
      <c r="K913" s="159"/>
      <c r="L913" s="162"/>
    </row>
    <row r="914" spans="1:12" ht="24.75" thickBot="1">
      <c r="A914" s="201"/>
      <c r="B914" s="60"/>
      <c r="C914" s="61"/>
      <c r="D914" s="67"/>
      <c r="E914" s="159"/>
      <c r="F914" s="159"/>
      <c r="G914" s="160"/>
      <c r="H914" s="161"/>
      <c r="I914" s="160"/>
      <c r="J914" s="161"/>
      <c r="K914" s="159"/>
      <c r="L914" s="162"/>
    </row>
    <row r="915" spans="1:12" ht="24.75" thickTop="1">
      <c r="A915" s="149"/>
      <c r="B915" s="1981" t="s">
        <v>69</v>
      </c>
      <c r="C915" s="1982"/>
      <c r="D915" s="1983"/>
      <c r="E915" s="164"/>
      <c r="F915" s="164"/>
      <c r="G915" s="165"/>
      <c r="H915" s="166"/>
      <c r="I915" s="165"/>
      <c r="J915" s="166"/>
      <c r="K915" s="164">
        <f>SUM(K895:K914)</f>
        <v>684962.22000000009</v>
      </c>
      <c r="L915" s="167"/>
    </row>
    <row r="916" spans="1:12" ht="24">
      <c r="A916" s="199" t="s">
        <v>196</v>
      </c>
      <c r="B916" s="146" t="s">
        <v>109</v>
      </c>
      <c r="C916" s="142"/>
      <c r="D916" s="143"/>
      <c r="E916" s="155"/>
      <c r="F916" s="155"/>
      <c r="G916" s="156"/>
      <c r="H916" s="157"/>
      <c r="I916" s="156"/>
      <c r="J916" s="157"/>
      <c r="K916" s="158"/>
      <c r="L916" s="158"/>
    </row>
    <row r="917" spans="1:12" ht="24">
      <c r="A917" s="205"/>
      <c r="B917" s="144" t="s">
        <v>117</v>
      </c>
      <c r="C917" s="61" t="s">
        <v>125</v>
      </c>
      <c r="D917" s="55"/>
      <c r="E917" s="194">
        <v>0</v>
      </c>
      <c r="F917" s="159" t="s">
        <v>183</v>
      </c>
      <c r="G917" s="160">
        <v>0</v>
      </c>
      <c r="H917" s="161">
        <f>ROUND(E917*G917,2)</f>
        <v>0</v>
      </c>
      <c r="I917" s="160">
        <v>0</v>
      </c>
      <c r="J917" s="161">
        <f>ROUND(E917*I917,2)</f>
        <v>0</v>
      </c>
      <c r="K917" s="159">
        <f>ROUND(H917+J917,2)</f>
        <v>0</v>
      </c>
      <c r="L917" s="162"/>
    </row>
    <row r="918" spans="1:12" ht="24">
      <c r="A918" s="200"/>
      <c r="B918" s="145" t="s">
        <v>128</v>
      </c>
      <c r="C918" s="61" t="s">
        <v>135</v>
      </c>
      <c r="D918" s="62"/>
      <c r="E918" s="220">
        <f>433.44</f>
        <v>433.44</v>
      </c>
      <c r="F918" s="158" t="s">
        <v>183</v>
      </c>
      <c r="G918" s="156">
        <v>0</v>
      </c>
      <c r="H918" s="161">
        <f>ROUND(E918*G918,2)</f>
        <v>0</v>
      </c>
      <c r="I918" s="156">
        <v>0</v>
      </c>
      <c r="J918" s="161">
        <f>ROUND(E918*I918,2)</f>
        <v>0</v>
      </c>
      <c r="K918" s="159">
        <f>ROUND(H918+J918,2)</f>
        <v>0</v>
      </c>
      <c r="L918" s="163"/>
    </row>
    <row r="919" spans="1:12" ht="24">
      <c r="A919" s="200"/>
      <c r="B919" s="145" t="s">
        <v>129</v>
      </c>
      <c r="C919" s="61" t="s">
        <v>222</v>
      </c>
      <c r="D919" s="62"/>
      <c r="E919" s="220">
        <f>((1.6+5.8+3.2+1.5+0.77+6.6+2.1)*(4.2))+(31.59)</f>
        <v>122.18400000000001</v>
      </c>
      <c r="F919" s="158" t="s">
        <v>183</v>
      </c>
      <c r="G919" s="156">
        <v>156</v>
      </c>
      <c r="H919" s="161">
        <f>ROUND(E919*G919,2)</f>
        <v>19060.7</v>
      </c>
      <c r="I919" s="156">
        <v>89</v>
      </c>
      <c r="J919" s="161">
        <f>ROUND(E919*I919,2)</f>
        <v>10874.38</v>
      </c>
      <c r="K919" s="159">
        <f>ROUND(H919+J919,2)</f>
        <v>29935.08</v>
      </c>
      <c r="L919" s="163"/>
    </row>
    <row r="920" spans="1:12" ht="24">
      <c r="A920" s="200"/>
      <c r="B920" s="145" t="s">
        <v>130</v>
      </c>
      <c r="C920" s="61" t="s">
        <v>223</v>
      </c>
      <c r="D920" s="67"/>
      <c r="E920" s="194">
        <f>(8.6+6.7)*5.9</f>
        <v>90.27000000000001</v>
      </c>
      <c r="F920" s="159" t="s">
        <v>183</v>
      </c>
      <c r="G920" s="160">
        <v>324</v>
      </c>
      <c r="H920" s="161">
        <f>ROUND(E920*G920,2)</f>
        <v>29247.48</v>
      </c>
      <c r="I920" s="156">
        <v>144</v>
      </c>
      <c r="J920" s="161">
        <f>ROUND(E920*I920,2)</f>
        <v>12998.88</v>
      </c>
      <c r="K920" s="159">
        <f>ROUND(H920+J920,2)</f>
        <v>42246.36</v>
      </c>
      <c r="L920" s="162"/>
    </row>
    <row r="921" spans="1:12" ht="24">
      <c r="A921" s="200"/>
      <c r="B921" s="145" t="s">
        <v>224</v>
      </c>
      <c r="C921" s="61" t="s">
        <v>225</v>
      </c>
      <c r="D921" s="67"/>
      <c r="E921" s="194">
        <f>(7.4+2.7+5.3+8+2.7+3+5.3+8+6+2+3.65+3.95+3.9+8+4.05+4.05+3.85)*4.2</f>
        <v>343.77</v>
      </c>
      <c r="F921" s="159" t="s">
        <v>183</v>
      </c>
      <c r="G921" s="160">
        <v>798</v>
      </c>
      <c r="H921" s="161">
        <f t="shared" ref="H921" si="227">ROUND(E921*G921,2)</f>
        <v>274328.46000000002</v>
      </c>
      <c r="I921" s="156">
        <v>130</v>
      </c>
      <c r="J921" s="161">
        <f t="shared" ref="J921" si="228">ROUND(E921*I921,2)</f>
        <v>44690.1</v>
      </c>
      <c r="K921" s="159">
        <f t="shared" ref="K921" si="229">ROUND(H921+J921,2)</f>
        <v>319018.56</v>
      </c>
      <c r="L921" s="162"/>
    </row>
    <row r="922" spans="1:12" ht="24">
      <c r="A922" s="200"/>
      <c r="B922" s="145"/>
      <c r="C922" s="61" t="s">
        <v>226</v>
      </c>
      <c r="D922" s="67"/>
      <c r="E922" s="194"/>
      <c r="F922" s="159"/>
      <c r="G922" s="160"/>
      <c r="H922" s="161"/>
      <c r="I922" s="156"/>
      <c r="J922" s="161"/>
      <c r="K922" s="159"/>
      <c r="L922" s="162"/>
    </row>
    <row r="923" spans="1:12" ht="24">
      <c r="A923" s="200"/>
      <c r="B923" s="145" t="s">
        <v>131</v>
      </c>
      <c r="C923" s="61" t="s">
        <v>228</v>
      </c>
      <c r="D923" s="67"/>
      <c r="E923" s="194">
        <f>((5.1+2.7+5+2.13+4.35+5.2+5+22+7.4+3.7+3.7+0.6+1.5+1.58+4.4)*(4.2))+(281.4)+(120.96)+(281.96)+(120.96)+(121.66)</f>
        <v>1239.2520000000002</v>
      </c>
      <c r="F923" s="159" t="s">
        <v>183</v>
      </c>
      <c r="G923" s="160">
        <v>225</v>
      </c>
      <c r="H923" s="161">
        <f t="shared" ref="H923:H925" si="230">ROUND(E923*G923,2)</f>
        <v>278831.7</v>
      </c>
      <c r="I923" s="156">
        <v>55</v>
      </c>
      <c r="J923" s="161">
        <f t="shared" ref="J923:J925" si="231">ROUND(E923*I923,2)</f>
        <v>68158.86</v>
      </c>
      <c r="K923" s="159">
        <f t="shared" ref="K923:K925" si="232">ROUND(H923+J923,2)</f>
        <v>346990.56</v>
      </c>
      <c r="L923" s="162"/>
    </row>
    <row r="924" spans="1:12" ht="24">
      <c r="A924" s="200"/>
      <c r="B924" s="145" t="s">
        <v>132</v>
      </c>
      <c r="C924" s="61" t="s">
        <v>229</v>
      </c>
      <c r="D924" s="67"/>
      <c r="E924" s="194">
        <f>(3.8+3.9+3)*4.2</f>
        <v>44.94</v>
      </c>
      <c r="F924" s="159" t="s">
        <v>183</v>
      </c>
      <c r="G924" s="160">
        <v>375</v>
      </c>
      <c r="H924" s="161">
        <f t="shared" si="230"/>
        <v>16852.5</v>
      </c>
      <c r="I924" s="156">
        <v>55</v>
      </c>
      <c r="J924" s="161">
        <f t="shared" si="231"/>
        <v>2471.6999999999998</v>
      </c>
      <c r="K924" s="159">
        <f t="shared" si="232"/>
        <v>19324.2</v>
      </c>
      <c r="L924" s="162"/>
    </row>
    <row r="925" spans="1:12" ht="24">
      <c r="A925" s="200"/>
      <c r="B925" s="145" t="s">
        <v>133</v>
      </c>
      <c r="C925" s="61" t="s">
        <v>227</v>
      </c>
      <c r="D925" s="67"/>
      <c r="E925" s="194">
        <v>0</v>
      </c>
      <c r="F925" s="159" t="s">
        <v>183</v>
      </c>
      <c r="G925" s="160">
        <v>2000</v>
      </c>
      <c r="H925" s="161">
        <f t="shared" si="230"/>
        <v>0</v>
      </c>
      <c r="I925" s="156">
        <v>200</v>
      </c>
      <c r="J925" s="161">
        <f t="shared" si="231"/>
        <v>0</v>
      </c>
      <c r="K925" s="159">
        <f t="shared" si="232"/>
        <v>0</v>
      </c>
      <c r="L925" s="162"/>
    </row>
    <row r="926" spans="1:12" ht="24">
      <c r="A926" s="200"/>
      <c r="B926" s="145" t="s">
        <v>134</v>
      </c>
      <c r="C926" s="61" t="s">
        <v>136</v>
      </c>
      <c r="D926" s="67"/>
      <c r="E926" s="194"/>
      <c r="F926" s="159"/>
      <c r="G926" s="160"/>
      <c r="H926" s="161"/>
      <c r="I926" s="160"/>
      <c r="J926" s="161"/>
      <c r="K926" s="159"/>
      <c r="L926" s="162"/>
    </row>
    <row r="927" spans="1:12" ht="24">
      <c r="A927" s="200"/>
      <c r="B927" s="60"/>
      <c r="C927" s="61" t="s">
        <v>137</v>
      </c>
      <c r="D927" s="67"/>
      <c r="E927" s="194">
        <f>(E919+E923)*0.8</f>
        <v>1089.1488000000002</v>
      </c>
      <c r="F927" s="159" t="s">
        <v>184</v>
      </c>
      <c r="G927" s="160">
        <v>70</v>
      </c>
      <c r="H927" s="161">
        <f t="shared" ref="H927:H929" si="233">ROUND(E927*G927,2)</f>
        <v>76240.42</v>
      </c>
      <c r="I927" s="156">
        <v>35</v>
      </c>
      <c r="J927" s="161">
        <f t="shared" ref="J927:J929" si="234">ROUND(E927*I927,2)</f>
        <v>38120.21</v>
      </c>
      <c r="K927" s="159">
        <f t="shared" ref="K927:K929" si="235">ROUND(H927+J927,2)</f>
        <v>114360.63</v>
      </c>
      <c r="L927" s="162"/>
    </row>
    <row r="928" spans="1:12" ht="24">
      <c r="A928" s="200"/>
      <c r="B928" s="60"/>
      <c r="C928" s="61" t="s">
        <v>230</v>
      </c>
      <c r="D928" s="67"/>
      <c r="E928" s="194">
        <f>E924*0.8</f>
        <v>35.951999999999998</v>
      </c>
      <c r="F928" s="159" t="s">
        <v>184</v>
      </c>
      <c r="G928" s="160">
        <v>90</v>
      </c>
      <c r="H928" s="161">
        <f t="shared" si="233"/>
        <v>3235.68</v>
      </c>
      <c r="I928" s="156">
        <v>40</v>
      </c>
      <c r="J928" s="161">
        <f t="shared" si="234"/>
        <v>1438.08</v>
      </c>
      <c r="K928" s="159">
        <f t="shared" si="235"/>
        <v>4673.76</v>
      </c>
      <c r="L928" s="162"/>
    </row>
    <row r="929" spans="1:12" ht="24">
      <c r="A929" s="200"/>
      <c r="B929" s="60"/>
      <c r="C929" s="61" t="s">
        <v>138</v>
      </c>
      <c r="D929" s="67"/>
      <c r="E929" s="194">
        <f>E920*0.8</f>
        <v>72.216000000000008</v>
      </c>
      <c r="F929" s="159" t="s">
        <v>184</v>
      </c>
      <c r="G929" s="160">
        <v>115</v>
      </c>
      <c r="H929" s="161">
        <f t="shared" si="233"/>
        <v>8304.84</v>
      </c>
      <c r="I929" s="156">
        <v>40</v>
      </c>
      <c r="J929" s="161">
        <f t="shared" si="234"/>
        <v>2888.64</v>
      </c>
      <c r="K929" s="159">
        <f t="shared" si="235"/>
        <v>11193.48</v>
      </c>
      <c r="L929" s="162"/>
    </row>
    <row r="930" spans="1:12" ht="24">
      <c r="A930" s="201"/>
      <c r="B930" s="60"/>
      <c r="C930" s="61"/>
      <c r="D930" s="67"/>
      <c r="E930" s="194"/>
      <c r="F930" s="159"/>
      <c r="G930" s="160"/>
      <c r="H930" s="161"/>
      <c r="I930" s="160"/>
      <c r="J930" s="161"/>
      <c r="K930" s="159"/>
      <c r="L930" s="162"/>
    </row>
    <row r="931" spans="1:12" ht="24">
      <c r="A931" s="201"/>
      <c r="B931" s="60"/>
      <c r="C931" s="61"/>
      <c r="D931" s="67"/>
      <c r="E931" s="159"/>
      <c r="F931" s="159"/>
      <c r="G931" s="160"/>
      <c r="H931" s="161"/>
      <c r="I931" s="160"/>
      <c r="J931" s="161"/>
      <c r="K931" s="159"/>
      <c r="L931" s="162"/>
    </row>
    <row r="932" spans="1:12" ht="24">
      <c r="A932" s="201"/>
      <c r="B932" s="60"/>
      <c r="C932" s="61"/>
      <c r="D932" s="67"/>
      <c r="E932" s="159"/>
      <c r="F932" s="159"/>
      <c r="G932" s="160"/>
      <c r="H932" s="161"/>
      <c r="I932" s="160"/>
      <c r="J932" s="161"/>
      <c r="K932" s="159"/>
      <c r="L932" s="162"/>
    </row>
    <row r="933" spans="1:12" ht="24">
      <c r="A933" s="201"/>
      <c r="B933" s="60"/>
      <c r="C933" s="61"/>
      <c r="D933" s="67"/>
      <c r="E933" s="159"/>
      <c r="F933" s="159"/>
      <c r="G933" s="160"/>
      <c r="H933" s="161"/>
      <c r="I933" s="160"/>
      <c r="J933" s="161"/>
      <c r="K933" s="159"/>
      <c r="L933" s="162"/>
    </row>
    <row r="934" spans="1:12" ht="24">
      <c r="A934" s="201"/>
      <c r="B934" s="60"/>
      <c r="C934" s="61"/>
      <c r="D934" s="67"/>
      <c r="E934" s="159"/>
      <c r="F934" s="159"/>
      <c r="G934" s="160"/>
      <c r="H934" s="161"/>
      <c r="I934" s="160"/>
      <c r="J934" s="161"/>
      <c r="K934" s="159"/>
      <c r="L934" s="162"/>
    </row>
    <row r="935" spans="1:12" ht="24">
      <c r="A935" s="201"/>
      <c r="B935" s="60"/>
      <c r="C935" s="61"/>
      <c r="D935" s="67"/>
      <c r="E935" s="159"/>
      <c r="F935" s="159"/>
      <c r="G935" s="160"/>
      <c r="H935" s="161"/>
      <c r="I935" s="160"/>
      <c r="J935" s="161"/>
      <c r="K935" s="159"/>
      <c r="L935" s="162"/>
    </row>
    <row r="936" spans="1:12" ht="24.75" thickBot="1">
      <c r="A936" s="201"/>
      <c r="B936" s="60"/>
      <c r="C936" s="61"/>
      <c r="D936" s="67"/>
      <c r="E936" s="159"/>
      <c r="F936" s="159"/>
      <c r="G936" s="160"/>
      <c r="H936" s="161"/>
      <c r="I936" s="160"/>
      <c r="J936" s="161"/>
      <c r="K936" s="159"/>
      <c r="L936" s="162"/>
    </row>
    <row r="937" spans="1:12" ht="24.75" thickTop="1">
      <c r="A937" s="149"/>
      <c r="B937" s="1981" t="s">
        <v>69</v>
      </c>
      <c r="C937" s="1982"/>
      <c r="D937" s="1983"/>
      <c r="E937" s="164"/>
      <c r="F937" s="164"/>
      <c r="G937" s="165"/>
      <c r="H937" s="166"/>
      <c r="I937" s="165"/>
      <c r="J937" s="166"/>
      <c r="K937" s="164">
        <f>SUM(K917:K936)</f>
        <v>887742.63</v>
      </c>
      <c r="L937" s="167"/>
    </row>
    <row r="938" spans="1:12" ht="24">
      <c r="A938" s="206" t="s">
        <v>197</v>
      </c>
      <c r="B938" s="146" t="s">
        <v>110</v>
      </c>
      <c r="C938" s="142"/>
      <c r="D938" s="143"/>
      <c r="E938" s="155"/>
      <c r="F938" s="155"/>
      <c r="G938" s="156"/>
      <c r="H938" s="157"/>
      <c r="I938" s="156"/>
      <c r="J938" s="157"/>
      <c r="K938" s="158"/>
      <c r="L938" s="158"/>
    </row>
    <row r="939" spans="1:12" ht="24">
      <c r="A939" s="205"/>
      <c r="B939" s="144" t="s">
        <v>117</v>
      </c>
      <c r="C939" s="61" t="s">
        <v>125</v>
      </c>
      <c r="D939" s="55"/>
      <c r="E939" s="194">
        <v>0</v>
      </c>
      <c r="F939" s="159" t="s">
        <v>183</v>
      </c>
      <c r="G939" s="160">
        <v>0</v>
      </c>
      <c r="H939" s="161">
        <f t="shared" ref="H939:H945" si="236">ROUND(E939*G939,2)</f>
        <v>0</v>
      </c>
      <c r="I939" s="156">
        <v>0</v>
      </c>
      <c r="J939" s="161">
        <f t="shared" ref="J939:J945" si="237">ROUND(E939*I939,2)</f>
        <v>0</v>
      </c>
      <c r="K939" s="159">
        <f t="shared" ref="K939:K945" si="238">ROUND(H939+J939,2)</f>
        <v>0</v>
      </c>
      <c r="L939" s="162"/>
    </row>
    <row r="940" spans="1:12" ht="24">
      <c r="A940" s="200"/>
      <c r="B940" s="145" t="s">
        <v>139</v>
      </c>
      <c r="C940" s="61" t="s">
        <v>140</v>
      </c>
      <c r="D940" s="62"/>
      <c r="E940" s="220">
        <v>0</v>
      </c>
      <c r="F940" s="158" t="s">
        <v>183</v>
      </c>
      <c r="G940" s="156">
        <v>55</v>
      </c>
      <c r="H940" s="161">
        <f t="shared" si="236"/>
        <v>0</v>
      </c>
      <c r="I940" s="156">
        <v>30</v>
      </c>
      <c r="J940" s="161">
        <f t="shared" si="237"/>
        <v>0</v>
      </c>
      <c r="K940" s="159">
        <f t="shared" si="238"/>
        <v>0</v>
      </c>
      <c r="L940" s="191"/>
    </row>
    <row r="941" spans="1:12" ht="24">
      <c r="A941" s="200"/>
      <c r="B941" s="145" t="s">
        <v>141</v>
      </c>
      <c r="C941" s="61" t="s">
        <v>142</v>
      </c>
      <c r="D941" s="62"/>
      <c r="E941" s="220">
        <f>(12.4+21.4+18+23.5+26.7+24+16+120+17.2+12.9+12.7+24.4+34.4+13.2+46.2+87)*4.2+(161.28)</f>
        <v>2303.2799999999997</v>
      </c>
      <c r="F941" s="158" t="s">
        <v>183</v>
      </c>
      <c r="G941" s="156">
        <v>50</v>
      </c>
      <c r="H941" s="161">
        <f t="shared" si="236"/>
        <v>115164</v>
      </c>
      <c r="I941" s="156">
        <v>30</v>
      </c>
      <c r="J941" s="161">
        <f t="shared" si="237"/>
        <v>69098.399999999994</v>
      </c>
      <c r="K941" s="159">
        <f t="shared" si="238"/>
        <v>184262.39999999999</v>
      </c>
      <c r="L941" s="163"/>
    </row>
    <row r="942" spans="1:12" ht="24">
      <c r="A942" s="200"/>
      <c r="B942" s="145" t="s">
        <v>143</v>
      </c>
      <c r="C942" s="61" t="s">
        <v>332</v>
      </c>
      <c r="D942" s="67"/>
      <c r="E942" s="194">
        <v>167.58</v>
      </c>
      <c r="F942" s="159" t="s">
        <v>183</v>
      </c>
      <c r="G942" s="160">
        <v>430</v>
      </c>
      <c r="H942" s="161">
        <f t="shared" si="236"/>
        <v>72059.399999999994</v>
      </c>
      <c r="I942" s="156">
        <v>138</v>
      </c>
      <c r="J942" s="161">
        <f t="shared" si="237"/>
        <v>23126.04</v>
      </c>
      <c r="K942" s="159">
        <f t="shared" si="238"/>
        <v>95185.44</v>
      </c>
      <c r="L942" s="162"/>
    </row>
    <row r="943" spans="1:12" ht="24">
      <c r="A943" s="200"/>
      <c r="B943" s="60" t="s">
        <v>134</v>
      </c>
      <c r="C943" s="61" t="s">
        <v>231</v>
      </c>
      <c r="D943" s="67"/>
      <c r="E943" s="194">
        <f>E941</f>
        <v>2303.2799999999997</v>
      </c>
      <c r="F943" s="159" t="s">
        <v>183</v>
      </c>
      <c r="G943" s="160">
        <v>58</v>
      </c>
      <c r="H943" s="161">
        <f t="shared" si="236"/>
        <v>133590.24</v>
      </c>
      <c r="I943" s="156">
        <v>82</v>
      </c>
      <c r="J943" s="161">
        <f t="shared" si="237"/>
        <v>188868.96</v>
      </c>
      <c r="K943" s="159">
        <f t="shared" si="238"/>
        <v>322459.2</v>
      </c>
      <c r="L943" s="162"/>
    </row>
    <row r="944" spans="1:12" ht="24">
      <c r="A944" s="200"/>
      <c r="B944" s="60" t="s">
        <v>134</v>
      </c>
      <c r="C944" s="61" t="s">
        <v>232</v>
      </c>
      <c r="D944" s="67"/>
      <c r="E944" s="194">
        <v>0</v>
      </c>
      <c r="F944" s="159" t="s">
        <v>183</v>
      </c>
      <c r="G944" s="160">
        <v>58</v>
      </c>
      <c r="H944" s="161">
        <f t="shared" si="236"/>
        <v>0</v>
      </c>
      <c r="I944" s="156">
        <v>82</v>
      </c>
      <c r="J944" s="161">
        <f t="shared" si="237"/>
        <v>0</v>
      </c>
      <c r="K944" s="159">
        <f t="shared" si="238"/>
        <v>0</v>
      </c>
      <c r="L944" s="191"/>
    </row>
    <row r="945" spans="1:12" ht="24">
      <c r="A945" s="200"/>
      <c r="B945" s="60" t="s">
        <v>134</v>
      </c>
      <c r="C945" s="61" t="s">
        <v>144</v>
      </c>
      <c r="D945" s="67"/>
      <c r="E945" s="194">
        <f>E918</f>
        <v>433.44</v>
      </c>
      <c r="F945" s="159" t="s">
        <v>183</v>
      </c>
      <c r="G945" s="160">
        <v>63</v>
      </c>
      <c r="H945" s="161">
        <f t="shared" si="236"/>
        <v>27306.720000000001</v>
      </c>
      <c r="I945" s="156">
        <v>100</v>
      </c>
      <c r="J945" s="161">
        <f t="shared" si="237"/>
        <v>43344</v>
      </c>
      <c r="K945" s="159">
        <f t="shared" si="238"/>
        <v>70650.720000000001</v>
      </c>
      <c r="L945" s="162"/>
    </row>
    <row r="946" spans="1:12" ht="24">
      <c r="A946" s="200"/>
      <c r="B946" s="60"/>
      <c r="C946" s="61"/>
      <c r="D946" s="67"/>
      <c r="E946" s="159"/>
      <c r="F946" s="159"/>
      <c r="G946" s="160"/>
      <c r="H946" s="161"/>
      <c r="I946" s="160"/>
      <c r="J946" s="161"/>
      <c r="K946" s="159"/>
      <c r="L946" s="162"/>
    </row>
    <row r="947" spans="1:12" ht="24">
      <c r="A947" s="200"/>
      <c r="B947" s="60"/>
      <c r="C947" s="61"/>
      <c r="D947" s="67"/>
      <c r="E947" s="159"/>
      <c r="F947" s="159"/>
      <c r="G947" s="160"/>
      <c r="H947" s="161"/>
      <c r="I947" s="160"/>
      <c r="J947" s="161"/>
      <c r="K947" s="159"/>
      <c r="L947" s="162"/>
    </row>
    <row r="948" spans="1:12" ht="24">
      <c r="A948" s="200"/>
      <c r="B948" s="60"/>
      <c r="C948" s="61"/>
      <c r="D948" s="67"/>
      <c r="E948" s="159"/>
      <c r="F948" s="159"/>
      <c r="G948" s="160"/>
      <c r="H948" s="161"/>
      <c r="I948" s="160"/>
      <c r="J948" s="161"/>
      <c r="K948" s="159"/>
      <c r="L948" s="162"/>
    </row>
    <row r="949" spans="1:12" ht="24">
      <c r="A949" s="200"/>
      <c r="B949" s="60"/>
      <c r="C949" s="61"/>
      <c r="D949" s="67"/>
      <c r="E949" s="159"/>
      <c r="F949" s="159"/>
      <c r="G949" s="160"/>
      <c r="H949" s="161"/>
      <c r="I949" s="160"/>
      <c r="J949" s="161"/>
      <c r="K949" s="159"/>
      <c r="L949" s="162"/>
    </row>
    <row r="950" spans="1:12" ht="24">
      <c r="A950" s="200"/>
      <c r="B950" s="60"/>
      <c r="C950" s="61"/>
      <c r="D950" s="67"/>
      <c r="E950" s="159"/>
      <c r="F950" s="159"/>
      <c r="G950" s="160"/>
      <c r="H950" s="161"/>
      <c r="I950" s="160"/>
      <c r="J950" s="161"/>
      <c r="K950" s="159"/>
      <c r="L950" s="162"/>
    </row>
    <row r="951" spans="1:12" ht="24">
      <c r="A951" s="200"/>
      <c r="B951" s="60"/>
      <c r="C951" s="61"/>
      <c r="D951" s="67"/>
      <c r="E951" s="159"/>
      <c r="F951" s="159"/>
      <c r="G951" s="160"/>
      <c r="H951" s="161"/>
      <c r="I951" s="160"/>
      <c r="J951" s="161"/>
      <c r="K951" s="159"/>
      <c r="L951" s="162"/>
    </row>
    <row r="952" spans="1:12" ht="24">
      <c r="A952" s="201"/>
      <c r="B952" s="60"/>
      <c r="C952" s="61"/>
      <c r="D952" s="67"/>
      <c r="E952" s="159"/>
      <c r="F952" s="159"/>
      <c r="G952" s="160"/>
      <c r="H952" s="161"/>
      <c r="I952" s="160"/>
      <c r="J952" s="161"/>
      <c r="K952" s="159"/>
      <c r="L952" s="162"/>
    </row>
    <row r="953" spans="1:12" ht="24">
      <c r="A953" s="201"/>
      <c r="B953" s="60"/>
      <c r="C953" s="61"/>
      <c r="D953" s="67"/>
      <c r="E953" s="159"/>
      <c r="F953" s="159"/>
      <c r="G953" s="160"/>
      <c r="H953" s="161"/>
      <c r="I953" s="160"/>
      <c r="J953" s="161"/>
      <c r="K953" s="159"/>
      <c r="L953" s="162"/>
    </row>
    <row r="954" spans="1:12" ht="24">
      <c r="A954" s="201"/>
      <c r="B954" s="60"/>
      <c r="C954" s="61"/>
      <c r="D954" s="67"/>
      <c r="E954" s="159"/>
      <c r="F954" s="159"/>
      <c r="G954" s="160"/>
      <c r="H954" s="161"/>
      <c r="I954" s="160"/>
      <c r="J954" s="161"/>
      <c r="K954" s="159"/>
      <c r="L954" s="162"/>
    </row>
    <row r="955" spans="1:12" ht="24">
      <c r="A955" s="201"/>
      <c r="B955" s="60"/>
      <c r="C955" s="61"/>
      <c r="D955" s="67"/>
      <c r="E955" s="159"/>
      <c r="F955" s="159"/>
      <c r="G955" s="160"/>
      <c r="H955" s="161"/>
      <c r="I955" s="160"/>
      <c r="J955" s="161"/>
      <c r="K955" s="159"/>
      <c r="L955" s="162"/>
    </row>
    <row r="956" spans="1:12" ht="24">
      <c r="A956" s="201"/>
      <c r="B956" s="60"/>
      <c r="C956" s="61"/>
      <c r="D956" s="67"/>
      <c r="E956" s="159"/>
      <c r="F956" s="159"/>
      <c r="G956" s="160"/>
      <c r="H956" s="161"/>
      <c r="I956" s="160"/>
      <c r="J956" s="161"/>
      <c r="K956" s="159"/>
      <c r="L956" s="162"/>
    </row>
    <row r="957" spans="1:12" ht="24">
      <c r="A957" s="201"/>
      <c r="B957" s="60"/>
      <c r="C957" s="61"/>
      <c r="D957" s="67"/>
      <c r="E957" s="159"/>
      <c r="F957" s="159"/>
      <c r="G957" s="160"/>
      <c r="H957" s="161"/>
      <c r="I957" s="160"/>
      <c r="J957" s="161"/>
      <c r="K957" s="159"/>
      <c r="L957" s="162"/>
    </row>
    <row r="958" spans="1:12" ht="24.75" thickBot="1">
      <c r="A958" s="201"/>
      <c r="B958" s="60"/>
      <c r="C958" s="61"/>
      <c r="D958" s="67"/>
      <c r="E958" s="159"/>
      <c r="F958" s="159"/>
      <c r="G958" s="160"/>
      <c r="H958" s="161"/>
      <c r="I958" s="160"/>
      <c r="J958" s="161"/>
      <c r="K958" s="159"/>
      <c r="L958" s="162"/>
    </row>
    <row r="959" spans="1:12" ht="24.75" thickTop="1">
      <c r="A959" s="149"/>
      <c r="B959" s="1981" t="s">
        <v>69</v>
      </c>
      <c r="C959" s="1982"/>
      <c r="D959" s="1983"/>
      <c r="E959" s="164"/>
      <c r="F959" s="164"/>
      <c r="G959" s="165"/>
      <c r="H959" s="166"/>
      <c r="I959" s="165"/>
      <c r="J959" s="166"/>
      <c r="K959" s="164">
        <f>SUM(K939:K958)</f>
        <v>672557.76</v>
      </c>
      <c r="L959" s="167"/>
    </row>
    <row r="960" spans="1:12" ht="24">
      <c r="A960" s="206" t="s">
        <v>198</v>
      </c>
      <c r="B960" s="146" t="s">
        <v>111</v>
      </c>
      <c r="C960" s="142"/>
      <c r="D960" s="143"/>
      <c r="E960" s="155"/>
      <c r="F960" s="155"/>
      <c r="G960" s="156"/>
      <c r="H960" s="157"/>
      <c r="I960" s="156"/>
      <c r="J960" s="157"/>
      <c r="K960" s="158"/>
      <c r="L960" s="158"/>
    </row>
    <row r="961" spans="1:12" ht="24">
      <c r="A961" s="205"/>
      <c r="B961" s="144" t="s">
        <v>117</v>
      </c>
      <c r="C961" s="61" t="s">
        <v>145</v>
      </c>
      <c r="D961" s="55"/>
      <c r="E961" s="159">
        <v>0</v>
      </c>
      <c r="F961" s="159" t="s">
        <v>184</v>
      </c>
      <c r="G961" s="160">
        <v>0</v>
      </c>
      <c r="H961" s="161">
        <f t="shared" ref="H961:H965" si="239">ROUND(E961*G961,2)</f>
        <v>0</v>
      </c>
      <c r="I961" s="160">
        <v>0</v>
      </c>
      <c r="J961" s="161">
        <f t="shared" ref="J961:J965" si="240">ROUND(E961*I961,2)</f>
        <v>0</v>
      </c>
      <c r="K961" s="159">
        <f t="shared" ref="K961:K965" si="241">ROUND(H961+J961,2)</f>
        <v>0</v>
      </c>
      <c r="L961" s="162"/>
    </row>
    <row r="962" spans="1:12" ht="24">
      <c r="A962" s="200"/>
      <c r="B962" s="145" t="s">
        <v>146</v>
      </c>
      <c r="C962" s="61" t="s">
        <v>147</v>
      </c>
      <c r="D962" s="62"/>
      <c r="E962" s="158"/>
      <c r="F962" s="158" t="s">
        <v>184</v>
      </c>
      <c r="G962" s="156">
        <v>15</v>
      </c>
      <c r="H962" s="161">
        <f t="shared" si="239"/>
        <v>0</v>
      </c>
      <c r="I962" s="156">
        <v>18</v>
      </c>
      <c r="J962" s="161">
        <f t="shared" si="240"/>
        <v>0</v>
      </c>
      <c r="K962" s="159">
        <f t="shared" si="241"/>
        <v>0</v>
      </c>
      <c r="L962" s="163"/>
    </row>
    <row r="963" spans="1:12" ht="24">
      <c r="A963" s="200"/>
      <c r="B963" s="145" t="s">
        <v>148</v>
      </c>
      <c r="C963" s="61" t="s">
        <v>149</v>
      </c>
      <c r="D963" s="62"/>
      <c r="E963" s="158"/>
      <c r="F963" s="158" t="s">
        <v>184</v>
      </c>
      <c r="G963" s="156">
        <v>50</v>
      </c>
      <c r="H963" s="161">
        <f t="shared" si="239"/>
        <v>0</v>
      </c>
      <c r="I963" s="156">
        <v>35</v>
      </c>
      <c r="J963" s="161">
        <f t="shared" si="240"/>
        <v>0</v>
      </c>
      <c r="K963" s="159">
        <f t="shared" si="241"/>
        <v>0</v>
      </c>
      <c r="L963" s="163"/>
    </row>
    <row r="964" spans="1:12" ht="24">
      <c r="A964" s="200"/>
      <c r="B964" s="145" t="s">
        <v>150</v>
      </c>
      <c r="C964" s="61" t="s">
        <v>151</v>
      </c>
      <c r="D964" s="67"/>
      <c r="E964" s="159">
        <v>46.2</v>
      </c>
      <c r="F964" s="159" t="s">
        <v>184</v>
      </c>
      <c r="G964" s="160">
        <v>230</v>
      </c>
      <c r="H964" s="161">
        <f t="shared" si="239"/>
        <v>10626</v>
      </c>
      <c r="I964" s="156">
        <v>50</v>
      </c>
      <c r="J964" s="161">
        <f t="shared" si="240"/>
        <v>2310</v>
      </c>
      <c r="K964" s="159">
        <f t="shared" si="241"/>
        <v>12936</v>
      </c>
      <c r="L964" s="162"/>
    </row>
    <row r="965" spans="1:12" ht="24">
      <c r="A965" s="200"/>
      <c r="B965" s="145" t="s">
        <v>152</v>
      </c>
      <c r="C965" s="61" t="s">
        <v>266</v>
      </c>
      <c r="D965" s="67"/>
      <c r="E965" s="159"/>
      <c r="F965" s="159" t="s">
        <v>184</v>
      </c>
      <c r="G965" s="160">
        <v>320</v>
      </c>
      <c r="H965" s="161">
        <f t="shared" si="239"/>
        <v>0</v>
      </c>
      <c r="I965" s="156">
        <v>41</v>
      </c>
      <c r="J965" s="161">
        <f t="shared" si="240"/>
        <v>0</v>
      </c>
      <c r="K965" s="159">
        <f t="shared" si="241"/>
        <v>0</v>
      </c>
      <c r="L965" s="162"/>
    </row>
    <row r="966" spans="1:12" ht="24">
      <c r="A966" s="200"/>
      <c r="B966" s="145" t="s">
        <v>295</v>
      </c>
      <c r="C966" s="61" t="s">
        <v>296</v>
      </c>
      <c r="D966" s="67"/>
      <c r="E966" s="159">
        <f>12.7+13.2+34.4+114+21.4+23.5+12.4+27.6+24.4+24+16+17.2+12.9+87</f>
        <v>440.7</v>
      </c>
      <c r="F966" s="159" t="s">
        <v>184</v>
      </c>
      <c r="G966" s="160"/>
      <c r="H966" s="161"/>
      <c r="I966" s="160"/>
      <c r="J966" s="161"/>
      <c r="K966" s="159"/>
      <c r="L966" s="162"/>
    </row>
    <row r="967" spans="1:12" ht="24">
      <c r="A967" s="200"/>
      <c r="B967" s="60"/>
      <c r="C967" s="61"/>
      <c r="D967" s="67"/>
      <c r="E967" s="159"/>
      <c r="F967" s="159"/>
      <c r="G967" s="160"/>
      <c r="H967" s="161"/>
      <c r="I967" s="160"/>
      <c r="J967" s="161"/>
      <c r="K967" s="159"/>
      <c r="L967" s="162"/>
    </row>
    <row r="968" spans="1:12" ht="24">
      <c r="A968" s="200"/>
      <c r="B968" s="60"/>
      <c r="C968" s="61"/>
      <c r="D968" s="67"/>
      <c r="E968" s="159"/>
      <c r="F968" s="159"/>
      <c r="G968" s="160"/>
      <c r="H968" s="161"/>
      <c r="I968" s="160"/>
      <c r="J968" s="161"/>
      <c r="K968" s="159"/>
      <c r="L968" s="162"/>
    </row>
    <row r="969" spans="1:12" ht="24">
      <c r="A969" s="200"/>
      <c r="B969" s="60"/>
      <c r="C969" s="61"/>
      <c r="D969" s="67"/>
      <c r="E969" s="159"/>
      <c r="F969" s="159"/>
      <c r="G969" s="160"/>
      <c r="H969" s="161"/>
      <c r="I969" s="160"/>
      <c r="J969" s="161"/>
      <c r="K969" s="159"/>
      <c r="L969" s="162"/>
    </row>
    <row r="970" spans="1:12" ht="24">
      <c r="A970" s="200"/>
      <c r="B970" s="60"/>
      <c r="C970" s="61"/>
      <c r="D970" s="67"/>
      <c r="E970" s="159"/>
      <c r="F970" s="159"/>
      <c r="G970" s="160"/>
      <c r="H970" s="161"/>
      <c r="I970" s="160"/>
      <c r="J970" s="161"/>
      <c r="K970" s="159"/>
      <c r="L970" s="162"/>
    </row>
    <row r="971" spans="1:12" ht="24">
      <c r="A971" s="200"/>
      <c r="B971" s="60"/>
      <c r="C971" s="61"/>
      <c r="D971" s="67"/>
      <c r="E971" s="159"/>
      <c r="F971" s="159"/>
      <c r="G971" s="160"/>
      <c r="H971" s="161"/>
      <c r="I971" s="160"/>
      <c r="J971" s="161"/>
      <c r="K971" s="159"/>
      <c r="L971" s="162"/>
    </row>
    <row r="972" spans="1:12" ht="24">
      <c r="A972" s="200"/>
      <c r="B972" s="60"/>
      <c r="C972" s="61"/>
      <c r="D972" s="67"/>
      <c r="E972" s="159"/>
      <c r="F972" s="159"/>
      <c r="G972" s="160"/>
      <c r="H972" s="161"/>
      <c r="I972" s="160"/>
      <c r="J972" s="161"/>
      <c r="K972" s="159"/>
      <c r="L972" s="162"/>
    </row>
    <row r="973" spans="1:12" ht="24">
      <c r="A973" s="200"/>
      <c r="B973" s="60"/>
      <c r="C973" s="61"/>
      <c r="D973" s="67"/>
      <c r="E973" s="159"/>
      <c r="F973" s="159"/>
      <c r="G973" s="160"/>
      <c r="H973" s="161"/>
      <c r="I973" s="160"/>
      <c r="J973" s="161"/>
      <c r="K973" s="159"/>
      <c r="L973" s="162"/>
    </row>
    <row r="974" spans="1:12" ht="24">
      <c r="A974" s="200"/>
      <c r="B974" s="60"/>
      <c r="C974" s="61"/>
      <c r="D974" s="67"/>
      <c r="E974" s="159"/>
      <c r="F974" s="159"/>
      <c r="G974" s="160"/>
      <c r="H974" s="161"/>
      <c r="I974" s="160"/>
      <c r="J974" s="161"/>
      <c r="K974" s="159"/>
      <c r="L974" s="162"/>
    </row>
    <row r="975" spans="1:12" ht="24">
      <c r="A975" s="200"/>
      <c r="B975" s="60"/>
      <c r="C975" s="61"/>
      <c r="D975" s="67"/>
      <c r="E975" s="159"/>
      <c r="F975" s="159"/>
      <c r="G975" s="160"/>
      <c r="H975" s="161"/>
      <c r="I975" s="160"/>
      <c r="J975" s="161"/>
      <c r="K975" s="159"/>
      <c r="L975" s="162"/>
    </row>
    <row r="976" spans="1:12" ht="24">
      <c r="A976" s="201"/>
      <c r="B976" s="60"/>
      <c r="C976" s="61"/>
      <c r="D976" s="67"/>
      <c r="E976" s="159"/>
      <c r="F976" s="159"/>
      <c r="G976" s="160"/>
      <c r="H976" s="161"/>
      <c r="I976" s="160"/>
      <c r="J976" s="161"/>
      <c r="K976" s="159"/>
      <c r="L976" s="162"/>
    </row>
    <row r="977" spans="1:12" ht="24">
      <c r="A977" s="201"/>
      <c r="B977" s="60"/>
      <c r="C977" s="61"/>
      <c r="D977" s="67"/>
      <c r="E977" s="159"/>
      <c r="F977" s="159"/>
      <c r="G977" s="160"/>
      <c r="H977" s="161"/>
      <c r="I977" s="160"/>
      <c r="J977" s="161"/>
      <c r="K977" s="159"/>
      <c r="L977" s="162"/>
    </row>
    <row r="978" spans="1:12" ht="24">
      <c r="A978" s="201"/>
      <c r="B978" s="60"/>
      <c r="C978" s="61"/>
      <c r="D978" s="67"/>
      <c r="E978" s="159"/>
      <c r="F978" s="159"/>
      <c r="G978" s="160"/>
      <c r="H978" s="161"/>
      <c r="I978" s="160"/>
      <c r="J978" s="161"/>
      <c r="K978" s="159"/>
      <c r="L978" s="162"/>
    </row>
    <row r="979" spans="1:12" ht="24">
      <c r="A979" s="201"/>
      <c r="B979" s="60"/>
      <c r="C979" s="61"/>
      <c r="D979" s="67"/>
      <c r="E979" s="159"/>
      <c r="F979" s="159"/>
      <c r="G979" s="160"/>
      <c r="H979" s="161"/>
      <c r="I979" s="160"/>
      <c r="J979" s="161"/>
      <c r="K979" s="159"/>
      <c r="L979" s="162"/>
    </row>
    <row r="980" spans="1:12" ht="24.75" thickBot="1">
      <c r="A980" s="201"/>
      <c r="B980" s="60"/>
      <c r="C980" s="61"/>
      <c r="D980" s="67"/>
      <c r="E980" s="159"/>
      <c r="F980" s="159"/>
      <c r="G980" s="160"/>
      <c r="H980" s="161"/>
      <c r="I980" s="160"/>
      <c r="J980" s="161"/>
      <c r="K980" s="159"/>
      <c r="L980" s="162"/>
    </row>
    <row r="981" spans="1:12" ht="24.75" thickTop="1">
      <c r="A981" s="149"/>
      <c r="B981" s="1981" t="s">
        <v>69</v>
      </c>
      <c r="C981" s="1982"/>
      <c r="D981" s="1983"/>
      <c r="E981" s="164"/>
      <c r="F981" s="164"/>
      <c r="G981" s="165"/>
      <c r="H981" s="166"/>
      <c r="I981" s="165"/>
      <c r="J981" s="166"/>
      <c r="K981" s="164"/>
      <c r="L981" s="167"/>
    </row>
    <row r="982" spans="1:12" ht="24">
      <c r="A982" s="206" t="s">
        <v>199</v>
      </c>
      <c r="B982" s="146" t="s">
        <v>112</v>
      </c>
      <c r="C982" s="142"/>
      <c r="D982" s="143"/>
      <c r="E982" s="155"/>
      <c r="F982" s="155"/>
      <c r="G982" s="156"/>
      <c r="H982" s="157"/>
      <c r="I982" s="156"/>
      <c r="J982" s="157"/>
      <c r="K982" s="158"/>
      <c r="L982" s="158"/>
    </row>
    <row r="983" spans="1:12" ht="24">
      <c r="A983" s="205"/>
      <c r="B983" s="144" t="s">
        <v>117</v>
      </c>
      <c r="C983" s="61" t="s">
        <v>145</v>
      </c>
      <c r="D983" s="55"/>
      <c r="E983" s="159">
        <v>0</v>
      </c>
      <c r="F983" s="159" t="s">
        <v>183</v>
      </c>
      <c r="G983" s="160">
        <v>0</v>
      </c>
      <c r="H983" s="161">
        <f t="shared" ref="H983:H985" si="242">ROUND(E983*G983,2)</f>
        <v>0</v>
      </c>
      <c r="I983" s="160">
        <v>0</v>
      </c>
      <c r="J983" s="161">
        <f t="shared" ref="J983:J985" si="243">ROUND(E983*I983,2)</f>
        <v>0</v>
      </c>
      <c r="K983" s="159">
        <f t="shared" ref="K983:K985" si="244">ROUND(H983+J983,2)</f>
        <v>0</v>
      </c>
      <c r="L983" s="162"/>
    </row>
    <row r="984" spans="1:12" ht="24">
      <c r="A984" s="200"/>
      <c r="B984" s="145" t="s">
        <v>153</v>
      </c>
      <c r="C984" s="61" t="s">
        <v>154</v>
      </c>
      <c r="D984" s="62"/>
      <c r="E984" s="158">
        <f>10.8+9.45+468</f>
        <v>488.25</v>
      </c>
      <c r="F984" s="158" t="s">
        <v>183</v>
      </c>
      <c r="G984" s="156">
        <v>30</v>
      </c>
      <c r="H984" s="161">
        <f t="shared" si="242"/>
        <v>14647.5</v>
      </c>
      <c r="I984" s="160">
        <v>35</v>
      </c>
      <c r="J984" s="161">
        <f t="shared" si="243"/>
        <v>17088.75</v>
      </c>
      <c r="K984" s="159">
        <f t="shared" si="244"/>
        <v>31736.25</v>
      </c>
      <c r="L984" s="163"/>
    </row>
    <row r="985" spans="1:12" ht="24">
      <c r="A985" s="200"/>
      <c r="B985" s="145" t="s">
        <v>155</v>
      </c>
      <c r="C985" s="61" t="s">
        <v>156</v>
      </c>
      <c r="D985" s="62"/>
      <c r="E985" s="158">
        <f>65.42+75.75+463.48+21.6+31.88+32+15.96+18.13+9.88</f>
        <v>734.10000000000014</v>
      </c>
      <c r="F985" s="158" t="s">
        <v>183</v>
      </c>
      <c r="G985" s="156">
        <v>262</v>
      </c>
      <c r="H985" s="161">
        <f t="shared" si="242"/>
        <v>192334.2</v>
      </c>
      <c r="I985" s="160">
        <v>75</v>
      </c>
      <c r="J985" s="161">
        <f t="shared" si="243"/>
        <v>55057.5</v>
      </c>
      <c r="K985" s="159">
        <f t="shared" si="244"/>
        <v>247391.7</v>
      </c>
      <c r="L985" s="163"/>
    </row>
    <row r="986" spans="1:12" ht="24">
      <c r="A986" s="200"/>
      <c r="B986" s="145"/>
      <c r="C986" s="61" t="s">
        <v>234</v>
      </c>
      <c r="D986" s="67"/>
      <c r="E986" s="159"/>
      <c r="F986" s="159"/>
      <c r="G986" s="160"/>
      <c r="H986" s="161"/>
      <c r="I986" s="160"/>
      <c r="J986" s="161"/>
      <c r="K986" s="159"/>
      <c r="L986" s="162"/>
    </row>
    <row r="987" spans="1:12" ht="24">
      <c r="A987" s="200"/>
      <c r="B987" s="145" t="s">
        <v>157</v>
      </c>
      <c r="C987" s="61" t="s">
        <v>237</v>
      </c>
      <c r="D987" s="67"/>
      <c r="E987" s="159">
        <f>45.36+33.6</f>
        <v>78.960000000000008</v>
      </c>
      <c r="F987" s="159" t="s">
        <v>183</v>
      </c>
      <c r="G987" s="160">
        <v>650</v>
      </c>
      <c r="H987" s="161">
        <f t="shared" ref="H987" si="245">ROUND(E987*G987,2)</f>
        <v>51324</v>
      </c>
      <c r="I987" s="160">
        <v>52</v>
      </c>
      <c r="J987" s="161">
        <f t="shared" ref="J987" si="246">ROUND(E987*I987,2)</f>
        <v>4105.92</v>
      </c>
      <c r="K987" s="159">
        <f t="shared" ref="K987" si="247">ROUND(H987+J987,2)</f>
        <v>55429.919999999998</v>
      </c>
      <c r="L987" s="162"/>
    </row>
    <row r="988" spans="1:12" ht="24">
      <c r="A988" s="200"/>
      <c r="B988" s="145"/>
      <c r="C988" s="61" t="s">
        <v>238</v>
      </c>
      <c r="D988" s="67"/>
      <c r="E988" s="159"/>
      <c r="F988" s="159"/>
      <c r="G988" s="160"/>
      <c r="H988" s="161"/>
      <c r="I988" s="160"/>
      <c r="J988" s="161"/>
      <c r="K988" s="159"/>
      <c r="L988" s="162"/>
    </row>
    <row r="989" spans="1:12" ht="24">
      <c r="A989" s="200"/>
      <c r="B989" s="145"/>
      <c r="C989" s="61" t="s">
        <v>239</v>
      </c>
      <c r="D989" s="67"/>
      <c r="E989" s="159"/>
      <c r="F989" s="159"/>
      <c r="G989" s="160"/>
      <c r="H989" s="161"/>
      <c r="I989" s="160"/>
      <c r="J989" s="161"/>
      <c r="K989" s="159"/>
      <c r="L989" s="162"/>
    </row>
    <row r="990" spans="1:12" ht="24">
      <c r="A990" s="200"/>
      <c r="B990" s="145" t="s">
        <v>159</v>
      </c>
      <c r="C990" s="61" t="s">
        <v>158</v>
      </c>
      <c r="D990" s="67"/>
      <c r="E990" s="159">
        <f>26.7+20.16+9.48</f>
        <v>56.34</v>
      </c>
      <c r="F990" s="159" t="s">
        <v>183</v>
      </c>
      <c r="G990" s="160">
        <v>329</v>
      </c>
      <c r="H990" s="161">
        <f t="shared" ref="H990" si="248">ROUND(E990*G990,2)</f>
        <v>18535.86</v>
      </c>
      <c r="I990" s="160">
        <v>75</v>
      </c>
      <c r="J990" s="161">
        <f t="shared" ref="J990" si="249">ROUND(E990*I990,2)</f>
        <v>4225.5</v>
      </c>
      <c r="K990" s="159">
        <f t="shared" ref="K990" si="250">ROUND(H990+J990,2)</f>
        <v>22761.360000000001</v>
      </c>
      <c r="L990" s="162"/>
    </row>
    <row r="991" spans="1:12" ht="24">
      <c r="A991" s="200"/>
      <c r="B991" s="60"/>
      <c r="C991" s="61" t="s">
        <v>235</v>
      </c>
      <c r="D991" s="67"/>
      <c r="E991" s="159"/>
      <c r="F991" s="159"/>
      <c r="G991" s="160"/>
      <c r="H991" s="161"/>
      <c r="I991" s="160"/>
      <c r="J991" s="161"/>
      <c r="K991" s="159"/>
      <c r="L991" s="162"/>
    </row>
    <row r="992" spans="1:12" ht="24">
      <c r="A992" s="200"/>
      <c r="B992" s="60" t="s">
        <v>240</v>
      </c>
      <c r="C992" s="61" t="s">
        <v>241</v>
      </c>
      <c r="D992" s="67"/>
      <c r="E992" s="159"/>
      <c r="F992" s="159" t="s">
        <v>183</v>
      </c>
      <c r="G992" s="160">
        <v>215</v>
      </c>
      <c r="H992" s="161">
        <f t="shared" ref="H992" si="251">ROUND(E992*G992,2)</f>
        <v>0</v>
      </c>
      <c r="I992" s="160">
        <v>52</v>
      </c>
      <c r="J992" s="161">
        <f t="shared" ref="J992" si="252">ROUND(E992*I992,2)</f>
        <v>0</v>
      </c>
      <c r="K992" s="159">
        <f t="shared" ref="K992" si="253">ROUND(H992+J992,2)</f>
        <v>0</v>
      </c>
      <c r="L992" s="162"/>
    </row>
    <row r="993" spans="1:12" ht="24">
      <c r="A993" s="200"/>
      <c r="B993" s="145"/>
      <c r="C993" s="61" t="s">
        <v>242</v>
      </c>
      <c r="D993" s="67"/>
      <c r="E993" s="159"/>
      <c r="F993" s="159"/>
      <c r="G993" s="160"/>
      <c r="H993" s="161"/>
      <c r="I993" s="160"/>
      <c r="J993" s="161"/>
      <c r="K993" s="159"/>
      <c r="L993" s="162"/>
    </row>
    <row r="994" spans="1:12" ht="24">
      <c r="A994" s="200"/>
      <c r="B994" s="60" t="s">
        <v>134</v>
      </c>
      <c r="C994" s="61" t="s">
        <v>160</v>
      </c>
      <c r="D994" s="67"/>
      <c r="E994" s="159"/>
      <c r="F994" s="159" t="s">
        <v>183</v>
      </c>
      <c r="G994" s="160">
        <v>264</v>
      </c>
      <c r="H994" s="161">
        <f t="shared" ref="H994" si="254">ROUND(E994*G994,2)</f>
        <v>0</v>
      </c>
      <c r="I994" s="160">
        <v>80</v>
      </c>
      <c r="J994" s="161">
        <f t="shared" ref="J994" si="255">ROUND(E994*I994,2)</f>
        <v>0</v>
      </c>
      <c r="K994" s="159">
        <f t="shared" ref="K994" si="256">ROUND(H994+J994,2)</f>
        <v>0</v>
      </c>
      <c r="L994" s="162"/>
    </row>
    <row r="995" spans="1:12" ht="24">
      <c r="A995" s="200"/>
      <c r="B995" s="60"/>
      <c r="C995" s="61" t="s">
        <v>236</v>
      </c>
      <c r="D995" s="67"/>
      <c r="E995" s="159"/>
      <c r="F995" s="159"/>
      <c r="G995" s="160"/>
      <c r="H995" s="161"/>
      <c r="I995" s="160"/>
      <c r="J995" s="161"/>
      <c r="K995" s="159"/>
      <c r="L995" s="162"/>
    </row>
    <row r="996" spans="1:12" ht="24">
      <c r="A996" s="200"/>
      <c r="B996" s="60" t="s">
        <v>134</v>
      </c>
      <c r="C996" s="61" t="s">
        <v>161</v>
      </c>
      <c r="D996" s="67"/>
      <c r="E996" s="159">
        <f>E984+E985+E987+E990+E992</f>
        <v>1357.65</v>
      </c>
      <c r="F996" s="159" t="s">
        <v>183</v>
      </c>
      <c r="G996" s="160">
        <v>55</v>
      </c>
      <c r="H996" s="161">
        <f t="shared" ref="H996" si="257">ROUND(E996*G996,2)</f>
        <v>74670.75</v>
      </c>
      <c r="I996" s="160">
        <v>30</v>
      </c>
      <c r="J996" s="161">
        <f t="shared" ref="J996" si="258">ROUND(E996*I996,2)</f>
        <v>40729.5</v>
      </c>
      <c r="K996" s="159">
        <f t="shared" ref="K996" si="259">ROUND(H996+J996,2)</f>
        <v>115400.25</v>
      </c>
      <c r="L996" s="162"/>
    </row>
    <row r="997" spans="1:12" ht="24">
      <c r="A997" s="201"/>
      <c r="B997" s="60"/>
      <c r="C997" s="61"/>
      <c r="D997" s="67"/>
      <c r="E997" s="159"/>
      <c r="F997" s="159"/>
      <c r="G997" s="160"/>
      <c r="H997" s="161"/>
      <c r="I997" s="160"/>
      <c r="J997" s="161"/>
      <c r="K997" s="159"/>
      <c r="L997" s="162"/>
    </row>
    <row r="998" spans="1:12" ht="24">
      <c r="A998" s="201"/>
      <c r="B998" s="60"/>
      <c r="C998" s="61"/>
      <c r="D998" s="67"/>
      <c r="E998" s="159"/>
      <c r="F998" s="159"/>
      <c r="G998" s="160"/>
      <c r="H998" s="161"/>
      <c r="I998" s="160"/>
      <c r="J998" s="161"/>
      <c r="K998" s="159"/>
      <c r="L998" s="162"/>
    </row>
    <row r="999" spans="1:12" ht="24">
      <c r="A999" s="201"/>
      <c r="B999" s="60"/>
      <c r="C999" s="61"/>
      <c r="D999" s="67"/>
      <c r="E999" s="159"/>
      <c r="F999" s="159"/>
      <c r="G999" s="160"/>
      <c r="H999" s="161"/>
      <c r="I999" s="160"/>
      <c r="J999" s="161"/>
      <c r="K999" s="159"/>
      <c r="L999" s="162"/>
    </row>
    <row r="1000" spans="1:12" ht="24">
      <c r="A1000" s="201"/>
      <c r="B1000" s="60"/>
      <c r="C1000" s="61"/>
      <c r="D1000" s="67"/>
      <c r="E1000" s="159"/>
      <c r="F1000" s="159"/>
      <c r="G1000" s="160"/>
      <c r="H1000" s="161"/>
      <c r="I1000" s="160"/>
      <c r="J1000" s="161"/>
      <c r="K1000" s="159"/>
      <c r="L1000" s="162"/>
    </row>
    <row r="1001" spans="1:12" ht="24">
      <c r="A1001" s="201"/>
      <c r="B1001" s="60"/>
      <c r="C1001" s="61"/>
      <c r="D1001" s="67"/>
      <c r="E1001" s="159"/>
      <c r="F1001" s="159"/>
      <c r="G1001" s="160"/>
      <c r="H1001" s="161"/>
      <c r="I1001" s="160"/>
      <c r="J1001" s="161"/>
      <c r="K1001" s="159"/>
      <c r="L1001" s="162"/>
    </row>
    <row r="1002" spans="1:12" ht="24.75" thickBot="1">
      <c r="A1002" s="201"/>
      <c r="B1002" s="60"/>
      <c r="C1002" s="61"/>
      <c r="D1002" s="67"/>
      <c r="E1002" s="159"/>
      <c r="F1002" s="159"/>
      <c r="G1002" s="160"/>
      <c r="H1002" s="161"/>
      <c r="I1002" s="160"/>
      <c r="J1002" s="161"/>
      <c r="K1002" s="159"/>
      <c r="L1002" s="162"/>
    </row>
    <row r="1003" spans="1:12" ht="24.75" thickTop="1">
      <c r="A1003" s="149"/>
      <c r="B1003" s="1981" t="s">
        <v>69</v>
      </c>
      <c r="C1003" s="1982"/>
      <c r="D1003" s="1983"/>
      <c r="E1003" s="164"/>
      <c r="F1003" s="164"/>
      <c r="G1003" s="165"/>
      <c r="H1003" s="166"/>
      <c r="I1003" s="165"/>
      <c r="J1003" s="166"/>
      <c r="K1003" s="164"/>
      <c r="L1003" s="167"/>
    </row>
    <row r="1004" spans="1:12" ht="24">
      <c r="A1004" s="206" t="s">
        <v>200</v>
      </c>
      <c r="B1004" s="146" t="s">
        <v>113</v>
      </c>
      <c r="C1004" s="142"/>
      <c r="D1004" s="143"/>
      <c r="E1004" s="155"/>
      <c r="F1004" s="155"/>
      <c r="G1004" s="156"/>
      <c r="H1004" s="157"/>
      <c r="I1004" s="156"/>
      <c r="J1004" s="157"/>
      <c r="K1004" s="158"/>
      <c r="L1004" s="158"/>
    </row>
    <row r="1005" spans="1:12" ht="24">
      <c r="A1005" s="205"/>
      <c r="B1005" s="147" t="s">
        <v>186</v>
      </c>
      <c r="C1005" s="61" t="s">
        <v>346</v>
      </c>
      <c r="D1005" s="55"/>
      <c r="E1005" s="194">
        <v>2</v>
      </c>
      <c r="F1005" s="159" t="s">
        <v>185</v>
      </c>
      <c r="G1005" s="160"/>
      <c r="H1005" s="161"/>
      <c r="I1005" s="160"/>
      <c r="J1005" s="161"/>
      <c r="K1005" s="159"/>
      <c r="L1005" s="162"/>
    </row>
    <row r="1006" spans="1:12" ht="24">
      <c r="A1006" s="200"/>
      <c r="B1006" s="60" t="s">
        <v>187</v>
      </c>
      <c r="C1006" s="61" t="s">
        <v>345</v>
      </c>
      <c r="D1006" s="62"/>
      <c r="E1006" s="220">
        <v>3</v>
      </c>
      <c r="F1006" s="159" t="s">
        <v>185</v>
      </c>
      <c r="G1006" s="156"/>
      <c r="H1006" s="157"/>
      <c r="I1006" s="156"/>
      <c r="J1006" s="157"/>
      <c r="K1006" s="158"/>
      <c r="L1006" s="163"/>
    </row>
    <row r="1007" spans="1:12" ht="24">
      <c r="A1007" s="200"/>
      <c r="B1007" s="60" t="s">
        <v>188</v>
      </c>
      <c r="C1007" s="61" t="s">
        <v>368</v>
      </c>
      <c r="D1007" s="62"/>
      <c r="E1007" s="220">
        <v>3</v>
      </c>
      <c r="F1007" s="159" t="s">
        <v>185</v>
      </c>
      <c r="G1007" s="156"/>
      <c r="H1007" s="157"/>
      <c r="I1007" s="156"/>
      <c r="J1007" s="157"/>
      <c r="K1007" s="158"/>
      <c r="L1007" s="163"/>
    </row>
    <row r="1008" spans="1:12" ht="24">
      <c r="A1008" s="200"/>
      <c r="B1008" s="60" t="s">
        <v>302</v>
      </c>
      <c r="C1008" s="61" t="s">
        <v>348</v>
      </c>
      <c r="D1008" s="62"/>
      <c r="E1008" s="220">
        <v>2</v>
      </c>
      <c r="F1008" s="159" t="s">
        <v>185</v>
      </c>
      <c r="G1008" s="156"/>
      <c r="H1008" s="157"/>
      <c r="I1008" s="156"/>
      <c r="J1008" s="157"/>
      <c r="K1008" s="158"/>
      <c r="L1008" s="163"/>
    </row>
    <row r="1009" spans="1:12" ht="24">
      <c r="A1009" s="200"/>
      <c r="B1009" s="60" t="s">
        <v>305</v>
      </c>
      <c r="C1009" s="61" t="s">
        <v>351</v>
      </c>
      <c r="D1009" s="67"/>
      <c r="E1009" s="194">
        <v>2</v>
      </c>
      <c r="F1009" s="159" t="s">
        <v>185</v>
      </c>
      <c r="G1009" s="160"/>
      <c r="H1009" s="161"/>
      <c r="I1009" s="160"/>
      <c r="J1009" s="161"/>
      <c r="K1009" s="159"/>
      <c r="L1009" s="162"/>
    </row>
    <row r="1010" spans="1:12" ht="24">
      <c r="A1010" s="200"/>
      <c r="B1010" s="60" t="s">
        <v>307</v>
      </c>
      <c r="C1010" s="61" t="s">
        <v>353</v>
      </c>
      <c r="D1010" s="67"/>
      <c r="E1010" s="194">
        <v>2</v>
      </c>
      <c r="F1010" s="159" t="s">
        <v>185</v>
      </c>
      <c r="G1010" s="160"/>
      <c r="H1010" s="161"/>
      <c r="I1010" s="160"/>
      <c r="J1010" s="161"/>
      <c r="K1010" s="159"/>
      <c r="L1010" s="162"/>
    </row>
    <row r="1011" spans="1:12" ht="24">
      <c r="A1011" s="200"/>
      <c r="B1011" s="60" t="s">
        <v>308</v>
      </c>
      <c r="C1011" s="225" t="s">
        <v>354</v>
      </c>
      <c r="D1011" s="67"/>
      <c r="E1011" s="194">
        <v>2</v>
      </c>
      <c r="F1011" s="159" t="s">
        <v>185</v>
      </c>
      <c r="G1011" s="160"/>
      <c r="H1011" s="161"/>
      <c r="I1011" s="160"/>
      <c r="J1011" s="161"/>
      <c r="K1011" s="159"/>
      <c r="L1011" s="162"/>
    </row>
    <row r="1012" spans="1:12" ht="24">
      <c r="A1012" s="200"/>
      <c r="B1012" s="60" t="s">
        <v>310</v>
      </c>
      <c r="C1012" s="61" t="s">
        <v>356</v>
      </c>
      <c r="D1012" s="67"/>
      <c r="E1012" s="194">
        <v>1</v>
      </c>
      <c r="F1012" s="159" t="s">
        <v>185</v>
      </c>
      <c r="G1012" s="160"/>
      <c r="H1012" s="161"/>
      <c r="I1012" s="160"/>
      <c r="J1012" s="161"/>
      <c r="K1012" s="159"/>
      <c r="L1012" s="162"/>
    </row>
    <row r="1013" spans="1:12" ht="24">
      <c r="A1013" s="200"/>
      <c r="B1013" s="60" t="s">
        <v>326</v>
      </c>
      <c r="C1013" s="61" t="s">
        <v>369</v>
      </c>
      <c r="D1013" s="67"/>
      <c r="E1013" s="194">
        <v>1</v>
      </c>
      <c r="F1013" s="159" t="s">
        <v>185</v>
      </c>
      <c r="G1013" s="160"/>
      <c r="H1013" s="161"/>
      <c r="I1013" s="160"/>
      <c r="J1013" s="161"/>
      <c r="K1013" s="159"/>
      <c r="L1013" s="162"/>
    </row>
    <row r="1014" spans="1:12" ht="24">
      <c r="A1014" s="200"/>
      <c r="B1014" s="60" t="s">
        <v>327</v>
      </c>
      <c r="C1014" s="61" t="s">
        <v>370</v>
      </c>
      <c r="D1014" s="67"/>
      <c r="E1014" s="194">
        <v>1</v>
      </c>
      <c r="F1014" s="159" t="s">
        <v>185</v>
      </c>
      <c r="G1014" s="160"/>
      <c r="H1014" s="161"/>
      <c r="I1014" s="160"/>
      <c r="J1014" s="161"/>
      <c r="K1014" s="159"/>
      <c r="L1014" s="162"/>
    </row>
    <row r="1015" spans="1:12" ht="24">
      <c r="A1015" s="200"/>
      <c r="B1015" s="60" t="s">
        <v>328</v>
      </c>
      <c r="C1015" s="61" t="s">
        <v>371</v>
      </c>
      <c r="D1015" s="67"/>
      <c r="E1015" s="194">
        <v>2</v>
      </c>
      <c r="F1015" s="159" t="s">
        <v>185</v>
      </c>
      <c r="G1015" s="160"/>
      <c r="H1015" s="161"/>
      <c r="I1015" s="160"/>
      <c r="J1015" s="161"/>
      <c r="K1015" s="159"/>
      <c r="L1015" s="162"/>
    </row>
    <row r="1016" spans="1:12" ht="24">
      <c r="A1016" s="200"/>
      <c r="B1016" s="60" t="s">
        <v>329</v>
      </c>
      <c r="C1016" s="61" t="s">
        <v>372</v>
      </c>
      <c r="D1016" s="67"/>
      <c r="E1016" s="194">
        <v>1</v>
      </c>
      <c r="F1016" s="159" t="s">
        <v>185</v>
      </c>
      <c r="G1016" s="160"/>
      <c r="H1016" s="161"/>
      <c r="I1016" s="160"/>
      <c r="J1016" s="161"/>
      <c r="K1016" s="159"/>
      <c r="L1016" s="162"/>
    </row>
    <row r="1017" spans="1:12" ht="24">
      <c r="A1017" s="200"/>
      <c r="B1017" s="60" t="s">
        <v>330</v>
      </c>
      <c r="C1017" s="61" t="s">
        <v>373</v>
      </c>
      <c r="D1017" s="67"/>
      <c r="E1017" s="194">
        <v>1</v>
      </c>
      <c r="F1017" s="159" t="s">
        <v>185</v>
      </c>
      <c r="G1017" s="160"/>
      <c r="H1017" s="161"/>
      <c r="I1017" s="160"/>
      <c r="J1017" s="161"/>
      <c r="K1017" s="159"/>
      <c r="L1017" s="162"/>
    </row>
    <row r="1018" spans="1:12" ht="24">
      <c r="A1018" s="200"/>
      <c r="B1018" s="221">
        <v>2</v>
      </c>
      <c r="C1018" s="61" t="s">
        <v>362</v>
      </c>
      <c r="D1018" s="67"/>
      <c r="E1018" s="194">
        <v>15</v>
      </c>
      <c r="F1018" s="159" t="s">
        <v>185</v>
      </c>
      <c r="G1018" s="160"/>
      <c r="H1018" s="161"/>
      <c r="I1018" s="160"/>
      <c r="J1018" s="161"/>
      <c r="K1018" s="159"/>
      <c r="L1018" s="162"/>
    </row>
    <row r="1019" spans="1:12" ht="24">
      <c r="A1019" s="200"/>
      <c r="B1019" s="221">
        <v>3</v>
      </c>
      <c r="C1019" s="61" t="s">
        <v>363</v>
      </c>
      <c r="D1019" s="67"/>
      <c r="E1019" s="194">
        <v>2</v>
      </c>
      <c r="F1019" s="159" t="s">
        <v>185</v>
      </c>
      <c r="G1019" s="160"/>
      <c r="H1019" s="161"/>
      <c r="I1019" s="160"/>
      <c r="J1019" s="161"/>
      <c r="K1019" s="159"/>
      <c r="L1019" s="162"/>
    </row>
    <row r="1020" spans="1:12" ht="24">
      <c r="A1020" s="200"/>
      <c r="B1020" s="221">
        <v>4</v>
      </c>
      <c r="C1020" s="61" t="s">
        <v>364</v>
      </c>
      <c r="D1020" s="67"/>
      <c r="E1020" s="194">
        <v>8</v>
      </c>
      <c r="F1020" s="159" t="s">
        <v>185</v>
      </c>
      <c r="G1020" s="160"/>
      <c r="H1020" s="161"/>
      <c r="I1020" s="160"/>
      <c r="J1020" s="161"/>
      <c r="K1020" s="159"/>
      <c r="L1020" s="162"/>
    </row>
    <row r="1021" spans="1:12" ht="24">
      <c r="A1021" s="200"/>
      <c r="B1021" s="221">
        <v>7</v>
      </c>
      <c r="C1021" s="61" t="s">
        <v>367</v>
      </c>
      <c r="D1021" s="67"/>
      <c r="E1021" s="194">
        <v>3</v>
      </c>
      <c r="F1021" s="159" t="s">
        <v>185</v>
      </c>
      <c r="G1021" s="160"/>
      <c r="H1021" s="161"/>
      <c r="I1021" s="160"/>
      <c r="J1021" s="161"/>
      <c r="K1021" s="159"/>
      <c r="L1021" s="162"/>
    </row>
    <row r="1022" spans="1:12" ht="24">
      <c r="A1022" s="200"/>
      <c r="B1022" s="221"/>
      <c r="C1022" s="61"/>
      <c r="D1022" s="67"/>
      <c r="E1022" s="194"/>
      <c r="F1022" s="159"/>
      <c r="G1022" s="160"/>
      <c r="H1022" s="161"/>
      <c r="I1022" s="160"/>
      <c r="J1022" s="161"/>
      <c r="K1022" s="159"/>
      <c r="L1022" s="162"/>
    </row>
    <row r="1023" spans="1:12" ht="24">
      <c r="A1023" s="200"/>
      <c r="B1023" s="221"/>
      <c r="C1023" s="61"/>
      <c r="D1023" s="67"/>
      <c r="E1023" s="194"/>
      <c r="F1023" s="159"/>
      <c r="G1023" s="160"/>
      <c r="H1023" s="161"/>
      <c r="I1023" s="160"/>
      <c r="J1023" s="161"/>
      <c r="K1023" s="159"/>
      <c r="L1023" s="162"/>
    </row>
    <row r="1024" spans="1:12" ht="24.75" thickBot="1">
      <c r="A1024" s="200"/>
      <c r="B1024" s="221"/>
      <c r="C1024" s="61"/>
      <c r="D1024" s="67"/>
      <c r="E1024" s="194"/>
      <c r="F1024" s="159"/>
      <c r="G1024" s="160"/>
      <c r="H1024" s="161"/>
      <c r="I1024" s="160"/>
      <c r="J1024" s="161"/>
      <c r="K1024" s="159"/>
      <c r="L1024" s="162"/>
    </row>
    <row r="1025" spans="1:12" ht="24.75" thickTop="1">
      <c r="A1025" s="149"/>
      <c r="B1025" s="1981" t="s">
        <v>69</v>
      </c>
      <c r="C1025" s="1982"/>
      <c r="D1025" s="1983"/>
      <c r="E1025" s="164"/>
      <c r="F1025" s="164"/>
      <c r="G1025" s="165"/>
      <c r="H1025" s="166"/>
      <c r="I1025" s="165"/>
      <c r="J1025" s="166"/>
      <c r="K1025" s="164"/>
      <c r="L1025" s="167"/>
    </row>
    <row r="1026" spans="1:12" ht="24">
      <c r="A1026" s="206" t="s">
        <v>201</v>
      </c>
      <c r="B1026" s="133" t="s">
        <v>114</v>
      </c>
      <c r="C1026" s="142"/>
      <c r="D1026" s="143"/>
      <c r="E1026" s="155"/>
      <c r="F1026" s="155"/>
      <c r="G1026" s="156"/>
      <c r="H1026" s="157"/>
      <c r="I1026" s="156"/>
      <c r="J1026" s="157"/>
      <c r="K1026" s="158"/>
      <c r="L1026" s="158"/>
    </row>
    <row r="1027" spans="1:12" ht="24">
      <c r="A1027" s="205"/>
      <c r="B1027" s="222" t="s">
        <v>315</v>
      </c>
      <c r="C1027" s="54"/>
      <c r="D1027" s="55"/>
      <c r="E1027" s="159">
        <v>5</v>
      </c>
      <c r="F1027" s="159" t="s">
        <v>185</v>
      </c>
      <c r="G1027" s="160"/>
      <c r="H1027" s="161"/>
      <c r="I1027" s="160"/>
      <c r="J1027" s="161"/>
      <c r="K1027" s="159"/>
      <c r="L1027" s="162"/>
    </row>
    <row r="1028" spans="1:12" ht="24">
      <c r="A1028" s="200"/>
      <c r="B1028" s="222" t="s">
        <v>316</v>
      </c>
      <c r="C1028" s="61"/>
      <c r="D1028" s="62"/>
      <c r="E1028" s="158">
        <v>9</v>
      </c>
      <c r="F1028" s="159" t="s">
        <v>185</v>
      </c>
      <c r="G1028" s="156"/>
      <c r="H1028" s="157"/>
      <c r="I1028" s="156"/>
      <c r="J1028" s="157"/>
      <c r="K1028" s="158"/>
      <c r="L1028" s="163"/>
    </row>
    <row r="1029" spans="1:12" ht="24">
      <c r="A1029" s="200"/>
      <c r="B1029" s="222" t="s">
        <v>317</v>
      </c>
      <c r="C1029" s="61"/>
      <c r="D1029" s="62"/>
      <c r="E1029" s="158">
        <v>8</v>
      </c>
      <c r="F1029" s="159" t="s">
        <v>185</v>
      </c>
      <c r="G1029" s="156"/>
      <c r="H1029" s="157"/>
      <c r="I1029" s="156"/>
      <c r="J1029" s="157"/>
      <c r="K1029" s="158"/>
      <c r="L1029" s="163"/>
    </row>
    <row r="1030" spans="1:12" ht="24">
      <c r="A1030" s="200"/>
      <c r="B1030" s="222" t="s">
        <v>336</v>
      </c>
      <c r="C1030" s="61"/>
      <c r="D1030" s="62"/>
      <c r="E1030" s="158">
        <v>8</v>
      </c>
      <c r="F1030" s="159" t="s">
        <v>185</v>
      </c>
      <c r="G1030" s="160"/>
      <c r="H1030" s="161"/>
      <c r="I1030" s="160"/>
      <c r="J1030" s="161"/>
      <c r="K1030" s="159"/>
      <c r="L1030" s="162"/>
    </row>
    <row r="1031" spans="1:12" ht="24">
      <c r="A1031" s="200"/>
      <c r="B1031" s="222" t="s">
        <v>318</v>
      </c>
      <c r="C1031" s="61"/>
      <c r="D1031" s="67"/>
      <c r="E1031" s="159">
        <v>2</v>
      </c>
      <c r="F1031" s="159" t="s">
        <v>185</v>
      </c>
      <c r="G1031" s="160"/>
      <c r="H1031" s="161"/>
      <c r="I1031" s="160"/>
      <c r="J1031" s="161"/>
      <c r="K1031" s="159"/>
      <c r="L1031" s="162"/>
    </row>
    <row r="1032" spans="1:12" ht="24">
      <c r="A1032" s="200"/>
      <c r="B1032" s="222" t="s">
        <v>319</v>
      </c>
      <c r="C1032" s="61"/>
      <c r="D1032" s="67"/>
      <c r="E1032" s="159">
        <v>9</v>
      </c>
      <c r="F1032" s="159" t="s">
        <v>185</v>
      </c>
      <c r="G1032" s="160"/>
      <c r="H1032" s="161"/>
      <c r="I1032" s="160"/>
      <c r="J1032" s="161"/>
      <c r="K1032" s="159"/>
      <c r="L1032" s="162"/>
    </row>
    <row r="1033" spans="1:12" ht="24">
      <c r="A1033" s="200"/>
      <c r="B1033" s="222" t="s">
        <v>320</v>
      </c>
      <c r="C1033" s="61"/>
      <c r="D1033" s="67"/>
      <c r="E1033" s="159">
        <v>9</v>
      </c>
      <c r="F1033" s="159" t="s">
        <v>185</v>
      </c>
      <c r="G1033" s="160"/>
      <c r="H1033" s="161"/>
      <c r="I1033" s="160"/>
      <c r="J1033" s="161"/>
      <c r="K1033" s="159"/>
      <c r="L1033" s="162"/>
    </row>
    <row r="1034" spans="1:12" ht="24">
      <c r="A1034" s="200"/>
      <c r="B1034" s="222" t="s">
        <v>323</v>
      </c>
      <c r="C1034" s="61"/>
      <c r="D1034" s="67"/>
      <c r="E1034" s="159">
        <v>1</v>
      </c>
      <c r="F1034" s="159" t="s">
        <v>185</v>
      </c>
      <c r="G1034" s="160"/>
      <c r="H1034" s="161"/>
      <c r="I1034" s="160"/>
      <c r="J1034" s="161"/>
      <c r="K1034" s="159"/>
      <c r="L1034" s="162"/>
    </row>
    <row r="1035" spans="1:12" ht="24">
      <c r="A1035" s="200"/>
      <c r="B1035" s="222" t="s">
        <v>324</v>
      </c>
      <c r="C1035" s="61"/>
      <c r="D1035" s="67"/>
      <c r="E1035" s="159">
        <v>1</v>
      </c>
      <c r="F1035" s="159" t="s">
        <v>185</v>
      </c>
      <c r="G1035" s="160"/>
      <c r="H1035" s="161"/>
      <c r="I1035" s="160"/>
      <c r="J1035" s="161"/>
      <c r="K1035" s="159"/>
      <c r="L1035" s="162"/>
    </row>
    <row r="1036" spans="1:12" ht="24">
      <c r="A1036" s="200"/>
      <c r="B1036" s="222" t="s">
        <v>338</v>
      </c>
      <c r="C1036" s="61"/>
      <c r="D1036" s="67"/>
      <c r="E1036" s="159">
        <v>1</v>
      </c>
      <c r="F1036" s="159" t="s">
        <v>185</v>
      </c>
      <c r="G1036" s="160"/>
      <c r="H1036" s="161"/>
      <c r="I1036" s="160"/>
      <c r="J1036" s="161"/>
      <c r="K1036" s="159"/>
      <c r="L1036" s="162"/>
    </row>
    <row r="1037" spans="1:12" ht="24">
      <c r="A1037" s="200"/>
      <c r="B1037" s="222" t="s">
        <v>340</v>
      </c>
      <c r="C1037" s="61"/>
      <c r="D1037" s="67"/>
      <c r="E1037" s="159">
        <v>1</v>
      </c>
      <c r="F1037" s="159" t="s">
        <v>185</v>
      </c>
      <c r="G1037" s="160"/>
      <c r="H1037" s="161"/>
      <c r="I1037" s="160"/>
      <c r="J1037" s="161"/>
      <c r="K1037" s="159"/>
      <c r="L1037" s="162"/>
    </row>
    <row r="1038" spans="1:12" ht="24">
      <c r="A1038" s="200"/>
      <c r="B1038" s="222" t="s">
        <v>321</v>
      </c>
      <c r="C1038" s="61"/>
      <c r="D1038" s="67"/>
      <c r="E1038" s="159">
        <v>11</v>
      </c>
      <c r="F1038" s="159" t="s">
        <v>185</v>
      </c>
      <c r="G1038" s="160"/>
      <c r="H1038" s="161"/>
      <c r="I1038" s="160"/>
      <c r="J1038" s="161"/>
      <c r="K1038" s="159"/>
      <c r="L1038" s="162"/>
    </row>
    <row r="1039" spans="1:12" ht="24">
      <c r="A1039" s="200"/>
      <c r="B1039" s="222" t="s">
        <v>335</v>
      </c>
      <c r="C1039" s="61"/>
      <c r="D1039" s="67"/>
      <c r="E1039" s="159">
        <v>4</v>
      </c>
      <c r="F1039" s="159" t="s">
        <v>185</v>
      </c>
      <c r="G1039" s="160"/>
      <c r="H1039" s="161"/>
      <c r="I1039" s="160"/>
      <c r="J1039" s="161"/>
      <c r="K1039" s="159"/>
      <c r="L1039" s="162"/>
    </row>
    <row r="1040" spans="1:12" ht="24">
      <c r="A1040" s="200"/>
      <c r="B1040" s="222" t="s">
        <v>341</v>
      </c>
      <c r="C1040" s="61"/>
      <c r="D1040" s="67"/>
      <c r="E1040" s="159">
        <v>1</v>
      </c>
      <c r="F1040" s="159" t="s">
        <v>185</v>
      </c>
      <c r="G1040" s="160"/>
      <c r="H1040" s="161"/>
      <c r="I1040" s="160"/>
      <c r="J1040" s="161"/>
      <c r="K1040" s="159"/>
      <c r="L1040" s="162"/>
    </row>
    <row r="1041" spans="1:12" ht="24">
      <c r="A1041" s="199"/>
      <c r="B1041" s="133"/>
      <c r="C1041" s="61"/>
      <c r="D1041" s="67"/>
      <c r="E1041" s="159"/>
      <c r="F1041" s="159"/>
      <c r="G1041" s="160"/>
      <c r="H1041" s="161"/>
      <c r="I1041" s="160"/>
      <c r="J1041" s="161"/>
      <c r="K1041" s="159"/>
      <c r="L1041" s="162"/>
    </row>
    <row r="1042" spans="1:12" ht="24">
      <c r="A1042" s="199"/>
      <c r="B1042" s="133"/>
      <c r="C1042" s="61"/>
      <c r="D1042" s="67"/>
      <c r="E1042" s="159"/>
      <c r="F1042" s="159"/>
      <c r="G1042" s="160"/>
      <c r="H1042" s="161"/>
      <c r="I1042" s="160"/>
      <c r="J1042" s="161"/>
      <c r="K1042" s="159"/>
      <c r="L1042" s="162"/>
    </row>
    <row r="1043" spans="1:12" ht="24">
      <c r="A1043" s="199"/>
      <c r="B1043" s="133"/>
      <c r="C1043" s="61"/>
      <c r="D1043" s="67"/>
      <c r="E1043" s="159"/>
      <c r="F1043" s="159"/>
      <c r="G1043" s="160"/>
      <c r="H1043" s="161"/>
      <c r="I1043" s="160"/>
      <c r="J1043" s="161"/>
      <c r="K1043" s="159"/>
      <c r="L1043" s="162"/>
    </row>
    <row r="1044" spans="1:12" ht="24">
      <c r="A1044" s="199"/>
      <c r="B1044" s="133"/>
      <c r="C1044" s="61"/>
      <c r="D1044" s="67"/>
      <c r="E1044" s="159"/>
      <c r="F1044" s="159"/>
      <c r="G1044" s="160"/>
      <c r="H1044" s="161"/>
      <c r="I1044" s="160"/>
      <c r="J1044" s="161"/>
      <c r="K1044" s="159"/>
      <c r="L1044" s="162"/>
    </row>
    <row r="1045" spans="1:12" ht="24">
      <c r="A1045" s="199"/>
      <c r="B1045" s="133"/>
      <c r="C1045" s="61"/>
      <c r="D1045" s="67"/>
      <c r="E1045" s="159"/>
      <c r="F1045" s="159"/>
      <c r="G1045" s="160"/>
      <c r="H1045" s="161"/>
      <c r="I1045" s="160"/>
      <c r="J1045" s="161"/>
      <c r="K1045" s="159"/>
      <c r="L1045" s="162"/>
    </row>
    <row r="1046" spans="1:12" ht="24.75" thickBot="1">
      <c r="A1046" s="199"/>
      <c r="B1046" s="133"/>
      <c r="C1046" s="61"/>
      <c r="D1046" s="67"/>
      <c r="E1046" s="159"/>
      <c r="F1046" s="159"/>
      <c r="G1046" s="160"/>
      <c r="H1046" s="161"/>
      <c r="I1046" s="160"/>
      <c r="J1046" s="161"/>
      <c r="K1046" s="159"/>
      <c r="L1046" s="162"/>
    </row>
    <row r="1047" spans="1:12" ht="24.75" thickTop="1">
      <c r="A1047" s="149"/>
      <c r="B1047" s="1981" t="s">
        <v>69</v>
      </c>
      <c r="C1047" s="1982"/>
      <c r="D1047" s="1983"/>
      <c r="E1047" s="164"/>
      <c r="F1047" s="164"/>
      <c r="G1047" s="165"/>
      <c r="H1047" s="166"/>
      <c r="I1047" s="165"/>
      <c r="J1047" s="166"/>
      <c r="K1047" s="164"/>
      <c r="L1047" s="167"/>
    </row>
    <row r="1048" spans="1:12" ht="24">
      <c r="A1048" s="202" t="s">
        <v>108</v>
      </c>
      <c r="B1048" s="2007" t="str">
        <f>B691</f>
        <v xml:space="preserve"> อาคารสำนักงานศูนย์ขนส่งสาธารณะ  ฝขส. ขนาด 2 ชั้น (อาคาร G)</v>
      </c>
      <c r="C1048" s="2008"/>
      <c r="D1048" s="2009"/>
      <c r="E1048" s="155"/>
      <c r="F1048" s="155"/>
      <c r="G1048" s="156"/>
      <c r="H1048" s="157"/>
      <c r="I1048" s="156"/>
      <c r="J1048" s="157"/>
      <c r="K1048" s="158"/>
      <c r="L1048" s="158"/>
    </row>
    <row r="1049" spans="1:12" ht="24">
      <c r="A1049" s="202"/>
      <c r="B1049" s="2001" t="e">
        <f>B873</f>
        <v>#REF!</v>
      </c>
      <c r="C1049" s="2002"/>
      <c r="D1049" s="2003"/>
      <c r="E1049" s="155"/>
      <c r="F1049" s="155"/>
      <c r="G1049" s="156"/>
      <c r="H1049" s="157"/>
      <c r="I1049" s="156"/>
      <c r="J1049" s="157"/>
      <c r="K1049" s="158"/>
      <c r="L1049" s="158"/>
    </row>
    <row r="1050" spans="1:12" ht="24">
      <c r="A1050" s="202"/>
      <c r="B1050" s="2001" t="s">
        <v>283</v>
      </c>
      <c r="C1050" s="2002"/>
      <c r="D1050" s="2003"/>
      <c r="E1050" s="155"/>
      <c r="F1050" s="155"/>
      <c r="G1050" s="156"/>
      <c r="H1050" s="157"/>
      <c r="I1050" s="156"/>
      <c r="J1050" s="157"/>
      <c r="K1050" s="158"/>
      <c r="L1050" s="158"/>
    </row>
    <row r="1051" spans="1:12" ht="24">
      <c r="A1051" s="204" t="s">
        <v>195</v>
      </c>
      <c r="B1051" s="134" t="s">
        <v>93</v>
      </c>
      <c r="C1051" s="54"/>
      <c r="D1051" s="55"/>
      <c r="E1051" s="159"/>
      <c r="F1051" s="159" t="s">
        <v>182</v>
      </c>
      <c r="G1051" s="160"/>
      <c r="H1051" s="161"/>
      <c r="I1051" s="160"/>
      <c r="J1051" s="161"/>
      <c r="K1051" s="159"/>
      <c r="L1051" s="162"/>
    </row>
    <row r="1052" spans="1:12" ht="24">
      <c r="A1052" s="199" t="s">
        <v>196</v>
      </c>
      <c r="B1052" s="133" t="s">
        <v>109</v>
      </c>
      <c r="C1052" s="61"/>
      <c r="D1052" s="62"/>
      <c r="E1052" s="158"/>
      <c r="F1052" s="158" t="s">
        <v>182</v>
      </c>
      <c r="G1052" s="156"/>
      <c r="H1052" s="157"/>
      <c r="I1052" s="156"/>
      <c r="J1052" s="157"/>
      <c r="K1052" s="158"/>
      <c r="L1052" s="163"/>
    </row>
    <row r="1053" spans="1:12" ht="24">
      <c r="A1053" s="204" t="s">
        <v>197</v>
      </c>
      <c r="B1053" s="133" t="s">
        <v>110</v>
      </c>
      <c r="C1053" s="61"/>
      <c r="D1053" s="62"/>
      <c r="E1053" s="158"/>
      <c r="F1053" s="158" t="s">
        <v>182</v>
      </c>
      <c r="G1053" s="156"/>
      <c r="H1053" s="157"/>
      <c r="I1053" s="156"/>
      <c r="J1053" s="157"/>
      <c r="K1053" s="158"/>
      <c r="L1053" s="163"/>
    </row>
    <row r="1054" spans="1:12" ht="24">
      <c r="A1054" s="199" t="s">
        <v>198</v>
      </c>
      <c r="B1054" s="133" t="s">
        <v>111</v>
      </c>
      <c r="C1054" s="61"/>
      <c r="D1054" s="67"/>
      <c r="E1054" s="159"/>
      <c r="F1054" s="159" t="s">
        <v>182</v>
      </c>
      <c r="G1054" s="160"/>
      <c r="H1054" s="161"/>
      <c r="I1054" s="160"/>
      <c r="J1054" s="161"/>
      <c r="K1054" s="159"/>
      <c r="L1054" s="162"/>
    </row>
    <row r="1055" spans="1:12" ht="24">
      <c r="A1055" s="204" t="s">
        <v>199</v>
      </c>
      <c r="B1055" s="133" t="s">
        <v>112</v>
      </c>
      <c r="C1055" s="61"/>
      <c r="D1055" s="67"/>
      <c r="E1055" s="159"/>
      <c r="F1055" s="159" t="s">
        <v>182</v>
      </c>
      <c r="G1055" s="160"/>
      <c r="H1055" s="161"/>
      <c r="I1055" s="160"/>
      <c r="J1055" s="161"/>
      <c r="K1055" s="159"/>
      <c r="L1055" s="162"/>
    </row>
    <row r="1056" spans="1:12" ht="24">
      <c r="A1056" s="199" t="s">
        <v>200</v>
      </c>
      <c r="B1056" s="133" t="s">
        <v>113</v>
      </c>
      <c r="C1056" s="61"/>
      <c r="D1056" s="67"/>
      <c r="E1056" s="159"/>
      <c r="F1056" s="159" t="s">
        <v>182</v>
      </c>
      <c r="G1056" s="160"/>
      <c r="H1056" s="161"/>
      <c r="I1056" s="160"/>
      <c r="J1056" s="161"/>
      <c r="K1056" s="159"/>
      <c r="L1056" s="162"/>
    </row>
    <row r="1057" spans="1:12" ht="24">
      <c r="A1057" s="204" t="s">
        <v>201</v>
      </c>
      <c r="B1057" s="133" t="s">
        <v>114</v>
      </c>
      <c r="C1057" s="61"/>
      <c r="D1057" s="67"/>
      <c r="E1057" s="159"/>
      <c r="F1057" s="159" t="s">
        <v>182</v>
      </c>
      <c r="G1057" s="160"/>
      <c r="H1057" s="161"/>
      <c r="I1057" s="160"/>
      <c r="J1057" s="161"/>
      <c r="K1057" s="159"/>
      <c r="L1057" s="162"/>
    </row>
    <row r="1058" spans="1:12" ht="24">
      <c r="A1058" s="199"/>
      <c r="B1058" s="133"/>
      <c r="C1058" s="61"/>
      <c r="D1058" s="67"/>
      <c r="E1058" s="159"/>
      <c r="F1058" s="159"/>
      <c r="G1058" s="160"/>
      <c r="H1058" s="161"/>
      <c r="I1058" s="160"/>
      <c r="J1058" s="161"/>
      <c r="K1058" s="159"/>
      <c r="L1058" s="162"/>
    </row>
    <row r="1059" spans="1:12" ht="24">
      <c r="A1059" s="204"/>
      <c r="B1059" s="133"/>
      <c r="C1059" s="61"/>
      <c r="D1059" s="67"/>
      <c r="E1059" s="159"/>
      <c r="F1059" s="159"/>
      <c r="G1059" s="160"/>
      <c r="H1059" s="161"/>
      <c r="I1059" s="160"/>
      <c r="J1059" s="161"/>
      <c r="K1059" s="159"/>
      <c r="L1059" s="162"/>
    </row>
    <row r="1060" spans="1:12" ht="24">
      <c r="A1060" s="199"/>
      <c r="B1060" s="133"/>
      <c r="C1060" s="61"/>
      <c r="D1060" s="67"/>
      <c r="E1060" s="159"/>
      <c r="F1060" s="159"/>
      <c r="G1060" s="160"/>
      <c r="H1060" s="161"/>
      <c r="I1060" s="160"/>
      <c r="J1060" s="161"/>
      <c r="K1060" s="159"/>
      <c r="L1060" s="162"/>
    </row>
    <row r="1061" spans="1:12" ht="24">
      <c r="A1061" s="199"/>
      <c r="B1061" s="133"/>
      <c r="C1061" s="61"/>
      <c r="D1061" s="67"/>
      <c r="E1061" s="159"/>
      <c r="F1061" s="159"/>
      <c r="G1061" s="160"/>
      <c r="H1061" s="161"/>
      <c r="I1061" s="160"/>
      <c r="J1061" s="161"/>
      <c r="K1061" s="159"/>
      <c r="L1061" s="162"/>
    </row>
    <row r="1062" spans="1:12" ht="24">
      <c r="A1062" s="199"/>
      <c r="B1062" s="133"/>
      <c r="C1062" s="61"/>
      <c r="D1062" s="67"/>
      <c r="E1062" s="159"/>
      <c r="F1062" s="159"/>
      <c r="G1062" s="160"/>
      <c r="H1062" s="161"/>
      <c r="I1062" s="160"/>
      <c r="J1062" s="161"/>
      <c r="K1062" s="159"/>
      <c r="L1062" s="162"/>
    </row>
    <row r="1063" spans="1:12" ht="24">
      <c r="A1063" s="199"/>
      <c r="B1063" s="133"/>
      <c r="C1063" s="61"/>
      <c r="D1063" s="67"/>
      <c r="E1063" s="159"/>
      <c r="F1063" s="159"/>
      <c r="G1063" s="160"/>
      <c r="H1063" s="161"/>
      <c r="I1063" s="160"/>
      <c r="J1063" s="161"/>
      <c r="K1063" s="159"/>
      <c r="L1063" s="162"/>
    </row>
    <row r="1064" spans="1:12" ht="24">
      <c r="A1064" s="199"/>
      <c r="B1064" s="133"/>
      <c r="C1064" s="61"/>
      <c r="D1064" s="67"/>
      <c r="E1064" s="159"/>
      <c r="F1064" s="159"/>
      <c r="G1064" s="160"/>
      <c r="H1064" s="161"/>
      <c r="I1064" s="160"/>
      <c r="J1064" s="161"/>
      <c r="K1064" s="159"/>
      <c r="L1064" s="162"/>
    </row>
    <row r="1065" spans="1:12" ht="24">
      <c r="A1065" s="199"/>
      <c r="B1065" s="133"/>
      <c r="C1065" s="61"/>
      <c r="D1065" s="67"/>
      <c r="E1065" s="159"/>
      <c r="F1065" s="159"/>
      <c r="G1065" s="160"/>
      <c r="H1065" s="161"/>
      <c r="I1065" s="160"/>
      <c r="J1065" s="161"/>
      <c r="K1065" s="159"/>
      <c r="L1065" s="162"/>
    </row>
    <row r="1066" spans="1:12" ht="24">
      <c r="A1066" s="201"/>
      <c r="B1066" s="60"/>
      <c r="C1066" s="61"/>
      <c r="D1066" s="67"/>
      <c r="E1066" s="159"/>
      <c r="F1066" s="159"/>
      <c r="G1066" s="160"/>
      <c r="H1066" s="161"/>
      <c r="I1066" s="160"/>
      <c r="J1066" s="161"/>
      <c r="K1066" s="159"/>
      <c r="L1066" s="162"/>
    </row>
    <row r="1067" spans="1:12" ht="24">
      <c r="A1067" s="201"/>
      <c r="B1067" s="60"/>
      <c r="C1067" s="61"/>
      <c r="D1067" s="67"/>
      <c r="E1067" s="159"/>
      <c r="F1067" s="159"/>
      <c r="G1067" s="160"/>
      <c r="H1067" s="161"/>
      <c r="I1067" s="160"/>
      <c r="J1067" s="161"/>
      <c r="K1067" s="159"/>
      <c r="L1067" s="162"/>
    </row>
    <row r="1068" spans="1:12" ht="24.75" thickBot="1">
      <c r="A1068" s="201"/>
      <c r="B1068" s="60"/>
      <c r="C1068" s="61"/>
      <c r="D1068" s="67"/>
      <c r="E1068" s="159"/>
      <c r="F1068" s="159"/>
      <c r="G1068" s="160"/>
      <c r="H1068" s="161"/>
      <c r="I1068" s="160"/>
      <c r="J1068" s="161"/>
      <c r="K1068" s="159"/>
      <c r="L1068" s="162"/>
    </row>
    <row r="1069" spans="1:12" ht="24.75" thickTop="1">
      <c r="A1069" s="149"/>
      <c r="B1069" s="2004" t="s">
        <v>69</v>
      </c>
      <c r="C1069" s="2005"/>
      <c r="D1069" s="2006"/>
      <c r="E1069" s="168"/>
      <c r="F1069" s="168"/>
      <c r="G1069" s="169"/>
      <c r="H1069" s="170"/>
      <c r="I1069" s="169"/>
      <c r="J1069" s="170"/>
      <c r="K1069" s="168"/>
      <c r="L1069" s="171"/>
    </row>
    <row r="1070" spans="1:12" ht="24">
      <c r="A1070" s="204" t="s">
        <v>195</v>
      </c>
      <c r="B1070" s="53" t="s">
        <v>93</v>
      </c>
      <c r="C1070" s="142"/>
      <c r="D1070" s="143"/>
      <c r="E1070" s="155"/>
      <c r="F1070" s="155"/>
      <c r="G1070" s="156"/>
      <c r="H1070" s="157"/>
      <c r="I1070" s="156"/>
      <c r="J1070" s="157"/>
      <c r="K1070" s="158"/>
      <c r="L1070" s="158"/>
    </row>
    <row r="1071" spans="1:12" ht="24">
      <c r="A1071" s="205"/>
      <c r="B1071" s="144" t="s">
        <v>117</v>
      </c>
      <c r="C1071" s="61" t="s">
        <v>125</v>
      </c>
      <c r="D1071" s="55"/>
      <c r="E1071" s="159">
        <v>0</v>
      </c>
      <c r="F1071" s="159" t="s">
        <v>183</v>
      </c>
      <c r="G1071" s="160">
        <v>0</v>
      </c>
      <c r="H1071" s="161">
        <f>ROUND(E1071*G1071,2)</f>
        <v>0</v>
      </c>
      <c r="I1071" s="160">
        <v>0</v>
      </c>
      <c r="J1071" s="161">
        <f>ROUND(E1071*I1071,2)</f>
        <v>0</v>
      </c>
      <c r="K1071" s="159">
        <f>ROUND(H1071+J1071,2)</f>
        <v>0</v>
      </c>
      <c r="L1071" s="162"/>
    </row>
    <row r="1072" spans="1:12" ht="24">
      <c r="A1072" s="200"/>
      <c r="B1072" s="145" t="s">
        <v>118</v>
      </c>
      <c r="C1072" s="61" t="s">
        <v>126</v>
      </c>
      <c r="D1072" s="62"/>
      <c r="E1072" s="158">
        <v>0</v>
      </c>
      <c r="F1072" s="158" t="s">
        <v>183</v>
      </c>
      <c r="G1072" s="156">
        <v>0</v>
      </c>
      <c r="H1072" s="161">
        <f t="shared" ref="H1072:H1078" si="260">ROUND(E1072*G1072,2)</f>
        <v>0</v>
      </c>
      <c r="I1072" s="160">
        <v>0</v>
      </c>
      <c r="J1072" s="161">
        <f t="shared" ref="J1072:J1078" si="261">ROUND(E1072*I1072,2)</f>
        <v>0</v>
      </c>
      <c r="K1072" s="159">
        <f t="shared" ref="K1072:K1078" si="262">ROUND(H1072+J1072,2)</f>
        <v>0</v>
      </c>
      <c r="L1072" s="163"/>
    </row>
    <row r="1073" spans="1:12" ht="24">
      <c r="A1073" s="200"/>
      <c r="B1073" s="145" t="s">
        <v>119</v>
      </c>
      <c r="C1073" s="61" t="s">
        <v>210</v>
      </c>
      <c r="D1073" s="62"/>
      <c r="E1073" s="158"/>
      <c r="F1073" s="158" t="s">
        <v>183</v>
      </c>
      <c r="G1073" s="156">
        <v>76</v>
      </c>
      <c r="H1073" s="161">
        <f t="shared" si="260"/>
        <v>0</v>
      </c>
      <c r="I1073" s="160">
        <v>82</v>
      </c>
      <c r="J1073" s="161">
        <f t="shared" si="261"/>
        <v>0</v>
      </c>
      <c r="K1073" s="159">
        <f t="shared" si="262"/>
        <v>0</v>
      </c>
      <c r="L1073" s="163"/>
    </row>
    <row r="1074" spans="1:12" ht="24">
      <c r="A1074" s="200"/>
      <c r="B1074" s="145" t="s">
        <v>120</v>
      </c>
      <c r="C1074" s="61" t="s">
        <v>211</v>
      </c>
      <c r="D1074" s="67"/>
      <c r="E1074" s="159"/>
      <c r="F1074" s="159" t="s">
        <v>183</v>
      </c>
      <c r="G1074" s="160">
        <v>83</v>
      </c>
      <c r="H1074" s="161">
        <f t="shared" si="260"/>
        <v>0</v>
      </c>
      <c r="I1074" s="160">
        <v>82</v>
      </c>
      <c r="J1074" s="161">
        <f t="shared" si="261"/>
        <v>0</v>
      </c>
      <c r="K1074" s="159">
        <f t="shared" si="262"/>
        <v>0</v>
      </c>
      <c r="L1074" s="162"/>
    </row>
    <row r="1075" spans="1:12" ht="24">
      <c r="A1075" s="200"/>
      <c r="B1075" s="145" t="s">
        <v>121</v>
      </c>
      <c r="C1075" s="61" t="s">
        <v>212</v>
      </c>
      <c r="D1075" s="67"/>
      <c r="E1075" s="159"/>
      <c r="F1075" s="159" t="s">
        <v>183</v>
      </c>
      <c r="G1075" s="160">
        <v>105</v>
      </c>
      <c r="H1075" s="161">
        <f t="shared" si="260"/>
        <v>0</v>
      </c>
      <c r="I1075" s="160">
        <v>61</v>
      </c>
      <c r="J1075" s="161">
        <f t="shared" si="261"/>
        <v>0</v>
      </c>
      <c r="K1075" s="159">
        <f t="shared" si="262"/>
        <v>0</v>
      </c>
      <c r="L1075" s="162"/>
    </row>
    <row r="1076" spans="1:12" ht="24">
      <c r="A1076" s="200"/>
      <c r="B1076" s="145" t="s">
        <v>122</v>
      </c>
      <c r="C1076" s="61" t="s">
        <v>127</v>
      </c>
      <c r="D1076" s="67"/>
      <c r="E1076" s="159">
        <v>65.42</v>
      </c>
      <c r="F1076" s="159" t="s">
        <v>183</v>
      </c>
      <c r="G1076" s="160">
        <v>690</v>
      </c>
      <c r="H1076" s="161">
        <f t="shared" si="260"/>
        <v>45139.8</v>
      </c>
      <c r="I1076" s="160">
        <v>175</v>
      </c>
      <c r="J1076" s="161">
        <f t="shared" si="261"/>
        <v>11448.5</v>
      </c>
      <c r="K1076" s="159">
        <f t="shared" si="262"/>
        <v>56588.3</v>
      </c>
      <c r="L1076" s="162"/>
    </row>
    <row r="1077" spans="1:12" ht="24">
      <c r="A1077" s="200"/>
      <c r="B1077" s="145" t="s">
        <v>123</v>
      </c>
      <c r="C1077" s="61" t="s">
        <v>213</v>
      </c>
      <c r="D1077" s="67"/>
      <c r="E1077" s="159">
        <f>26.7+20.16</f>
        <v>46.86</v>
      </c>
      <c r="F1077" s="159" t="s">
        <v>183</v>
      </c>
      <c r="G1077" s="160">
        <v>850</v>
      </c>
      <c r="H1077" s="161">
        <f t="shared" si="260"/>
        <v>39831</v>
      </c>
      <c r="I1077" s="160">
        <v>175</v>
      </c>
      <c r="J1077" s="161">
        <f t="shared" si="261"/>
        <v>8200.5</v>
      </c>
      <c r="K1077" s="159">
        <f t="shared" si="262"/>
        <v>48031.5</v>
      </c>
      <c r="L1077" s="162"/>
    </row>
    <row r="1078" spans="1:12" ht="24">
      <c r="A1078" s="200"/>
      <c r="B1078" s="145" t="s">
        <v>124</v>
      </c>
      <c r="C1078" s="61" t="s">
        <v>214</v>
      </c>
      <c r="D1078" s="67"/>
      <c r="E1078" s="159">
        <v>7.14</v>
      </c>
      <c r="F1078" s="159" t="s">
        <v>183</v>
      </c>
      <c r="G1078" s="160">
        <v>2000</v>
      </c>
      <c r="H1078" s="161">
        <f t="shared" si="260"/>
        <v>14280</v>
      </c>
      <c r="I1078" s="160">
        <v>198</v>
      </c>
      <c r="J1078" s="161">
        <f t="shared" si="261"/>
        <v>1413.72</v>
      </c>
      <c r="K1078" s="159">
        <f t="shared" si="262"/>
        <v>15693.72</v>
      </c>
      <c r="L1078" s="162"/>
    </row>
    <row r="1079" spans="1:12" ht="24">
      <c r="A1079" s="200"/>
      <c r="B1079" s="60"/>
      <c r="C1079" s="61" t="s">
        <v>215</v>
      </c>
      <c r="D1079" s="67"/>
      <c r="E1079" s="159"/>
      <c r="F1079" s="159"/>
      <c r="G1079" s="160"/>
      <c r="H1079" s="161"/>
      <c r="I1079" s="160"/>
      <c r="J1079" s="161"/>
      <c r="K1079" s="159"/>
      <c r="L1079" s="162"/>
    </row>
    <row r="1080" spans="1:12" ht="24">
      <c r="A1080" s="200"/>
      <c r="B1080" s="145" t="s">
        <v>216</v>
      </c>
      <c r="C1080" s="61" t="s">
        <v>217</v>
      </c>
      <c r="D1080" s="67"/>
      <c r="E1080" s="159"/>
      <c r="F1080" s="159" t="s">
        <v>183</v>
      </c>
      <c r="G1080" s="183">
        <f>500+105</f>
        <v>605</v>
      </c>
      <c r="H1080" s="161">
        <f>ROUND(E1080*G1080,2)</f>
        <v>0</v>
      </c>
      <c r="I1080" s="160">
        <f>100+61</f>
        <v>161</v>
      </c>
      <c r="J1080" s="161">
        <f>ROUND(E1080*I1080,2)</f>
        <v>0</v>
      </c>
      <c r="K1080" s="159">
        <f>ROUND(H1080+J1080,2)</f>
        <v>0</v>
      </c>
      <c r="L1080" s="162"/>
    </row>
    <row r="1081" spans="1:12" ht="24">
      <c r="A1081" s="200"/>
      <c r="B1081" s="60"/>
      <c r="C1081" s="61" t="s">
        <v>218</v>
      </c>
      <c r="D1081" s="67"/>
      <c r="E1081" s="159"/>
      <c r="F1081" s="159"/>
      <c r="G1081" s="160"/>
      <c r="H1081" s="161"/>
      <c r="I1081" s="160"/>
      <c r="J1081" s="161"/>
      <c r="K1081" s="159"/>
      <c r="L1081" s="162"/>
    </row>
    <row r="1082" spans="1:12" ht="24">
      <c r="A1082" s="200"/>
      <c r="B1082" s="145" t="s">
        <v>219</v>
      </c>
      <c r="C1082" s="61" t="s">
        <v>220</v>
      </c>
      <c r="D1082" s="67"/>
      <c r="E1082" s="159">
        <f>9.48+10.8+66.52+42.4+83.2+570.34+6.48+21.6+9.45+32+15.96+19.86+18.13+9.89</f>
        <v>916.11000000000013</v>
      </c>
      <c r="F1082" s="159" t="s">
        <v>183</v>
      </c>
      <c r="G1082" s="183">
        <f>250+105</f>
        <v>355</v>
      </c>
      <c r="H1082" s="161">
        <f t="shared" ref="H1082:H1083" si="263">ROUND(E1082*G1082,2)</f>
        <v>325219.05</v>
      </c>
      <c r="I1082" s="160">
        <f>50+61</f>
        <v>111</v>
      </c>
      <c r="J1082" s="161">
        <f t="shared" ref="J1082:J1083" si="264">ROUND(E1082*I1082,2)</f>
        <v>101688.21</v>
      </c>
      <c r="K1082" s="159">
        <f t="shared" ref="K1082:K1083" si="265">ROUND(H1082+J1082,2)</f>
        <v>426907.26</v>
      </c>
      <c r="L1082" s="162"/>
    </row>
    <row r="1083" spans="1:12" ht="24">
      <c r="A1083" s="200"/>
      <c r="B1083" s="145" t="s">
        <v>221</v>
      </c>
      <c r="C1083" s="61" t="s">
        <v>286</v>
      </c>
      <c r="D1083" s="67"/>
      <c r="E1083" s="159"/>
      <c r="F1083" s="159" t="s">
        <v>183</v>
      </c>
      <c r="G1083" s="183">
        <v>3200</v>
      </c>
      <c r="H1083" s="161">
        <f t="shared" si="263"/>
        <v>0</v>
      </c>
      <c r="I1083" s="160">
        <v>167</v>
      </c>
      <c r="J1083" s="161">
        <f t="shared" si="264"/>
        <v>0</v>
      </c>
      <c r="K1083" s="159">
        <f t="shared" si="265"/>
        <v>0</v>
      </c>
      <c r="L1083" s="162"/>
    </row>
    <row r="1084" spans="1:12" ht="24">
      <c r="A1084" s="201"/>
      <c r="B1084" s="145" t="s">
        <v>285</v>
      </c>
      <c r="C1084" s="61" t="s">
        <v>287</v>
      </c>
      <c r="D1084" s="67"/>
      <c r="E1084" s="159">
        <v>468</v>
      </c>
      <c r="F1084" s="159"/>
      <c r="G1084" s="160"/>
      <c r="H1084" s="161"/>
      <c r="I1084" s="160"/>
      <c r="J1084" s="161"/>
      <c r="K1084" s="159"/>
      <c r="L1084" s="162"/>
    </row>
    <row r="1085" spans="1:12" ht="24">
      <c r="A1085" s="200"/>
      <c r="B1085" s="60" t="s">
        <v>134</v>
      </c>
      <c r="C1085" s="61" t="s">
        <v>233</v>
      </c>
      <c r="D1085" s="61"/>
      <c r="E1085" s="213"/>
      <c r="F1085" s="159" t="s">
        <v>183</v>
      </c>
      <c r="G1085" s="160">
        <v>320</v>
      </c>
      <c r="H1085" s="161">
        <f t="shared" ref="H1085:H1086" si="266">ROUND(E1085*G1085,2)</f>
        <v>0</v>
      </c>
      <c r="I1085" s="160">
        <v>35</v>
      </c>
      <c r="J1085" s="161">
        <f t="shared" ref="J1085:J1086" si="267">ROUND(E1085*I1085,2)</f>
        <v>0</v>
      </c>
      <c r="K1085" s="159">
        <f t="shared" ref="K1085:K1086" si="268">H1085+J1085</f>
        <v>0</v>
      </c>
      <c r="L1085" s="162"/>
    </row>
    <row r="1086" spans="1:12" ht="24">
      <c r="A1086" s="201"/>
      <c r="B1086" s="211" t="s">
        <v>134</v>
      </c>
      <c r="C1086" s="212" t="s">
        <v>253</v>
      </c>
      <c r="D1086" s="42"/>
      <c r="E1086" s="213">
        <v>11.1</v>
      </c>
      <c r="F1086" s="185" t="s">
        <v>183</v>
      </c>
      <c r="G1086" s="186">
        <v>120</v>
      </c>
      <c r="H1086" s="161">
        <f t="shared" si="266"/>
        <v>1332</v>
      </c>
      <c r="I1086" s="190">
        <v>45</v>
      </c>
      <c r="J1086" s="159">
        <f t="shared" si="267"/>
        <v>499.5</v>
      </c>
      <c r="K1086" s="159">
        <f t="shared" si="268"/>
        <v>1831.5</v>
      </c>
      <c r="L1086" s="187"/>
    </row>
    <row r="1087" spans="1:12" ht="24">
      <c r="A1087" s="201"/>
      <c r="B1087" s="211"/>
      <c r="C1087" s="212"/>
      <c r="D1087" s="42"/>
      <c r="E1087" s="213"/>
      <c r="F1087" s="208"/>
      <c r="G1087" s="209"/>
      <c r="H1087" s="161"/>
      <c r="I1087" s="209"/>
      <c r="J1087" s="161"/>
      <c r="K1087" s="159"/>
      <c r="L1087" s="210"/>
    </row>
    <row r="1088" spans="1:12" ht="24">
      <c r="A1088" s="201"/>
      <c r="B1088" s="211"/>
      <c r="C1088" s="212"/>
      <c r="D1088" s="42"/>
      <c r="E1088" s="213"/>
      <c r="F1088" s="208"/>
      <c r="G1088" s="209"/>
      <c r="H1088" s="161"/>
      <c r="I1088" s="209"/>
      <c r="J1088" s="161"/>
      <c r="K1088" s="159"/>
      <c r="L1088" s="210"/>
    </row>
    <row r="1089" spans="1:12" ht="24">
      <c r="A1089" s="201"/>
      <c r="B1089" s="211"/>
      <c r="C1089" s="212"/>
      <c r="D1089" s="42"/>
      <c r="E1089" s="213"/>
      <c r="F1089" s="208"/>
      <c r="G1089" s="209"/>
      <c r="H1089" s="161"/>
      <c r="I1089" s="209"/>
      <c r="J1089" s="161"/>
      <c r="K1089" s="159"/>
      <c r="L1089" s="210"/>
    </row>
    <row r="1090" spans="1:12" ht="24.75" thickBot="1">
      <c r="A1090" s="201"/>
      <c r="B1090" s="60"/>
      <c r="C1090" s="61"/>
      <c r="D1090" s="61"/>
      <c r="E1090" s="214"/>
      <c r="F1090" s="159"/>
      <c r="G1090" s="160"/>
      <c r="H1090" s="161"/>
      <c r="I1090" s="160"/>
      <c r="J1090" s="161"/>
      <c r="K1090" s="159"/>
      <c r="L1090" s="162"/>
    </row>
    <row r="1091" spans="1:12" ht="24.75" thickTop="1">
      <c r="A1091" s="149"/>
      <c r="B1091" s="1981" t="s">
        <v>69</v>
      </c>
      <c r="C1091" s="1982"/>
      <c r="D1091" s="1983"/>
      <c r="E1091" s="164"/>
      <c r="F1091" s="164"/>
      <c r="G1091" s="165"/>
      <c r="H1091" s="166"/>
      <c r="I1091" s="165"/>
      <c r="J1091" s="166"/>
      <c r="K1091" s="164">
        <f>SUM(K1071:K1090)</f>
        <v>549052.28</v>
      </c>
      <c r="L1091" s="167"/>
    </row>
    <row r="1092" spans="1:12" ht="24">
      <c r="A1092" s="199" t="s">
        <v>196</v>
      </c>
      <c r="B1092" s="146" t="s">
        <v>109</v>
      </c>
      <c r="C1092" s="142"/>
      <c r="D1092" s="143"/>
      <c r="E1092" s="155"/>
      <c r="F1092" s="155"/>
      <c r="G1092" s="156"/>
      <c r="H1092" s="157"/>
      <c r="I1092" s="156"/>
      <c r="J1092" s="157"/>
      <c r="K1092" s="158"/>
      <c r="L1092" s="158"/>
    </row>
    <row r="1093" spans="1:12" ht="24">
      <c r="A1093" s="205"/>
      <c r="B1093" s="144" t="s">
        <v>117</v>
      </c>
      <c r="C1093" s="61" t="s">
        <v>125</v>
      </c>
      <c r="D1093" s="55"/>
      <c r="E1093" s="159">
        <v>0</v>
      </c>
      <c r="F1093" s="159" t="s">
        <v>183</v>
      </c>
      <c r="G1093" s="160">
        <v>0</v>
      </c>
      <c r="H1093" s="161">
        <f>ROUND(E1093*G1093,2)</f>
        <v>0</v>
      </c>
      <c r="I1093" s="160">
        <v>0</v>
      </c>
      <c r="J1093" s="161">
        <f>ROUND(E1093*I1093,2)</f>
        <v>0</v>
      </c>
      <c r="K1093" s="159">
        <f>ROUND(H1093+J1093,2)</f>
        <v>0</v>
      </c>
      <c r="L1093" s="162"/>
    </row>
    <row r="1094" spans="1:12" ht="24">
      <c r="A1094" s="200"/>
      <c r="B1094" s="145" t="s">
        <v>128</v>
      </c>
      <c r="C1094" s="61" t="s">
        <v>135</v>
      </c>
      <c r="D1094" s="62"/>
      <c r="E1094" s="158">
        <v>433.44299999999998</v>
      </c>
      <c r="F1094" s="158" t="s">
        <v>183</v>
      </c>
      <c r="G1094" s="156">
        <v>0</v>
      </c>
      <c r="H1094" s="161">
        <f>ROUND(E1094*G1094,2)</f>
        <v>0</v>
      </c>
      <c r="I1094" s="156">
        <v>0</v>
      </c>
      <c r="J1094" s="161">
        <f>ROUND(E1094*I1094,2)</f>
        <v>0</v>
      </c>
      <c r="K1094" s="159">
        <f>ROUND(H1094+J1094,2)</f>
        <v>0</v>
      </c>
      <c r="L1094" s="163"/>
    </row>
    <row r="1095" spans="1:12" ht="24">
      <c r="A1095" s="200"/>
      <c r="B1095" s="145" t="s">
        <v>129</v>
      </c>
      <c r="C1095" s="61" t="s">
        <v>222</v>
      </c>
      <c r="D1095" s="62"/>
      <c r="E1095" s="158">
        <f>((3.25+2.22+1.2+1.92+5.86+6.8+0.75+3.16+1.52+2.2+0.6+0.6)*(4.2))+31.59</f>
        <v>157.92600000000002</v>
      </c>
      <c r="F1095" s="158" t="s">
        <v>183</v>
      </c>
      <c r="G1095" s="156">
        <v>156</v>
      </c>
      <c r="H1095" s="161">
        <f>ROUND(E1095*G1095,2)</f>
        <v>24636.46</v>
      </c>
      <c r="I1095" s="156">
        <v>89</v>
      </c>
      <c r="J1095" s="161">
        <f>ROUND(E1095*I1095,2)</f>
        <v>14055.41</v>
      </c>
      <c r="K1095" s="159">
        <f>ROUND(H1095+J1095,2)</f>
        <v>38691.870000000003</v>
      </c>
      <c r="L1095" s="163"/>
    </row>
    <row r="1096" spans="1:12" ht="24">
      <c r="A1096" s="200"/>
      <c r="B1096" s="145" t="s">
        <v>130</v>
      </c>
      <c r="C1096" s="61" t="s">
        <v>223</v>
      </c>
      <c r="D1096" s="67"/>
      <c r="E1096" s="159">
        <f>(8.6+6.68)*5.9</f>
        <v>90.152000000000001</v>
      </c>
      <c r="F1096" s="159" t="s">
        <v>183</v>
      </c>
      <c r="G1096" s="160">
        <v>324</v>
      </c>
      <c r="H1096" s="161">
        <f>ROUND(E1096*G1096,2)</f>
        <v>29209.25</v>
      </c>
      <c r="I1096" s="156">
        <v>144</v>
      </c>
      <c r="J1096" s="161">
        <f>ROUND(E1096*I1096,2)</f>
        <v>12981.89</v>
      </c>
      <c r="K1096" s="159">
        <f>ROUND(H1096+J1096,2)</f>
        <v>42191.14</v>
      </c>
      <c r="L1096" s="162"/>
    </row>
    <row r="1097" spans="1:12" ht="24">
      <c r="A1097" s="200"/>
      <c r="B1097" s="145" t="s">
        <v>224</v>
      </c>
      <c r="C1097" s="61" t="s">
        <v>225</v>
      </c>
      <c r="D1097" s="67"/>
      <c r="E1097" s="159">
        <f>(2.7+5.3+2.7+3+3.8+3.9+0.72+3.9+7.4+0.7+7.7+0.75+0.2+27+8+0.2+0.75+4.73+5.5)*4.2</f>
        <v>373.59000000000009</v>
      </c>
      <c r="F1097" s="159" t="s">
        <v>183</v>
      </c>
      <c r="G1097" s="160">
        <v>798</v>
      </c>
      <c r="H1097" s="161">
        <f t="shared" ref="H1097" si="269">ROUND(E1097*G1097,2)</f>
        <v>298124.82</v>
      </c>
      <c r="I1097" s="156">
        <v>130</v>
      </c>
      <c r="J1097" s="161">
        <f t="shared" ref="J1097" si="270">ROUND(E1097*I1097,2)</f>
        <v>48566.7</v>
      </c>
      <c r="K1097" s="159">
        <f t="shared" ref="K1097" si="271">ROUND(H1097+J1097,2)</f>
        <v>346691.52</v>
      </c>
      <c r="L1097" s="162"/>
    </row>
    <row r="1098" spans="1:12" ht="24">
      <c r="A1098" s="200"/>
      <c r="B1098" s="145"/>
      <c r="C1098" s="61" t="s">
        <v>226</v>
      </c>
      <c r="D1098" s="67"/>
      <c r="E1098" s="159"/>
      <c r="F1098" s="159"/>
      <c r="G1098" s="160"/>
      <c r="H1098" s="161"/>
      <c r="I1098" s="156"/>
      <c r="J1098" s="161"/>
      <c r="K1098" s="159"/>
      <c r="L1098" s="162"/>
    </row>
    <row r="1099" spans="1:12" ht="24">
      <c r="A1099" s="200"/>
      <c r="B1099" s="145" t="s">
        <v>131</v>
      </c>
      <c r="C1099" s="61" t="s">
        <v>228</v>
      </c>
      <c r="D1099" s="67"/>
      <c r="E1099" s="159">
        <f>((5.1+3+1.52+0.6+1.7+5+2.23+5+5.3+3.72+24+4.4)*(4.2))+(395.3)+(169.62)+(395.3)+(169.62)</f>
        <v>1388.4340000000002</v>
      </c>
      <c r="F1099" s="159" t="s">
        <v>183</v>
      </c>
      <c r="G1099" s="160">
        <v>225</v>
      </c>
      <c r="H1099" s="161">
        <f t="shared" ref="H1099:H1101" si="272">ROUND(E1099*G1099,2)</f>
        <v>312397.65000000002</v>
      </c>
      <c r="I1099" s="156">
        <v>55</v>
      </c>
      <c r="J1099" s="161">
        <f t="shared" ref="J1099:J1101" si="273">ROUND(E1099*I1099,2)</f>
        <v>76363.87</v>
      </c>
      <c r="K1099" s="159">
        <f t="shared" ref="K1099:K1101" si="274">ROUND(H1099+J1099,2)</f>
        <v>388761.52</v>
      </c>
      <c r="L1099" s="162"/>
    </row>
    <row r="1100" spans="1:12" ht="24">
      <c r="A1100" s="200"/>
      <c r="B1100" s="145" t="s">
        <v>132</v>
      </c>
      <c r="C1100" s="61" t="s">
        <v>229</v>
      </c>
      <c r="D1100" s="67"/>
      <c r="E1100" s="159">
        <f>(3+3.8+3.9)*4.2</f>
        <v>44.94</v>
      </c>
      <c r="F1100" s="159" t="s">
        <v>183</v>
      </c>
      <c r="G1100" s="160">
        <v>375</v>
      </c>
      <c r="H1100" s="161">
        <f t="shared" si="272"/>
        <v>16852.5</v>
      </c>
      <c r="I1100" s="156">
        <v>55</v>
      </c>
      <c r="J1100" s="161">
        <f t="shared" si="273"/>
        <v>2471.6999999999998</v>
      </c>
      <c r="K1100" s="159">
        <f t="shared" si="274"/>
        <v>19324.2</v>
      </c>
      <c r="L1100" s="162"/>
    </row>
    <row r="1101" spans="1:12" ht="24">
      <c r="A1101" s="200"/>
      <c r="B1101" s="145" t="s">
        <v>133</v>
      </c>
      <c r="C1101" s="61" t="s">
        <v>227</v>
      </c>
      <c r="D1101" s="67"/>
      <c r="E1101" s="159"/>
      <c r="F1101" s="159" t="s">
        <v>183</v>
      </c>
      <c r="G1101" s="160">
        <v>2000</v>
      </c>
      <c r="H1101" s="161">
        <f t="shared" si="272"/>
        <v>0</v>
      </c>
      <c r="I1101" s="156">
        <v>200</v>
      </c>
      <c r="J1101" s="161">
        <f t="shared" si="273"/>
        <v>0</v>
      </c>
      <c r="K1101" s="159">
        <f t="shared" si="274"/>
        <v>0</v>
      </c>
      <c r="L1101" s="162"/>
    </row>
    <row r="1102" spans="1:12" ht="24">
      <c r="A1102" s="200"/>
      <c r="B1102" s="145" t="s">
        <v>134</v>
      </c>
      <c r="C1102" s="61" t="s">
        <v>136</v>
      </c>
      <c r="D1102" s="67"/>
      <c r="E1102" s="159"/>
      <c r="F1102" s="159"/>
      <c r="G1102" s="160"/>
      <c r="H1102" s="161"/>
      <c r="I1102" s="160"/>
      <c r="J1102" s="161"/>
      <c r="K1102" s="159"/>
      <c r="L1102" s="162"/>
    </row>
    <row r="1103" spans="1:12" ht="24">
      <c r="A1103" s="200"/>
      <c r="B1103" s="60"/>
      <c r="C1103" s="61" t="s">
        <v>137</v>
      </c>
      <c r="D1103" s="67"/>
      <c r="E1103" s="159"/>
      <c r="F1103" s="159" t="s">
        <v>184</v>
      </c>
      <c r="G1103" s="160">
        <v>70</v>
      </c>
      <c r="H1103" s="161">
        <f t="shared" ref="H1103:H1105" si="275">ROUND(E1103*G1103,2)</f>
        <v>0</v>
      </c>
      <c r="I1103" s="156">
        <v>35</v>
      </c>
      <c r="J1103" s="161">
        <f t="shared" ref="J1103:J1105" si="276">ROUND(E1103*I1103,2)</f>
        <v>0</v>
      </c>
      <c r="K1103" s="159">
        <f t="shared" ref="K1103:K1105" si="277">ROUND(H1103+J1103,2)</f>
        <v>0</v>
      </c>
      <c r="L1103" s="162"/>
    </row>
    <row r="1104" spans="1:12" ht="24">
      <c r="A1104" s="200"/>
      <c r="B1104" s="60"/>
      <c r="C1104" s="61" t="s">
        <v>230</v>
      </c>
      <c r="D1104" s="67"/>
      <c r="E1104" s="159"/>
      <c r="F1104" s="159" t="s">
        <v>184</v>
      </c>
      <c r="G1104" s="160">
        <v>90</v>
      </c>
      <c r="H1104" s="161">
        <f t="shared" si="275"/>
        <v>0</v>
      </c>
      <c r="I1104" s="156">
        <v>40</v>
      </c>
      <c r="J1104" s="161">
        <f t="shared" si="276"/>
        <v>0</v>
      </c>
      <c r="K1104" s="159">
        <f t="shared" si="277"/>
        <v>0</v>
      </c>
      <c r="L1104" s="162"/>
    </row>
    <row r="1105" spans="1:12" ht="24">
      <c r="A1105" s="200"/>
      <c r="B1105" s="60"/>
      <c r="C1105" s="61" t="s">
        <v>138</v>
      </c>
      <c r="D1105" s="67"/>
      <c r="E1105" s="159"/>
      <c r="F1105" s="159" t="s">
        <v>184</v>
      </c>
      <c r="G1105" s="160">
        <v>115</v>
      </c>
      <c r="H1105" s="161">
        <f t="shared" si="275"/>
        <v>0</v>
      </c>
      <c r="I1105" s="156">
        <v>40</v>
      </c>
      <c r="J1105" s="161">
        <f t="shared" si="276"/>
        <v>0</v>
      </c>
      <c r="K1105" s="159">
        <f t="shared" si="277"/>
        <v>0</v>
      </c>
      <c r="L1105" s="162"/>
    </row>
    <row r="1106" spans="1:12" ht="24">
      <c r="A1106" s="201"/>
      <c r="B1106" s="60"/>
      <c r="C1106" s="61"/>
      <c r="D1106" s="67"/>
      <c r="E1106" s="159"/>
      <c r="F1106" s="159"/>
      <c r="G1106" s="160"/>
      <c r="H1106" s="161"/>
      <c r="I1106" s="160"/>
      <c r="J1106" s="161"/>
      <c r="K1106" s="159"/>
      <c r="L1106" s="162"/>
    </row>
    <row r="1107" spans="1:12" ht="24">
      <c r="A1107" s="201"/>
      <c r="B1107" s="60"/>
      <c r="C1107" s="61"/>
      <c r="D1107" s="67"/>
      <c r="E1107" s="159"/>
      <c r="F1107" s="159"/>
      <c r="G1107" s="160"/>
      <c r="H1107" s="161"/>
      <c r="I1107" s="160"/>
      <c r="J1107" s="161"/>
      <c r="K1107" s="159"/>
      <c r="L1107" s="162"/>
    </row>
    <row r="1108" spans="1:12" ht="24">
      <c r="A1108" s="201"/>
      <c r="B1108" s="60"/>
      <c r="C1108" s="61"/>
      <c r="D1108" s="67"/>
      <c r="E1108" s="159"/>
      <c r="F1108" s="159"/>
      <c r="G1108" s="160"/>
      <c r="H1108" s="161"/>
      <c r="I1108" s="160"/>
      <c r="J1108" s="161"/>
      <c r="K1108" s="159"/>
      <c r="L1108" s="162"/>
    </row>
    <row r="1109" spans="1:12" ht="24">
      <c r="A1109" s="201"/>
      <c r="B1109" s="60"/>
      <c r="C1109" s="61"/>
      <c r="D1109" s="67"/>
      <c r="E1109" s="159"/>
      <c r="F1109" s="159"/>
      <c r="G1109" s="160"/>
      <c r="H1109" s="161"/>
      <c r="I1109" s="160"/>
      <c r="J1109" s="161"/>
      <c r="K1109" s="159"/>
      <c r="L1109" s="162"/>
    </row>
    <row r="1110" spans="1:12" ht="24">
      <c r="A1110" s="201"/>
      <c r="B1110" s="60"/>
      <c r="C1110" s="61"/>
      <c r="D1110" s="67"/>
      <c r="E1110" s="159"/>
      <c r="F1110" s="159"/>
      <c r="G1110" s="160"/>
      <c r="H1110" s="161"/>
      <c r="I1110" s="160"/>
      <c r="J1110" s="161"/>
      <c r="K1110" s="159"/>
      <c r="L1110" s="162"/>
    </row>
    <row r="1111" spans="1:12" ht="24">
      <c r="A1111" s="201"/>
      <c r="B1111" s="60"/>
      <c r="C1111" s="61"/>
      <c r="D1111" s="67"/>
      <c r="E1111" s="159"/>
      <c r="F1111" s="159"/>
      <c r="G1111" s="160"/>
      <c r="H1111" s="161"/>
      <c r="I1111" s="160"/>
      <c r="J1111" s="161"/>
      <c r="K1111" s="159"/>
      <c r="L1111" s="162"/>
    </row>
    <row r="1112" spans="1:12" ht="24.75" thickBot="1">
      <c r="A1112" s="201"/>
      <c r="B1112" s="60"/>
      <c r="C1112" s="61"/>
      <c r="D1112" s="67"/>
      <c r="E1112" s="159"/>
      <c r="F1112" s="159"/>
      <c r="G1112" s="160"/>
      <c r="H1112" s="161"/>
      <c r="I1112" s="160"/>
      <c r="J1112" s="161"/>
      <c r="K1112" s="159"/>
      <c r="L1112" s="162"/>
    </row>
    <row r="1113" spans="1:12" ht="24.75" thickTop="1">
      <c r="A1113" s="149"/>
      <c r="B1113" s="1981" t="s">
        <v>69</v>
      </c>
      <c r="C1113" s="1982"/>
      <c r="D1113" s="1983"/>
      <c r="E1113" s="164"/>
      <c r="F1113" s="164"/>
      <c r="G1113" s="165"/>
      <c r="H1113" s="166"/>
      <c r="I1113" s="165"/>
      <c r="J1113" s="166"/>
      <c r="K1113" s="164">
        <f>SUM(K1093:K1112)</f>
        <v>835660.25</v>
      </c>
      <c r="L1113" s="167"/>
    </row>
    <row r="1114" spans="1:12" ht="24">
      <c r="A1114" s="206" t="s">
        <v>197</v>
      </c>
      <c r="B1114" s="146" t="s">
        <v>110</v>
      </c>
      <c r="C1114" s="142"/>
      <c r="D1114" s="143"/>
      <c r="E1114" s="155"/>
      <c r="F1114" s="155"/>
      <c r="G1114" s="156"/>
      <c r="H1114" s="157"/>
      <c r="I1114" s="156"/>
      <c r="J1114" s="157"/>
      <c r="K1114" s="158"/>
      <c r="L1114" s="158"/>
    </row>
    <row r="1115" spans="1:12" ht="24">
      <c r="A1115" s="205"/>
      <c r="B1115" s="144" t="s">
        <v>117</v>
      </c>
      <c r="C1115" s="61" t="s">
        <v>125</v>
      </c>
      <c r="D1115" s="55"/>
      <c r="E1115" s="159">
        <v>0</v>
      </c>
      <c r="F1115" s="159" t="s">
        <v>183</v>
      </c>
      <c r="G1115" s="160">
        <v>0</v>
      </c>
      <c r="H1115" s="161">
        <f t="shared" ref="H1115:H1118" si="278">ROUND(E1115*G1115,2)</f>
        <v>0</v>
      </c>
      <c r="I1115" s="156">
        <v>0</v>
      </c>
      <c r="J1115" s="161">
        <f t="shared" ref="J1115:J1118" si="279">ROUND(E1115*I1115,2)</f>
        <v>0</v>
      </c>
      <c r="K1115" s="159">
        <f t="shared" ref="K1115:K1118" si="280">ROUND(H1115+J1115,2)</f>
        <v>0</v>
      </c>
      <c r="L1115" s="162"/>
    </row>
    <row r="1116" spans="1:12" ht="24">
      <c r="A1116" s="200"/>
      <c r="B1116" s="145" t="s">
        <v>139</v>
      </c>
      <c r="C1116" s="61" t="s">
        <v>140</v>
      </c>
      <c r="D1116" s="62"/>
      <c r="E1116" s="158">
        <v>0</v>
      </c>
      <c r="F1116" s="158" t="s">
        <v>183</v>
      </c>
      <c r="G1116" s="156">
        <v>55</v>
      </c>
      <c r="H1116" s="161">
        <f t="shared" si="278"/>
        <v>0</v>
      </c>
      <c r="I1116" s="156">
        <v>30</v>
      </c>
      <c r="J1116" s="161">
        <f t="shared" si="279"/>
        <v>0</v>
      </c>
      <c r="K1116" s="159">
        <f t="shared" si="280"/>
        <v>0</v>
      </c>
      <c r="L1116" s="191"/>
    </row>
    <row r="1117" spans="1:12" ht="24">
      <c r="A1117" s="200"/>
      <c r="B1117" s="145" t="s">
        <v>141</v>
      </c>
      <c r="C1117" s="61" t="s">
        <v>142</v>
      </c>
      <c r="D1117" s="62"/>
      <c r="E1117" s="158">
        <f>(12.4+21.4+10.2+24+16+20.8+96+26.8+36.8+42+12.9+17.2+12.7+46.2+13.2+87)*4.2+(161.28)</f>
        <v>2242.8000000000002</v>
      </c>
      <c r="F1117" s="158" t="s">
        <v>183</v>
      </c>
      <c r="G1117" s="156">
        <v>50</v>
      </c>
      <c r="H1117" s="161">
        <f t="shared" si="278"/>
        <v>112140</v>
      </c>
      <c r="I1117" s="156">
        <v>30</v>
      </c>
      <c r="J1117" s="161">
        <f t="shared" si="279"/>
        <v>67284</v>
      </c>
      <c r="K1117" s="159">
        <f t="shared" si="280"/>
        <v>179424</v>
      </c>
      <c r="L1117" s="163"/>
    </row>
    <row r="1118" spans="1:12" ht="24">
      <c r="A1118" s="200"/>
      <c r="B1118" s="145" t="s">
        <v>143</v>
      </c>
      <c r="C1118" s="224" t="s">
        <v>332</v>
      </c>
      <c r="D1118" s="67"/>
      <c r="E1118" s="159">
        <v>167.58</v>
      </c>
      <c r="F1118" s="159" t="s">
        <v>183</v>
      </c>
      <c r="G1118" s="160">
        <v>430</v>
      </c>
      <c r="H1118" s="161">
        <f t="shared" si="278"/>
        <v>72059.399999999994</v>
      </c>
      <c r="I1118" s="156">
        <v>138</v>
      </c>
      <c r="J1118" s="161">
        <f t="shared" si="279"/>
        <v>23126.04</v>
      </c>
      <c r="K1118" s="159">
        <f t="shared" si="280"/>
        <v>95185.44</v>
      </c>
      <c r="L1118" s="162"/>
    </row>
    <row r="1119" spans="1:12" ht="24">
      <c r="A1119" s="200"/>
      <c r="B1119" s="145" t="s">
        <v>143</v>
      </c>
      <c r="C1119" s="224" t="s">
        <v>334</v>
      </c>
      <c r="D1119" s="67"/>
      <c r="E1119" s="159">
        <f>50.82+1.44</f>
        <v>52.26</v>
      </c>
      <c r="F1119" s="159" t="s">
        <v>183</v>
      </c>
      <c r="G1119" s="160"/>
      <c r="H1119" s="161"/>
      <c r="I1119" s="156"/>
      <c r="J1119" s="161"/>
      <c r="K1119" s="159"/>
      <c r="L1119" s="162"/>
    </row>
    <row r="1120" spans="1:12" ht="24">
      <c r="A1120" s="200"/>
      <c r="B1120" s="60" t="s">
        <v>134</v>
      </c>
      <c r="C1120" s="61" t="s">
        <v>231</v>
      </c>
      <c r="D1120" s="67"/>
      <c r="E1120" s="159"/>
      <c r="F1120" s="159" t="s">
        <v>183</v>
      </c>
      <c r="G1120" s="160">
        <v>58</v>
      </c>
      <c r="H1120" s="161">
        <f t="shared" ref="H1120:H1122" si="281">ROUND(E1120*G1120,2)</f>
        <v>0</v>
      </c>
      <c r="I1120" s="156">
        <v>82</v>
      </c>
      <c r="J1120" s="161">
        <f t="shared" ref="J1120:J1122" si="282">ROUND(E1120*I1120,2)</f>
        <v>0</v>
      </c>
      <c r="K1120" s="159">
        <f t="shared" ref="K1120:K1122" si="283">ROUND(H1120+J1120,2)</f>
        <v>0</v>
      </c>
      <c r="L1120" s="162"/>
    </row>
    <row r="1121" spans="1:12" ht="24">
      <c r="A1121" s="200"/>
      <c r="B1121" s="60" t="s">
        <v>134</v>
      </c>
      <c r="C1121" s="61" t="s">
        <v>232</v>
      </c>
      <c r="D1121" s="67"/>
      <c r="E1121" s="159"/>
      <c r="F1121" s="159" t="s">
        <v>183</v>
      </c>
      <c r="G1121" s="160">
        <v>58</v>
      </c>
      <c r="H1121" s="161">
        <f t="shared" si="281"/>
        <v>0</v>
      </c>
      <c r="I1121" s="156">
        <v>82</v>
      </c>
      <c r="J1121" s="161">
        <f t="shared" si="282"/>
        <v>0</v>
      </c>
      <c r="K1121" s="159">
        <f t="shared" si="283"/>
        <v>0</v>
      </c>
      <c r="L1121" s="191"/>
    </row>
    <row r="1122" spans="1:12" ht="24">
      <c r="A1122" s="200"/>
      <c r="B1122" s="60" t="s">
        <v>134</v>
      </c>
      <c r="C1122" s="61" t="s">
        <v>144</v>
      </c>
      <c r="D1122" s="67"/>
      <c r="E1122" s="159"/>
      <c r="F1122" s="159" t="s">
        <v>183</v>
      </c>
      <c r="G1122" s="160">
        <v>63</v>
      </c>
      <c r="H1122" s="161">
        <f t="shared" si="281"/>
        <v>0</v>
      </c>
      <c r="I1122" s="156">
        <v>100</v>
      </c>
      <c r="J1122" s="161">
        <f t="shared" si="282"/>
        <v>0</v>
      </c>
      <c r="K1122" s="159">
        <f t="shared" si="283"/>
        <v>0</v>
      </c>
      <c r="L1122" s="162"/>
    </row>
    <row r="1123" spans="1:12" ht="24">
      <c r="A1123" s="200"/>
      <c r="B1123" s="60"/>
      <c r="C1123" s="61"/>
      <c r="D1123" s="67"/>
      <c r="E1123" s="159"/>
      <c r="F1123" s="159"/>
      <c r="G1123" s="160"/>
      <c r="H1123" s="161"/>
      <c r="I1123" s="160"/>
      <c r="J1123" s="161"/>
      <c r="K1123" s="159"/>
      <c r="L1123" s="162"/>
    </row>
    <row r="1124" spans="1:12" ht="24">
      <c r="A1124" s="200"/>
      <c r="B1124" s="60"/>
      <c r="C1124" s="61"/>
      <c r="D1124" s="67"/>
      <c r="E1124" s="159"/>
      <c r="F1124" s="159"/>
      <c r="G1124" s="160"/>
      <c r="H1124" s="161"/>
      <c r="I1124" s="160"/>
      <c r="J1124" s="161"/>
      <c r="K1124" s="159"/>
      <c r="L1124" s="162"/>
    </row>
    <row r="1125" spans="1:12" ht="24">
      <c r="A1125" s="200"/>
      <c r="B1125" s="60"/>
      <c r="C1125" s="61"/>
      <c r="D1125" s="67"/>
      <c r="E1125" s="159"/>
      <c r="F1125" s="159"/>
      <c r="G1125" s="160"/>
      <c r="H1125" s="161"/>
      <c r="I1125" s="160"/>
      <c r="J1125" s="161"/>
      <c r="K1125" s="159"/>
      <c r="L1125" s="162"/>
    </row>
    <row r="1126" spans="1:12" ht="24">
      <c r="A1126" s="200"/>
      <c r="B1126" s="60"/>
      <c r="C1126" s="61"/>
      <c r="D1126" s="67"/>
      <c r="E1126" s="159"/>
      <c r="F1126" s="159"/>
      <c r="G1126" s="160"/>
      <c r="H1126" s="161"/>
      <c r="I1126" s="160"/>
      <c r="J1126" s="161"/>
      <c r="K1126" s="159"/>
      <c r="L1126" s="162"/>
    </row>
    <row r="1127" spans="1:12" ht="24">
      <c r="A1127" s="200"/>
      <c r="B1127" s="60"/>
      <c r="C1127" s="61"/>
      <c r="D1127" s="67"/>
      <c r="E1127" s="159"/>
      <c r="F1127" s="159"/>
      <c r="G1127" s="160"/>
      <c r="H1127" s="161"/>
      <c r="I1127" s="160"/>
      <c r="J1127" s="161"/>
      <c r="K1127" s="159"/>
      <c r="L1127" s="162"/>
    </row>
    <row r="1128" spans="1:12" ht="24">
      <c r="A1128" s="200"/>
      <c r="B1128" s="60"/>
      <c r="C1128" s="61"/>
      <c r="D1128" s="67"/>
      <c r="E1128" s="159"/>
      <c r="F1128" s="159"/>
      <c r="G1128" s="160"/>
      <c r="H1128" s="161"/>
      <c r="I1128" s="160"/>
      <c r="J1128" s="161"/>
      <c r="K1128" s="159"/>
      <c r="L1128" s="162"/>
    </row>
    <row r="1129" spans="1:12" ht="24">
      <c r="A1129" s="201"/>
      <c r="B1129" s="60"/>
      <c r="C1129" s="61"/>
      <c r="D1129" s="67"/>
      <c r="E1129" s="159"/>
      <c r="F1129" s="159"/>
      <c r="G1129" s="160"/>
      <c r="H1129" s="161"/>
      <c r="I1129" s="160"/>
      <c r="J1129" s="161"/>
      <c r="K1129" s="159"/>
      <c r="L1129" s="162"/>
    </row>
    <row r="1130" spans="1:12" ht="24">
      <c r="A1130" s="201"/>
      <c r="B1130" s="60"/>
      <c r="C1130" s="61"/>
      <c r="D1130" s="67"/>
      <c r="E1130" s="159"/>
      <c r="F1130" s="159"/>
      <c r="G1130" s="160"/>
      <c r="H1130" s="161"/>
      <c r="I1130" s="160"/>
      <c r="J1130" s="161"/>
      <c r="K1130" s="159"/>
      <c r="L1130" s="162"/>
    </row>
    <row r="1131" spans="1:12" ht="24">
      <c r="A1131" s="201"/>
      <c r="B1131" s="60"/>
      <c r="C1131" s="61"/>
      <c r="D1131" s="67"/>
      <c r="E1131" s="159"/>
      <c r="F1131" s="159"/>
      <c r="G1131" s="160"/>
      <c r="H1131" s="161"/>
      <c r="I1131" s="160"/>
      <c r="J1131" s="161"/>
      <c r="K1131" s="159"/>
      <c r="L1131" s="162"/>
    </row>
    <row r="1132" spans="1:12" ht="24">
      <c r="A1132" s="201"/>
      <c r="B1132" s="60"/>
      <c r="C1132" s="61"/>
      <c r="D1132" s="67"/>
      <c r="E1132" s="159"/>
      <c r="F1132" s="159"/>
      <c r="G1132" s="160"/>
      <c r="H1132" s="161"/>
      <c r="I1132" s="160"/>
      <c r="J1132" s="161"/>
      <c r="K1132" s="159"/>
      <c r="L1132" s="162"/>
    </row>
    <row r="1133" spans="1:12" ht="24">
      <c r="A1133" s="201"/>
      <c r="B1133" s="60"/>
      <c r="C1133" s="61"/>
      <c r="D1133" s="67"/>
      <c r="E1133" s="159"/>
      <c r="F1133" s="159"/>
      <c r="G1133" s="160"/>
      <c r="H1133" s="161"/>
      <c r="I1133" s="160"/>
      <c r="J1133" s="161"/>
      <c r="K1133" s="159"/>
      <c r="L1133" s="162"/>
    </row>
    <row r="1134" spans="1:12" ht="24.75" thickBot="1">
      <c r="A1134" s="201"/>
      <c r="B1134" s="60"/>
      <c r="C1134" s="61"/>
      <c r="D1134" s="67"/>
      <c r="E1134" s="159"/>
      <c r="F1134" s="159"/>
      <c r="G1134" s="160"/>
      <c r="H1134" s="161"/>
      <c r="I1134" s="160"/>
      <c r="J1134" s="161"/>
      <c r="K1134" s="159"/>
      <c r="L1134" s="162"/>
    </row>
    <row r="1135" spans="1:12" ht="24.75" thickTop="1">
      <c r="A1135" s="149"/>
      <c r="B1135" s="1981" t="s">
        <v>69</v>
      </c>
      <c r="C1135" s="1982"/>
      <c r="D1135" s="1983"/>
      <c r="E1135" s="164"/>
      <c r="F1135" s="164"/>
      <c r="G1135" s="165"/>
      <c r="H1135" s="166"/>
      <c r="I1135" s="165"/>
      <c r="J1135" s="166"/>
      <c r="K1135" s="164">
        <f>SUM(K1115:K1134)</f>
        <v>274609.44</v>
      </c>
      <c r="L1135" s="167"/>
    </row>
    <row r="1136" spans="1:12" ht="24">
      <c r="A1136" s="206" t="s">
        <v>198</v>
      </c>
      <c r="B1136" s="146" t="s">
        <v>111</v>
      </c>
      <c r="C1136" s="142"/>
      <c r="D1136" s="143"/>
      <c r="E1136" s="155"/>
      <c r="F1136" s="155"/>
      <c r="G1136" s="156"/>
      <c r="H1136" s="157"/>
      <c r="I1136" s="156"/>
      <c r="J1136" s="157"/>
      <c r="K1136" s="158"/>
      <c r="L1136" s="158"/>
    </row>
    <row r="1137" spans="1:12" ht="24">
      <c r="A1137" s="205"/>
      <c r="B1137" s="145" t="s">
        <v>146</v>
      </c>
      <c r="C1137" s="61" t="s">
        <v>147</v>
      </c>
      <c r="D1137" s="62"/>
      <c r="E1137" s="159"/>
      <c r="F1137" s="159" t="s">
        <v>184</v>
      </c>
      <c r="G1137" s="160">
        <v>0</v>
      </c>
      <c r="H1137" s="161">
        <f t="shared" ref="H1137:H1141" si="284">ROUND(E1137*G1137,2)</f>
        <v>0</v>
      </c>
      <c r="I1137" s="160">
        <v>0</v>
      </c>
      <c r="J1137" s="161">
        <f t="shared" ref="J1137:J1141" si="285">ROUND(E1137*I1137,2)</f>
        <v>0</v>
      </c>
      <c r="K1137" s="159">
        <f t="shared" ref="K1137:K1141" si="286">ROUND(H1137+J1137,2)</f>
        <v>0</v>
      </c>
      <c r="L1137" s="162"/>
    </row>
    <row r="1138" spans="1:12" ht="24">
      <c r="A1138" s="200"/>
      <c r="B1138" s="145" t="s">
        <v>148</v>
      </c>
      <c r="C1138" s="61" t="s">
        <v>149</v>
      </c>
      <c r="D1138" s="62"/>
      <c r="E1138" s="158"/>
      <c r="F1138" s="158" t="s">
        <v>184</v>
      </c>
      <c r="G1138" s="156">
        <v>15</v>
      </c>
      <c r="H1138" s="161">
        <f t="shared" si="284"/>
        <v>0</v>
      </c>
      <c r="I1138" s="156">
        <v>18</v>
      </c>
      <c r="J1138" s="161">
        <f t="shared" si="285"/>
        <v>0</v>
      </c>
      <c r="K1138" s="159">
        <f t="shared" si="286"/>
        <v>0</v>
      </c>
      <c r="L1138" s="163"/>
    </row>
    <row r="1139" spans="1:12" ht="24">
      <c r="A1139" s="200"/>
      <c r="B1139" s="145" t="s">
        <v>150</v>
      </c>
      <c r="C1139" s="61" t="s">
        <v>151</v>
      </c>
      <c r="D1139" s="67"/>
      <c r="E1139" s="158">
        <v>46.2</v>
      </c>
      <c r="F1139" s="158" t="s">
        <v>184</v>
      </c>
      <c r="G1139" s="156">
        <v>50</v>
      </c>
      <c r="H1139" s="161">
        <f t="shared" si="284"/>
        <v>2310</v>
      </c>
      <c r="I1139" s="156">
        <v>35</v>
      </c>
      <c r="J1139" s="161">
        <f t="shared" si="285"/>
        <v>1617</v>
      </c>
      <c r="K1139" s="159">
        <f t="shared" si="286"/>
        <v>3927</v>
      </c>
      <c r="L1139" s="163"/>
    </row>
    <row r="1140" spans="1:12" ht="24">
      <c r="A1140" s="200"/>
      <c r="B1140" s="145" t="s">
        <v>152</v>
      </c>
      <c r="C1140" s="61" t="s">
        <v>266</v>
      </c>
      <c r="D1140" s="67"/>
      <c r="E1140" s="159"/>
      <c r="F1140" s="159" t="s">
        <v>184</v>
      </c>
      <c r="G1140" s="160">
        <v>230</v>
      </c>
      <c r="H1140" s="161">
        <f t="shared" si="284"/>
        <v>0</v>
      </c>
      <c r="I1140" s="156">
        <v>50</v>
      </c>
      <c r="J1140" s="161">
        <f t="shared" si="285"/>
        <v>0</v>
      </c>
      <c r="K1140" s="159">
        <f t="shared" si="286"/>
        <v>0</v>
      </c>
      <c r="L1140" s="162"/>
    </row>
    <row r="1141" spans="1:12" ht="24">
      <c r="A1141" s="200"/>
      <c r="B1141" s="145" t="s">
        <v>295</v>
      </c>
      <c r="C1141" s="61" t="s">
        <v>296</v>
      </c>
      <c r="D1141" s="67"/>
      <c r="E1141" s="159">
        <f>12.7+13.2+42+36.8+26.8+96+10.2+21.4+12.4+24+16+20.8+17.2+12.9+87</f>
        <v>449.39999999999992</v>
      </c>
      <c r="F1141" s="159" t="s">
        <v>184</v>
      </c>
      <c r="G1141" s="160">
        <v>320</v>
      </c>
      <c r="H1141" s="161">
        <f t="shared" si="284"/>
        <v>143808</v>
      </c>
      <c r="I1141" s="156">
        <v>41</v>
      </c>
      <c r="J1141" s="161">
        <f t="shared" si="285"/>
        <v>18425.400000000001</v>
      </c>
      <c r="K1141" s="159">
        <f t="shared" si="286"/>
        <v>162233.4</v>
      </c>
      <c r="L1141" s="162"/>
    </row>
    <row r="1142" spans="1:12" ht="24">
      <c r="A1142" s="200"/>
      <c r="B1142" s="60"/>
      <c r="C1142" s="61"/>
      <c r="D1142" s="67"/>
      <c r="E1142" s="159"/>
      <c r="F1142" s="159"/>
      <c r="G1142" s="160"/>
      <c r="H1142" s="161"/>
      <c r="I1142" s="160"/>
      <c r="J1142" s="161"/>
      <c r="K1142" s="159"/>
      <c r="L1142" s="162"/>
    </row>
    <row r="1143" spans="1:12" ht="24">
      <c r="A1143" s="200"/>
      <c r="B1143" s="60"/>
      <c r="C1143" s="61"/>
      <c r="D1143" s="67"/>
      <c r="E1143" s="159"/>
      <c r="F1143" s="159"/>
      <c r="G1143" s="160"/>
      <c r="H1143" s="161"/>
      <c r="I1143" s="160"/>
      <c r="J1143" s="161"/>
      <c r="K1143" s="159"/>
      <c r="L1143" s="162"/>
    </row>
    <row r="1144" spans="1:12" ht="24">
      <c r="A1144" s="200"/>
      <c r="B1144" s="60"/>
      <c r="C1144" s="61"/>
      <c r="D1144" s="67"/>
      <c r="E1144" s="159"/>
      <c r="F1144" s="159"/>
      <c r="G1144" s="160"/>
      <c r="H1144" s="161"/>
      <c r="I1144" s="160"/>
      <c r="J1144" s="161"/>
      <c r="K1144" s="159"/>
      <c r="L1144" s="162"/>
    </row>
    <row r="1145" spans="1:12" ht="24">
      <c r="A1145" s="200"/>
      <c r="B1145" s="60"/>
      <c r="C1145" s="61"/>
      <c r="D1145" s="67"/>
      <c r="E1145" s="159"/>
      <c r="F1145" s="159"/>
      <c r="G1145" s="160"/>
      <c r="H1145" s="161"/>
      <c r="I1145" s="160"/>
      <c r="J1145" s="161"/>
      <c r="K1145" s="159"/>
      <c r="L1145" s="162"/>
    </row>
    <row r="1146" spans="1:12" ht="24">
      <c r="A1146" s="200"/>
      <c r="B1146" s="60"/>
      <c r="C1146" s="61"/>
      <c r="D1146" s="67"/>
      <c r="E1146" s="159"/>
      <c r="F1146" s="159"/>
      <c r="G1146" s="160"/>
      <c r="H1146" s="161"/>
      <c r="I1146" s="160"/>
      <c r="J1146" s="161"/>
      <c r="K1146" s="159"/>
      <c r="L1146" s="162"/>
    </row>
    <row r="1147" spans="1:12" ht="24">
      <c r="A1147" s="200"/>
      <c r="B1147" s="60"/>
      <c r="C1147" s="61"/>
      <c r="D1147" s="67"/>
      <c r="E1147" s="159"/>
      <c r="F1147" s="159"/>
      <c r="G1147" s="160"/>
      <c r="H1147" s="161"/>
      <c r="I1147" s="160"/>
      <c r="J1147" s="161"/>
      <c r="K1147" s="159"/>
      <c r="L1147" s="162"/>
    </row>
    <row r="1148" spans="1:12" ht="24">
      <c r="A1148" s="200"/>
      <c r="B1148" s="60"/>
      <c r="C1148" s="61"/>
      <c r="D1148" s="67"/>
      <c r="E1148" s="159"/>
      <c r="F1148" s="159"/>
      <c r="G1148" s="160"/>
      <c r="H1148" s="161"/>
      <c r="I1148" s="160"/>
      <c r="J1148" s="161"/>
      <c r="K1148" s="159"/>
      <c r="L1148" s="162"/>
    </row>
    <row r="1149" spans="1:12" ht="24">
      <c r="A1149" s="200"/>
      <c r="B1149" s="60"/>
      <c r="C1149" s="61"/>
      <c r="D1149" s="67"/>
      <c r="E1149" s="159"/>
      <c r="F1149" s="159"/>
      <c r="G1149" s="160"/>
      <c r="H1149" s="161"/>
      <c r="I1149" s="160"/>
      <c r="J1149" s="161"/>
      <c r="K1149" s="159"/>
      <c r="L1149" s="162"/>
    </row>
    <row r="1150" spans="1:12" ht="24">
      <c r="A1150" s="200"/>
      <c r="B1150" s="60"/>
      <c r="C1150" s="61"/>
      <c r="D1150" s="67"/>
      <c r="E1150" s="159"/>
      <c r="F1150" s="159"/>
      <c r="G1150" s="160"/>
      <c r="H1150" s="161"/>
      <c r="I1150" s="160"/>
      <c r="J1150" s="161"/>
      <c r="K1150" s="159"/>
      <c r="L1150" s="162"/>
    </row>
    <row r="1151" spans="1:12" ht="24">
      <c r="A1151" s="200"/>
      <c r="B1151" s="60"/>
      <c r="C1151" s="61"/>
      <c r="D1151" s="67"/>
      <c r="E1151" s="159"/>
      <c r="F1151" s="159"/>
      <c r="G1151" s="160"/>
      <c r="H1151" s="161"/>
      <c r="I1151" s="160"/>
      <c r="J1151" s="161"/>
      <c r="K1151" s="159"/>
      <c r="L1151" s="162"/>
    </row>
    <row r="1152" spans="1:12" ht="24">
      <c r="A1152" s="201"/>
      <c r="B1152" s="60"/>
      <c r="C1152" s="61"/>
      <c r="D1152" s="67"/>
      <c r="E1152" s="159"/>
      <c r="F1152" s="159"/>
      <c r="G1152" s="160"/>
      <c r="H1152" s="161"/>
      <c r="I1152" s="160"/>
      <c r="J1152" s="161"/>
      <c r="K1152" s="159"/>
      <c r="L1152" s="162"/>
    </row>
    <row r="1153" spans="1:12" ht="24">
      <c r="A1153" s="201"/>
      <c r="B1153" s="60"/>
      <c r="C1153" s="61"/>
      <c r="D1153" s="67"/>
      <c r="E1153" s="159"/>
      <c r="F1153" s="159"/>
      <c r="G1153" s="160"/>
      <c r="H1153" s="161"/>
      <c r="I1153" s="160"/>
      <c r="J1153" s="161"/>
      <c r="K1153" s="159"/>
      <c r="L1153" s="162"/>
    </row>
    <row r="1154" spans="1:12" ht="24">
      <c r="A1154" s="201"/>
      <c r="B1154" s="60"/>
      <c r="C1154" s="61"/>
      <c r="D1154" s="67"/>
      <c r="E1154" s="159"/>
      <c r="F1154" s="159"/>
      <c r="G1154" s="160"/>
      <c r="H1154" s="161"/>
      <c r="I1154" s="160"/>
      <c r="J1154" s="161"/>
      <c r="K1154" s="159"/>
      <c r="L1154" s="162"/>
    </row>
    <row r="1155" spans="1:12" ht="24">
      <c r="A1155" s="201"/>
      <c r="B1155" s="60"/>
      <c r="C1155" s="61"/>
      <c r="D1155" s="67"/>
      <c r="E1155" s="159"/>
      <c r="F1155" s="159"/>
      <c r="G1155" s="160"/>
      <c r="H1155" s="161"/>
      <c r="I1155" s="160"/>
      <c r="J1155" s="161"/>
      <c r="K1155" s="159"/>
      <c r="L1155" s="162"/>
    </row>
    <row r="1156" spans="1:12" ht="24.75" thickBot="1">
      <c r="A1156" s="201"/>
      <c r="B1156" s="60"/>
      <c r="C1156" s="61"/>
      <c r="D1156" s="67"/>
      <c r="E1156" s="159"/>
      <c r="F1156" s="159"/>
      <c r="G1156" s="160"/>
      <c r="H1156" s="161"/>
      <c r="I1156" s="160"/>
      <c r="J1156" s="161"/>
      <c r="K1156" s="159"/>
      <c r="L1156" s="162"/>
    </row>
    <row r="1157" spans="1:12" ht="24.75" thickTop="1">
      <c r="A1157" s="149"/>
      <c r="B1157" s="1981" t="s">
        <v>69</v>
      </c>
      <c r="C1157" s="1982"/>
      <c r="D1157" s="1983"/>
      <c r="E1157" s="164"/>
      <c r="F1157" s="164"/>
      <c r="G1157" s="165"/>
      <c r="H1157" s="166"/>
      <c r="I1157" s="165"/>
      <c r="J1157" s="166"/>
      <c r="K1157" s="164"/>
      <c r="L1157" s="167"/>
    </row>
    <row r="1158" spans="1:12" ht="24">
      <c r="A1158" s="206" t="s">
        <v>199</v>
      </c>
      <c r="B1158" s="146" t="s">
        <v>112</v>
      </c>
      <c r="C1158" s="142"/>
      <c r="D1158" s="143"/>
      <c r="E1158" s="155"/>
      <c r="F1158" s="155"/>
      <c r="G1158" s="156"/>
      <c r="H1158" s="157"/>
      <c r="I1158" s="156"/>
      <c r="J1158" s="157"/>
      <c r="K1158" s="158"/>
      <c r="L1158" s="158"/>
    </row>
    <row r="1159" spans="1:12" ht="24">
      <c r="A1159" s="205"/>
      <c r="B1159" s="144" t="s">
        <v>117</v>
      </c>
      <c r="C1159" s="61" t="s">
        <v>145</v>
      </c>
      <c r="D1159" s="55"/>
      <c r="E1159" s="159">
        <v>0</v>
      </c>
      <c r="F1159" s="159" t="s">
        <v>183</v>
      </c>
      <c r="G1159" s="160">
        <v>0</v>
      </c>
      <c r="H1159" s="161">
        <f t="shared" ref="H1159:H1161" si="287">ROUND(E1159*G1159,2)</f>
        <v>0</v>
      </c>
      <c r="I1159" s="160">
        <v>0</v>
      </c>
      <c r="J1159" s="161">
        <f t="shared" ref="J1159:J1161" si="288">ROUND(E1159*I1159,2)</f>
        <v>0</v>
      </c>
      <c r="K1159" s="159">
        <f t="shared" ref="K1159:K1161" si="289">ROUND(H1159+J1159,2)</f>
        <v>0</v>
      </c>
      <c r="L1159" s="162"/>
    </row>
    <row r="1160" spans="1:12" ht="24">
      <c r="A1160" s="200"/>
      <c r="B1160" s="145" t="s">
        <v>153</v>
      </c>
      <c r="C1160" s="61" t="s">
        <v>154</v>
      </c>
      <c r="D1160" s="62"/>
      <c r="E1160" s="158">
        <f>10.8+9.45+468</f>
        <v>488.25</v>
      </c>
      <c r="F1160" s="158" t="s">
        <v>183</v>
      </c>
      <c r="G1160" s="156">
        <v>30</v>
      </c>
      <c r="H1160" s="161">
        <f t="shared" si="287"/>
        <v>14647.5</v>
      </c>
      <c r="I1160" s="160">
        <v>35</v>
      </c>
      <c r="J1160" s="161">
        <f t="shared" si="288"/>
        <v>17088.75</v>
      </c>
      <c r="K1160" s="159">
        <f t="shared" si="289"/>
        <v>31736.25</v>
      </c>
      <c r="L1160" s="163"/>
    </row>
    <row r="1161" spans="1:12" ht="24">
      <c r="A1161" s="200"/>
      <c r="B1161" s="145" t="s">
        <v>155</v>
      </c>
      <c r="C1161" s="61" t="s">
        <v>156</v>
      </c>
      <c r="D1161" s="62"/>
      <c r="E1161" s="158">
        <f>65.42+66.52+570.34+6.48+21.6+32+15.96+19.86+18.13+9.88</f>
        <v>826.19</v>
      </c>
      <c r="F1161" s="158" t="s">
        <v>183</v>
      </c>
      <c r="G1161" s="156">
        <v>262</v>
      </c>
      <c r="H1161" s="161">
        <f t="shared" si="287"/>
        <v>216461.78</v>
      </c>
      <c r="I1161" s="160">
        <v>75</v>
      </c>
      <c r="J1161" s="161">
        <f t="shared" si="288"/>
        <v>61964.25</v>
      </c>
      <c r="K1161" s="159">
        <f t="shared" si="289"/>
        <v>278426.03000000003</v>
      </c>
      <c r="L1161" s="163"/>
    </row>
    <row r="1162" spans="1:12" ht="24">
      <c r="A1162" s="200"/>
      <c r="B1162" s="145"/>
      <c r="C1162" s="61" t="s">
        <v>234</v>
      </c>
      <c r="D1162" s="67"/>
      <c r="E1162" s="159"/>
      <c r="F1162" s="159"/>
      <c r="G1162" s="160"/>
      <c r="H1162" s="161"/>
      <c r="I1162" s="160"/>
      <c r="J1162" s="161"/>
      <c r="K1162" s="159"/>
      <c r="L1162" s="162"/>
    </row>
    <row r="1163" spans="1:12" ht="24">
      <c r="A1163" s="200"/>
      <c r="B1163" s="145" t="s">
        <v>157</v>
      </c>
      <c r="C1163" s="61" t="s">
        <v>237</v>
      </c>
      <c r="D1163" s="67"/>
      <c r="E1163" s="159">
        <f>83.2+42.4</f>
        <v>125.6</v>
      </c>
      <c r="F1163" s="159" t="s">
        <v>183</v>
      </c>
      <c r="G1163" s="160">
        <v>650</v>
      </c>
      <c r="H1163" s="161">
        <f t="shared" ref="H1163" si="290">ROUND(E1163*G1163,2)</f>
        <v>81640</v>
      </c>
      <c r="I1163" s="160">
        <v>52</v>
      </c>
      <c r="J1163" s="161">
        <f t="shared" ref="J1163" si="291">ROUND(E1163*I1163,2)</f>
        <v>6531.2</v>
      </c>
      <c r="K1163" s="159">
        <f t="shared" ref="K1163" si="292">ROUND(H1163+J1163,2)</f>
        <v>88171.199999999997</v>
      </c>
      <c r="L1163" s="162"/>
    </row>
    <row r="1164" spans="1:12" ht="24">
      <c r="A1164" s="200"/>
      <c r="B1164" s="145"/>
      <c r="C1164" s="61" t="s">
        <v>238</v>
      </c>
      <c r="D1164" s="67"/>
      <c r="E1164" s="159"/>
      <c r="F1164" s="159"/>
      <c r="G1164" s="160"/>
      <c r="H1164" s="161"/>
      <c r="I1164" s="160"/>
      <c r="J1164" s="161"/>
      <c r="K1164" s="159"/>
      <c r="L1164" s="162"/>
    </row>
    <row r="1165" spans="1:12" ht="24">
      <c r="A1165" s="200"/>
      <c r="B1165" s="145"/>
      <c r="C1165" s="61" t="s">
        <v>239</v>
      </c>
      <c r="D1165" s="67"/>
      <c r="E1165" s="159"/>
      <c r="F1165" s="159"/>
      <c r="G1165" s="160"/>
      <c r="H1165" s="161"/>
      <c r="I1165" s="160"/>
      <c r="J1165" s="161"/>
      <c r="K1165" s="159"/>
      <c r="L1165" s="162"/>
    </row>
    <row r="1166" spans="1:12" ht="24">
      <c r="A1166" s="200"/>
      <c r="B1166" s="145" t="s">
        <v>159</v>
      </c>
      <c r="C1166" s="61" t="s">
        <v>158</v>
      </c>
      <c r="D1166" s="67"/>
      <c r="E1166" s="159">
        <f>26.7+20.16+9.48+7.14</f>
        <v>63.480000000000004</v>
      </c>
      <c r="F1166" s="159" t="s">
        <v>183</v>
      </c>
      <c r="G1166" s="160">
        <v>329</v>
      </c>
      <c r="H1166" s="161">
        <f t="shared" ref="H1166" si="293">ROUND(E1166*G1166,2)</f>
        <v>20884.919999999998</v>
      </c>
      <c r="I1166" s="160">
        <v>75</v>
      </c>
      <c r="J1166" s="161">
        <f t="shared" ref="J1166" si="294">ROUND(E1166*I1166,2)</f>
        <v>4761</v>
      </c>
      <c r="K1166" s="159">
        <f t="shared" ref="K1166" si="295">ROUND(H1166+J1166,2)</f>
        <v>25645.919999999998</v>
      </c>
      <c r="L1166" s="162"/>
    </row>
    <row r="1167" spans="1:12" ht="24">
      <c r="A1167" s="200"/>
      <c r="B1167" s="60"/>
      <c r="C1167" s="61" t="s">
        <v>235</v>
      </c>
      <c r="D1167" s="67"/>
      <c r="E1167" s="159"/>
      <c r="F1167" s="159"/>
      <c r="G1167" s="160"/>
      <c r="H1167" s="161"/>
      <c r="I1167" s="160"/>
      <c r="J1167" s="161"/>
      <c r="K1167" s="159"/>
      <c r="L1167" s="162"/>
    </row>
    <row r="1168" spans="1:12" ht="24">
      <c r="A1168" s="200"/>
      <c r="B1168" s="60" t="s">
        <v>240</v>
      </c>
      <c r="C1168" s="61" t="s">
        <v>241</v>
      </c>
      <c r="D1168" s="67"/>
      <c r="E1168" s="159"/>
      <c r="F1168" s="159" t="s">
        <v>183</v>
      </c>
      <c r="G1168" s="160">
        <v>215</v>
      </c>
      <c r="H1168" s="161">
        <f t="shared" ref="H1168" si="296">ROUND(E1168*G1168,2)</f>
        <v>0</v>
      </c>
      <c r="I1168" s="160">
        <v>52</v>
      </c>
      <c r="J1168" s="161">
        <f t="shared" ref="J1168" si="297">ROUND(E1168*I1168,2)</f>
        <v>0</v>
      </c>
      <c r="K1168" s="159">
        <f t="shared" ref="K1168" si="298">ROUND(H1168+J1168,2)</f>
        <v>0</v>
      </c>
      <c r="L1168" s="162"/>
    </row>
    <row r="1169" spans="1:12" ht="24">
      <c r="A1169" s="200"/>
      <c r="B1169" s="145"/>
      <c r="C1169" s="61" t="s">
        <v>242</v>
      </c>
      <c r="D1169" s="67"/>
      <c r="E1169" s="159"/>
      <c r="F1169" s="159"/>
      <c r="G1169" s="160"/>
      <c r="H1169" s="161"/>
      <c r="I1169" s="160"/>
      <c r="J1169" s="161"/>
      <c r="K1169" s="159"/>
      <c r="L1169" s="162"/>
    </row>
    <row r="1170" spans="1:12" ht="24">
      <c r="A1170" s="200"/>
      <c r="B1170" s="60" t="s">
        <v>134</v>
      </c>
      <c r="C1170" s="61" t="s">
        <v>160</v>
      </c>
      <c r="D1170" s="67"/>
      <c r="E1170" s="159"/>
      <c r="F1170" s="159" t="s">
        <v>183</v>
      </c>
      <c r="G1170" s="160">
        <v>264</v>
      </c>
      <c r="H1170" s="161">
        <f t="shared" ref="H1170" si="299">ROUND(E1170*G1170,2)</f>
        <v>0</v>
      </c>
      <c r="I1170" s="160">
        <v>80</v>
      </c>
      <c r="J1170" s="161">
        <f t="shared" ref="J1170" si="300">ROUND(E1170*I1170,2)</f>
        <v>0</v>
      </c>
      <c r="K1170" s="159">
        <f t="shared" ref="K1170" si="301">ROUND(H1170+J1170,2)</f>
        <v>0</v>
      </c>
      <c r="L1170" s="162"/>
    </row>
    <row r="1171" spans="1:12" ht="24">
      <c r="A1171" s="200"/>
      <c r="B1171" s="60"/>
      <c r="C1171" s="61" t="s">
        <v>236</v>
      </c>
      <c r="D1171" s="67"/>
      <c r="E1171" s="159"/>
      <c r="F1171" s="159"/>
      <c r="G1171" s="160"/>
      <c r="H1171" s="161"/>
      <c r="I1171" s="160"/>
      <c r="J1171" s="161"/>
      <c r="K1171" s="159"/>
      <c r="L1171" s="162"/>
    </row>
    <row r="1172" spans="1:12" ht="24">
      <c r="A1172" s="200"/>
      <c r="B1172" s="60" t="s">
        <v>134</v>
      </c>
      <c r="C1172" s="61" t="s">
        <v>161</v>
      </c>
      <c r="D1172" s="67"/>
      <c r="E1172" s="159"/>
      <c r="F1172" s="159" t="s">
        <v>183</v>
      </c>
      <c r="G1172" s="160">
        <v>55</v>
      </c>
      <c r="H1172" s="161">
        <f t="shared" ref="H1172" si="302">ROUND(E1172*G1172,2)</f>
        <v>0</v>
      </c>
      <c r="I1172" s="160">
        <v>30</v>
      </c>
      <c r="J1172" s="161">
        <f t="shared" ref="J1172" si="303">ROUND(E1172*I1172,2)</f>
        <v>0</v>
      </c>
      <c r="K1172" s="159">
        <f t="shared" ref="K1172" si="304">ROUND(H1172+J1172,2)</f>
        <v>0</v>
      </c>
      <c r="L1172" s="162"/>
    </row>
    <row r="1173" spans="1:12" ht="24">
      <c r="A1173" s="201"/>
      <c r="B1173" s="60"/>
      <c r="C1173" s="61"/>
      <c r="D1173" s="67"/>
      <c r="E1173" s="159"/>
      <c r="F1173" s="159"/>
      <c r="G1173" s="160"/>
      <c r="H1173" s="161"/>
      <c r="I1173" s="160"/>
      <c r="J1173" s="161"/>
      <c r="K1173" s="159"/>
      <c r="L1173" s="162"/>
    </row>
    <row r="1174" spans="1:12" ht="24">
      <c r="A1174" s="201"/>
      <c r="B1174" s="60"/>
      <c r="C1174" s="61"/>
      <c r="D1174" s="67"/>
      <c r="E1174" s="159"/>
      <c r="F1174" s="159"/>
      <c r="G1174" s="160"/>
      <c r="H1174" s="161"/>
      <c r="I1174" s="160"/>
      <c r="J1174" s="161"/>
      <c r="K1174" s="159"/>
      <c r="L1174" s="162"/>
    </row>
    <row r="1175" spans="1:12" ht="24">
      <c r="A1175" s="201"/>
      <c r="B1175" s="60"/>
      <c r="C1175" s="61"/>
      <c r="D1175" s="67"/>
      <c r="E1175" s="159"/>
      <c r="F1175" s="159"/>
      <c r="G1175" s="160"/>
      <c r="H1175" s="161"/>
      <c r="I1175" s="160"/>
      <c r="J1175" s="161"/>
      <c r="K1175" s="159"/>
      <c r="L1175" s="162"/>
    </row>
    <row r="1176" spans="1:12" ht="24">
      <c r="A1176" s="201"/>
      <c r="B1176" s="60"/>
      <c r="C1176" s="61"/>
      <c r="D1176" s="67"/>
      <c r="E1176" s="159"/>
      <c r="F1176" s="159"/>
      <c r="G1176" s="160"/>
      <c r="H1176" s="161"/>
      <c r="I1176" s="160"/>
      <c r="J1176" s="161"/>
      <c r="K1176" s="159"/>
      <c r="L1176" s="162"/>
    </row>
    <row r="1177" spans="1:12" ht="24.75" thickBot="1">
      <c r="A1177" s="201"/>
      <c r="B1177" s="60"/>
      <c r="C1177" s="61"/>
      <c r="D1177" s="67"/>
      <c r="E1177" s="159"/>
      <c r="F1177" s="159"/>
      <c r="G1177" s="160"/>
      <c r="H1177" s="161"/>
      <c r="I1177" s="160"/>
      <c r="J1177" s="161"/>
      <c r="K1177" s="159"/>
      <c r="L1177" s="162"/>
    </row>
    <row r="1178" spans="1:12" ht="24.75" thickTop="1">
      <c r="A1178" s="149"/>
      <c r="B1178" s="1981" t="s">
        <v>69</v>
      </c>
      <c r="C1178" s="1982"/>
      <c r="D1178" s="1983"/>
      <c r="E1178" s="164"/>
      <c r="F1178" s="164"/>
      <c r="G1178" s="165"/>
      <c r="H1178" s="166"/>
      <c r="I1178" s="165"/>
      <c r="J1178" s="166"/>
      <c r="K1178" s="164"/>
      <c r="L1178" s="167"/>
    </row>
    <row r="1179" spans="1:12" ht="24">
      <c r="A1179" s="206" t="s">
        <v>200</v>
      </c>
      <c r="B1179" s="146" t="s">
        <v>113</v>
      </c>
      <c r="C1179" s="142"/>
      <c r="D1179" s="143"/>
      <c r="E1179" s="155"/>
      <c r="F1179" s="155"/>
      <c r="G1179" s="156"/>
      <c r="H1179" s="157"/>
      <c r="I1179" s="156"/>
      <c r="J1179" s="157"/>
      <c r="K1179" s="158"/>
      <c r="L1179" s="158"/>
    </row>
    <row r="1180" spans="1:12" ht="24">
      <c r="A1180" s="205"/>
      <c r="B1180" s="147" t="s">
        <v>186</v>
      </c>
      <c r="C1180" s="61" t="s">
        <v>346</v>
      </c>
      <c r="D1180" s="55"/>
      <c r="E1180" s="194">
        <v>2</v>
      </c>
      <c r="F1180" s="159" t="s">
        <v>185</v>
      </c>
      <c r="G1180" s="160"/>
      <c r="H1180" s="161"/>
      <c r="I1180" s="160"/>
      <c r="J1180" s="161"/>
      <c r="K1180" s="159"/>
      <c r="L1180" s="162"/>
    </row>
    <row r="1181" spans="1:12" ht="24">
      <c r="A1181" s="200"/>
      <c r="B1181" s="60" t="s">
        <v>187</v>
      </c>
      <c r="C1181" s="61" t="s">
        <v>345</v>
      </c>
      <c r="D1181" s="62"/>
      <c r="E1181" s="220">
        <v>2</v>
      </c>
      <c r="F1181" s="159" t="s">
        <v>185</v>
      </c>
      <c r="G1181" s="156"/>
      <c r="H1181" s="157"/>
      <c r="I1181" s="156"/>
      <c r="J1181" s="157"/>
      <c r="K1181" s="158"/>
      <c r="L1181" s="163"/>
    </row>
    <row r="1182" spans="1:12" ht="24">
      <c r="A1182" s="200"/>
      <c r="B1182" s="60" t="s">
        <v>188</v>
      </c>
      <c r="C1182" s="61" t="s">
        <v>368</v>
      </c>
      <c r="D1182" s="62"/>
      <c r="E1182" s="220">
        <v>3</v>
      </c>
      <c r="F1182" s="159" t="s">
        <v>185</v>
      </c>
      <c r="G1182" s="156"/>
      <c r="H1182" s="157"/>
      <c r="I1182" s="156"/>
      <c r="J1182" s="157"/>
      <c r="K1182" s="158"/>
      <c r="L1182" s="163"/>
    </row>
    <row r="1183" spans="1:12" ht="24">
      <c r="A1183" s="200"/>
      <c r="B1183" s="60" t="s">
        <v>301</v>
      </c>
      <c r="C1183" s="61" t="s">
        <v>347</v>
      </c>
      <c r="D1183" s="62"/>
      <c r="E1183" s="220">
        <v>1</v>
      </c>
      <c r="F1183" s="159" t="s">
        <v>185</v>
      </c>
      <c r="G1183" s="156"/>
      <c r="H1183" s="157"/>
      <c r="I1183" s="156"/>
      <c r="J1183" s="157"/>
      <c r="K1183" s="158"/>
      <c r="L1183" s="163"/>
    </row>
    <row r="1184" spans="1:12" ht="24">
      <c r="A1184" s="200"/>
      <c r="B1184" s="60" t="s">
        <v>302</v>
      </c>
      <c r="C1184" s="61" t="s">
        <v>348</v>
      </c>
      <c r="D1184" s="67"/>
      <c r="E1184" s="194">
        <v>2</v>
      </c>
      <c r="F1184" s="159" t="s">
        <v>185</v>
      </c>
      <c r="G1184" s="160"/>
      <c r="H1184" s="161"/>
      <c r="I1184" s="160"/>
      <c r="J1184" s="161"/>
      <c r="K1184" s="159"/>
      <c r="L1184" s="162"/>
    </row>
    <row r="1185" spans="1:12" ht="24">
      <c r="A1185" s="200"/>
      <c r="B1185" s="60" t="s">
        <v>305</v>
      </c>
      <c r="C1185" s="61" t="s">
        <v>351</v>
      </c>
      <c r="D1185" s="67"/>
      <c r="E1185" s="194">
        <v>2</v>
      </c>
      <c r="F1185" s="159" t="s">
        <v>185</v>
      </c>
      <c r="G1185" s="160"/>
      <c r="H1185" s="161"/>
      <c r="I1185" s="160"/>
      <c r="J1185" s="161"/>
      <c r="K1185" s="159"/>
      <c r="L1185" s="162"/>
    </row>
    <row r="1186" spans="1:12" ht="24">
      <c r="A1186" s="200"/>
      <c r="B1186" s="60" t="s">
        <v>306</v>
      </c>
      <c r="C1186" s="61" t="s">
        <v>352</v>
      </c>
      <c r="D1186" s="67"/>
      <c r="E1186" s="194">
        <v>2</v>
      </c>
      <c r="F1186" s="159" t="s">
        <v>185</v>
      </c>
      <c r="G1186" s="160"/>
      <c r="H1186" s="161"/>
      <c r="I1186" s="160"/>
      <c r="J1186" s="161"/>
      <c r="K1186" s="159"/>
      <c r="L1186" s="162"/>
    </row>
    <row r="1187" spans="1:12" ht="24">
      <c r="A1187" s="200"/>
      <c r="B1187" s="60" t="s">
        <v>307</v>
      </c>
      <c r="C1187" s="61" t="s">
        <v>353</v>
      </c>
      <c r="D1187" s="67"/>
      <c r="E1187" s="194">
        <v>2</v>
      </c>
      <c r="F1187" s="159" t="s">
        <v>185</v>
      </c>
      <c r="G1187" s="160"/>
      <c r="H1187" s="161"/>
      <c r="I1187" s="160"/>
      <c r="J1187" s="161"/>
      <c r="K1187" s="159"/>
      <c r="L1187" s="162"/>
    </row>
    <row r="1188" spans="1:12" ht="24">
      <c r="A1188" s="200"/>
      <c r="B1188" s="60" t="s">
        <v>308</v>
      </c>
      <c r="C1188" s="225" t="s">
        <v>354</v>
      </c>
      <c r="D1188" s="67"/>
      <c r="E1188" s="194">
        <v>2</v>
      </c>
      <c r="F1188" s="159" t="s">
        <v>185</v>
      </c>
      <c r="G1188" s="160"/>
      <c r="H1188" s="161"/>
      <c r="I1188" s="160"/>
      <c r="J1188" s="161"/>
      <c r="K1188" s="159"/>
      <c r="L1188" s="162"/>
    </row>
    <row r="1189" spans="1:12" ht="24">
      <c r="A1189" s="200"/>
      <c r="B1189" s="60" t="s">
        <v>310</v>
      </c>
      <c r="C1189" s="61" t="s">
        <v>356</v>
      </c>
      <c r="D1189" s="67"/>
      <c r="E1189" s="194">
        <v>1</v>
      </c>
      <c r="F1189" s="159" t="s">
        <v>185</v>
      </c>
      <c r="G1189" s="160"/>
      <c r="H1189" s="161"/>
      <c r="I1189" s="160"/>
      <c r="J1189" s="161"/>
      <c r="K1189" s="159"/>
      <c r="L1189" s="162"/>
    </row>
    <row r="1190" spans="1:12" ht="24">
      <c r="A1190" s="200"/>
      <c r="B1190" s="60" t="s">
        <v>331</v>
      </c>
      <c r="C1190" s="61" t="s">
        <v>374</v>
      </c>
      <c r="D1190" s="67"/>
      <c r="E1190" s="194">
        <v>1</v>
      </c>
      <c r="F1190" s="159" t="s">
        <v>185</v>
      </c>
      <c r="G1190" s="160"/>
      <c r="H1190" s="161"/>
      <c r="I1190" s="160"/>
      <c r="J1190" s="161"/>
      <c r="K1190" s="159"/>
      <c r="L1190" s="162"/>
    </row>
    <row r="1191" spans="1:12" ht="24">
      <c r="A1191" s="200"/>
      <c r="B1191" s="60" t="s">
        <v>384</v>
      </c>
      <c r="C1191" s="61" t="s">
        <v>385</v>
      </c>
      <c r="D1191" s="67"/>
      <c r="E1191" s="194">
        <v>1</v>
      </c>
      <c r="F1191" s="159" t="s">
        <v>185</v>
      </c>
      <c r="G1191" s="160"/>
      <c r="H1191" s="161"/>
      <c r="I1191" s="160"/>
      <c r="J1191" s="161"/>
      <c r="K1191" s="159"/>
      <c r="L1191" s="162"/>
    </row>
    <row r="1192" spans="1:12" ht="24">
      <c r="A1192" s="200"/>
      <c r="B1192" s="60" t="s">
        <v>327</v>
      </c>
      <c r="C1192" s="61" t="s">
        <v>370</v>
      </c>
      <c r="D1192" s="67"/>
      <c r="E1192" s="194">
        <v>1</v>
      </c>
      <c r="F1192" s="159" t="s">
        <v>185</v>
      </c>
      <c r="G1192" s="160"/>
      <c r="H1192" s="161"/>
      <c r="I1192" s="160"/>
      <c r="J1192" s="161"/>
      <c r="K1192" s="159"/>
      <c r="L1192" s="162"/>
    </row>
    <row r="1193" spans="1:12" ht="24">
      <c r="A1193" s="200"/>
      <c r="B1193" s="60" t="s">
        <v>328</v>
      </c>
      <c r="C1193" s="61" t="s">
        <v>371</v>
      </c>
      <c r="D1193" s="67"/>
      <c r="E1193" s="194">
        <v>2</v>
      </c>
      <c r="F1193" s="159" t="s">
        <v>185</v>
      </c>
      <c r="G1193" s="160"/>
      <c r="H1193" s="161"/>
      <c r="I1193" s="160"/>
      <c r="J1193" s="161"/>
      <c r="K1193" s="159"/>
      <c r="L1193" s="162"/>
    </row>
    <row r="1194" spans="1:12" ht="24">
      <c r="A1194" s="200"/>
      <c r="B1194" s="60" t="s">
        <v>314</v>
      </c>
      <c r="C1194" s="61" t="s">
        <v>360</v>
      </c>
      <c r="D1194" s="67"/>
      <c r="E1194" s="194">
        <v>1</v>
      </c>
      <c r="F1194" s="159" t="s">
        <v>185</v>
      </c>
      <c r="G1194" s="160"/>
      <c r="H1194" s="161"/>
      <c r="I1194" s="160"/>
      <c r="J1194" s="161"/>
      <c r="K1194" s="159"/>
      <c r="L1194" s="162"/>
    </row>
    <row r="1195" spans="1:12" ht="24">
      <c r="A1195" s="200"/>
      <c r="B1195" s="221">
        <v>2</v>
      </c>
      <c r="C1195" s="61" t="s">
        <v>362</v>
      </c>
      <c r="D1195" s="67"/>
      <c r="E1195" s="194">
        <v>14</v>
      </c>
      <c r="F1195" s="159" t="s">
        <v>185</v>
      </c>
      <c r="G1195" s="160"/>
      <c r="H1195" s="161"/>
      <c r="I1195" s="160"/>
      <c r="J1195" s="161"/>
      <c r="K1195" s="159"/>
      <c r="L1195" s="162"/>
    </row>
    <row r="1196" spans="1:12" ht="24">
      <c r="A1196" s="200"/>
      <c r="B1196" s="221">
        <v>3</v>
      </c>
      <c r="C1196" s="61" t="s">
        <v>363</v>
      </c>
      <c r="D1196" s="67"/>
      <c r="E1196" s="194">
        <v>3</v>
      </c>
      <c r="F1196" s="159" t="s">
        <v>185</v>
      </c>
      <c r="G1196" s="160"/>
      <c r="H1196" s="161"/>
      <c r="I1196" s="160"/>
      <c r="J1196" s="161"/>
      <c r="K1196" s="159"/>
      <c r="L1196" s="162"/>
    </row>
    <row r="1197" spans="1:12" ht="24">
      <c r="A1197" s="200"/>
      <c r="B1197" s="221">
        <v>4</v>
      </c>
      <c r="C1197" s="61" t="s">
        <v>364</v>
      </c>
      <c r="D1197" s="67"/>
      <c r="E1197" s="194">
        <v>4</v>
      </c>
      <c r="F1197" s="159" t="s">
        <v>185</v>
      </c>
      <c r="G1197" s="160"/>
      <c r="H1197" s="161"/>
      <c r="I1197" s="160"/>
      <c r="J1197" s="161"/>
      <c r="K1197" s="159"/>
      <c r="L1197" s="162"/>
    </row>
    <row r="1198" spans="1:12" ht="24">
      <c r="A1198" s="200"/>
      <c r="B1198" s="221">
        <v>5</v>
      </c>
      <c r="C1198" s="61" t="s">
        <v>365</v>
      </c>
      <c r="D1198" s="67"/>
      <c r="E1198" s="194">
        <v>1</v>
      </c>
      <c r="F1198" s="159" t="s">
        <v>185</v>
      </c>
      <c r="G1198" s="160"/>
      <c r="H1198" s="161"/>
      <c r="I1198" s="160"/>
      <c r="J1198" s="161"/>
      <c r="K1198" s="159"/>
      <c r="L1198" s="162"/>
    </row>
    <row r="1199" spans="1:12" ht="24.75" thickBot="1">
      <c r="A1199" s="200"/>
      <c r="B1199" s="221">
        <v>7</v>
      </c>
      <c r="C1199" s="61" t="s">
        <v>367</v>
      </c>
      <c r="D1199" s="67"/>
      <c r="E1199" s="194">
        <v>3</v>
      </c>
      <c r="F1199" s="159" t="s">
        <v>185</v>
      </c>
      <c r="G1199" s="160"/>
      <c r="H1199" s="161"/>
      <c r="I1199" s="160"/>
      <c r="J1199" s="161"/>
      <c r="K1199" s="159"/>
      <c r="L1199" s="162"/>
    </row>
    <row r="1200" spans="1:12" ht="24.75" thickTop="1">
      <c r="A1200" s="149"/>
      <c r="B1200" s="1981" t="s">
        <v>69</v>
      </c>
      <c r="C1200" s="1982"/>
      <c r="D1200" s="1983"/>
      <c r="E1200" s="164"/>
      <c r="F1200" s="164"/>
      <c r="G1200" s="165"/>
      <c r="H1200" s="166"/>
      <c r="I1200" s="165"/>
      <c r="J1200" s="166"/>
      <c r="K1200" s="164"/>
      <c r="L1200" s="167"/>
    </row>
    <row r="1201" spans="1:12" ht="24">
      <c r="A1201" s="206" t="s">
        <v>201</v>
      </c>
      <c r="B1201" s="133" t="s">
        <v>114</v>
      </c>
      <c r="C1201" s="142"/>
      <c r="D1201" s="143"/>
      <c r="E1201" s="155"/>
      <c r="F1201" s="155"/>
      <c r="G1201" s="156"/>
      <c r="H1201" s="157"/>
      <c r="I1201" s="156"/>
      <c r="J1201" s="157"/>
      <c r="K1201" s="158"/>
      <c r="L1201" s="158"/>
    </row>
    <row r="1202" spans="1:12" ht="24">
      <c r="A1202" s="205"/>
      <c r="B1202" s="222" t="s">
        <v>315</v>
      </c>
      <c r="C1202" s="54"/>
      <c r="D1202" s="55"/>
      <c r="E1202" s="159">
        <v>5</v>
      </c>
      <c r="F1202" s="159" t="s">
        <v>185</v>
      </c>
      <c r="G1202" s="160"/>
      <c r="H1202" s="161"/>
      <c r="I1202" s="160"/>
      <c r="J1202" s="161"/>
      <c r="K1202" s="159"/>
      <c r="L1202" s="162"/>
    </row>
    <row r="1203" spans="1:12" ht="24">
      <c r="A1203" s="200"/>
      <c r="B1203" s="222" t="s">
        <v>316</v>
      </c>
      <c r="C1203" s="61"/>
      <c r="D1203" s="62"/>
      <c r="E1203" s="158">
        <v>10</v>
      </c>
      <c r="F1203" s="159" t="s">
        <v>185</v>
      </c>
      <c r="G1203" s="156"/>
      <c r="H1203" s="157"/>
      <c r="I1203" s="156"/>
      <c r="J1203" s="157"/>
      <c r="K1203" s="158"/>
      <c r="L1203" s="163"/>
    </row>
    <row r="1204" spans="1:12" ht="24">
      <c r="A1204" s="200"/>
      <c r="B1204" s="222" t="s">
        <v>317</v>
      </c>
      <c r="C1204" s="61"/>
      <c r="D1204" s="62"/>
      <c r="E1204" s="158">
        <v>9</v>
      </c>
      <c r="F1204" s="159" t="s">
        <v>185</v>
      </c>
      <c r="G1204" s="156"/>
      <c r="H1204" s="157"/>
      <c r="I1204" s="156"/>
      <c r="J1204" s="157"/>
      <c r="K1204" s="158"/>
      <c r="L1204" s="163"/>
    </row>
    <row r="1205" spans="1:12" ht="24">
      <c r="A1205" s="200"/>
      <c r="B1205" s="222" t="s">
        <v>336</v>
      </c>
      <c r="C1205" s="61"/>
      <c r="D1205" s="62"/>
      <c r="E1205" s="158">
        <v>9</v>
      </c>
      <c r="F1205" s="159" t="s">
        <v>185</v>
      </c>
      <c r="G1205" s="160"/>
      <c r="H1205" s="161"/>
      <c r="I1205" s="160"/>
      <c r="J1205" s="161"/>
      <c r="K1205" s="159"/>
      <c r="L1205" s="162"/>
    </row>
    <row r="1206" spans="1:12" ht="24">
      <c r="A1206" s="200"/>
      <c r="B1206" s="222" t="s">
        <v>318</v>
      </c>
      <c r="C1206" s="61"/>
      <c r="D1206" s="67"/>
      <c r="E1206" s="159">
        <v>3</v>
      </c>
      <c r="F1206" s="159" t="s">
        <v>185</v>
      </c>
      <c r="G1206" s="160"/>
      <c r="H1206" s="161"/>
      <c r="I1206" s="160"/>
      <c r="J1206" s="161"/>
      <c r="K1206" s="159"/>
      <c r="L1206" s="162"/>
    </row>
    <row r="1207" spans="1:12" ht="24">
      <c r="A1207" s="200"/>
      <c r="B1207" s="222" t="s">
        <v>319</v>
      </c>
      <c r="C1207" s="61"/>
      <c r="D1207" s="67"/>
      <c r="E1207" s="159">
        <v>10</v>
      </c>
      <c r="F1207" s="159" t="s">
        <v>185</v>
      </c>
      <c r="G1207" s="160"/>
      <c r="H1207" s="161"/>
      <c r="I1207" s="160"/>
      <c r="J1207" s="161"/>
      <c r="K1207" s="159"/>
      <c r="L1207" s="162"/>
    </row>
    <row r="1208" spans="1:12" ht="24">
      <c r="A1208" s="200"/>
      <c r="B1208" s="222" t="s">
        <v>320</v>
      </c>
      <c r="C1208" s="61"/>
      <c r="D1208" s="67"/>
      <c r="E1208" s="159">
        <v>10</v>
      </c>
      <c r="F1208" s="159" t="s">
        <v>185</v>
      </c>
      <c r="G1208" s="160"/>
      <c r="H1208" s="161"/>
      <c r="I1208" s="160"/>
      <c r="J1208" s="161"/>
      <c r="K1208" s="159"/>
      <c r="L1208" s="162"/>
    </row>
    <row r="1209" spans="1:12" ht="24">
      <c r="A1209" s="200"/>
      <c r="B1209" s="222" t="s">
        <v>322</v>
      </c>
      <c r="C1209" s="61"/>
      <c r="D1209" s="67"/>
      <c r="E1209" s="159">
        <v>1</v>
      </c>
      <c r="F1209" s="159" t="s">
        <v>185</v>
      </c>
      <c r="G1209" s="160"/>
      <c r="H1209" s="161"/>
      <c r="I1209" s="160"/>
      <c r="J1209" s="161"/>
      <c r="K1209" s="159"/>
      <c r="L1209" s="162"/>
    </row>
    <row r="1210" spans="1:12" ht="24">
      <c r="A1210" s="200"/>
      <c r="B1210" s="222" t="s">
        <v>323</v>
      </c>
      <c r="C1210" s="61"/>
      <c r="D1210" s="67"/>
      <c r="E1210" s="159">
        <v>1</v>
      </c>
      <c r="F1210" s="159" t="s">
        <v>185</v>
      </c>
      <c r="G1210" s="160"/>
      <c r="H1210" s="161"/>
      <c r="I1210" s="160"/>
      <c r="J1210" s="161"/>
      <c r="K1210" s="159"/>
      <c r="L1210" s="162"/>
    </row>
    <row r="1211" spans="1:12" ht="24">
      <c r="A1211" s="200"/>
      <c r="B1211" s="222" t="s">
        <v>324</v>
      </c>
      <c r="C1211" s="61"/>
      <c r="D1211" s="67"/>
      <c r="E1211" s="159">
        <v>1</v>
      </c>
      <c r="F1211" s="159" t="s">
        <v>185</v>
      </c>
      <c r="G1211" s="160"/>
      <c r="H1211" s="161"/>
      <c r="I1211" s="160"/>
      <c r="J1211" s="161"/>
      <c r="K1211" s="159"/>
      <c r="L1211" s="162"/>
    </row>
    <row r="1212" spans="1:12" ht="24">
      <c r="A1212" s="200"/>
      <c r="B1212" s="222" t="s">
        <v>337</v>
      </c>
      <c r="C1212" s="61"/>
      <c r="D1212" s="67"/>
      <c r="E1212" s="159">
        <v>1</v>
      </c>
      <c r="F1212" s="159" t="s">
        <v>185</v>
      </c>
      <c r="G1212" s="160"/>
      <c r="H1212" s="161"/>
      <c r="I1212" s="160"/>
      <c r="J1212" s="161"/>
      <c r="K1212" s="159"/>
      <c r="L1212" s="162"/>
    </row>
    <row r="1213" spans="1:12" ht="24">
      <c r="A1213" s="200"/>
      <c r="B1213" s="222" t="s">
        <v>338</v>
      </c>
      <c r="C1213" s="61"/>
      <c r="D1213" s="67"/>
      <c r="E1213" s="159">
        <v>1</v>
      </c>
      <c r="F1213" s="159" t="s">
        <v>185</v>
      </c>
      <c r="G1213" s="160"/>
      <c r="H1213" s="161"/>
      <c r="I1213" s="160"/>
      <c r="J1213" s="161"/>
      <c r="K1213" s="159"/>
      <c r="L1213" s="162"/>
    </row>
    <row r="1214" spans="1:12" ht="24">
      <c r="A1214" s="200"/>
      <c r="B1214" s="222" t="s">
        <v>340</v>
      </c>
      <c r="C1214" s="61"/>
      <c r="D1214" s="67"/>
      <c r="E1214" s="159">
        <v>1</v>
      </c>
      <c r="F1214" s="159" t="s">
        <v>185</v>
      </c>
      <c r="G1214" s="160"/>
      <c r="H1214" s="161"/>
      <c r="I1214" s="160"/>
      <c r="J1214" s="161"/>
      <c r="K1214" s="159"/>
      <c r="L1214" s="162"/>
    </row>
    <row r="1215" spans="1:12" ht="24">
      <c r="A1215" s="201"/>
      <c r="B1215" s="222" t="s">
        <v>321</v>
      </c>
      <c r="C1215" s="61"/>
      <c r="D1215" s="67"/>
      <c r="E1215" s="159">
        <v>11</v>
      </c>
      <c r="F1215" s="159" t="s">
        <v>185</v>
      </c>
      <c r="G1215" s="160"/>
      <c r="H1215" s="161"/>
      <c r="I1215" s="160"/>
      <c r="J1215" s="161"/>
      <c r="K1215" s="159"/>
      <c r="L1215" s="162"/>
    </row>
    <row r="1216" spans="1:12" ht="24">
      <c r="A1216" s="201"/>
      <c r="B1216" s="222" t="s">
        <v>335</v>
      </c>
      <c r="C1216" s="61"/>
      <c r="D1216" s="67"/>
      <c r="E1216" s="159">
        <v>6</v>
      </c>
      <c r="F1216" s="159" t="s">
        <v>185</v>
      </c>
      <c r="G1216" s="160"/>
      <c r="H1216" s="161"/>
      <c r="I1216" s="160"/>
      <c r="J1216" s="161"/>
      <c r="K1216" s="159"/>
      <c r="L1216" s="162"/>
    </row>
    <row r="1217" spans="1:12" ht="24">
      <c r="A1217" s="201"/>
      <c r="B1217" s="222" t="s">
        <v>341</v>
      </c>
      <c r="C1217" s="61"/>
      <c r="D1217" s="67"/>
      <c r="E1217" s="159">
        <v>1</v>
      </c>
      <c r="F1217" s="159" t="s">
        <v>185</v>
      </c>
      <c r="G1217" s="160"/>
      <c r="H1217" s="161"/>
      <c r="I1217" s="160"/>
      <c r="J1217" s="161"/>
      <c r="K1217" s="159"/>
      <c r="L1217" s="162"/>
    </row>
    <row r="1218" spans="1:12" ht="24">
      <c r="A1218" s="201"/>
      <c r="B1218" s="222" t="s">
        <v>342</v>
      </c>
      <c r="C1218" s="61"/>
      <c r="D1218" s="67"/>
      <c r="E1218" s="159">
        <v>1</v>
      </c>
      <c r="F1218" s="159" t="s">
        <v>185</v>
      </c>
      <c r="G1218" s="160"/>
      <c r="H1218" s="161"/>
      <c r="I1218" s="160"/>
      <c r="J1218" s="161"/>
      <c r="K1218" s="159"/>
      <c r="L1218" s="162"/>
    </row>
    <row r="1219" spans="1:12" ht="24">
      <c r="A1219" s="201"/>
      <c r="B1219" s="222"/>
      <c r="C1219" s="61"/>
      <c r="D1219" s="67"/>
      <c r="E1219" s="159"/>
      <c r="F1219" s="159"/>
      <c r="G1219" s="160"/>
      <c r="H1219" s="161"/>
      <c r="I1219" s="160"/>
      <c r="J1219" s="161"/>
      <c r="K1219" s="159"/>
      <c r="L1219" s="162"/>
    </row>
    <row r="1220" spans="1:12" ht="24">
      <c r="A1220" s="201"/>
      <c r="B1220" s="60"/>
      <c r="C1220" s="61"/>
      <c r="D1220" s="67"/>
      <c r="E1220" s="159"/>
      <c r="F1220" s="159"/>
      <c r="G1220" s="160"/>
      <c r="H1220" s="161"/>
      <c r="I1220" s="160"/>
      <c r="J1220" s="161"/>
      <c r="K1220" s="159"/>
      <c r="L1220" s="162"/>
    </row>
    <row r="1221" spans="1:12" ht="24.75" thickBot="1">
      <c r="A1221" s="201"/>
      <c r="B1221" s="60"/>
      <c r="C1221" s="61"/>
      <c r="D1221" s="67"/>
      <c r="E1221" s="159"/>
      <c r="F1221" s="159"/>
      <c r="G1221" s="160"/>
      <c r="H1221" s="161"/>
      <c r="I1221" s="160"/>
      <c r="J1221" s="161"/>
      <c r="K1221" s="159"/>
      <c r="L1221" s="162"/>
    </row>
    <row r="1222" spans="1:12" ht="24.75" thickTop="1">
      <c r="A1222" s="149"/>
      <c r="B1222" s="1981" t="s">
        <v>69</v>
      </c>
      <c r="C1222" s="1982"/>
      <c r="D1222" s="1983"/>
      <c r="E1222" s="164"/>
      <c r="F1222" s="164"/>
      <c r="G1222" s="165"/>
      <c r="H1222" s="166"/>
      <c r="I1222" s="165"/>
      <c r="J1222" s="166"/>
      <c r="K1222" s="164"/>
      <c r="L1222" s="167"/>
    </row>
    <row r="1223" spans="1:12" ht="24">
      <c r="A1223" s="207" t="s">
        <v>254</v>
      </c>
      <c r="B1223" s="148" t="s">
        <v>115</v>
      </c>
      <c r="C1223" s="192"/>
      <c r="D1223" s="193"/>
      <c r="E1223" s="155"/>
      <c r="F1223" s="155"/>
      <c r="G1223" s="156"/>
      <c r="H1223" s="157"/>
      <c r="I1223" s="156"/>
      <c r="J1223" s="157"/>
      <c r="K1223" s="158"/>
      <c r="L1223" s="158"/>
    </row>
    <row r="1224" spans="1:12" ht="24">
      <c r="A1224" s="205"/>
      <c r="B1224" s="144" t="s">
        <v>243</v>
      </c>
      <c r="C1224" s="61"/>
      <c r="D1224" s="55"/>
      <c r="E1224" s="159"/>
      <c r="F1224" s="159"/>
      <c r="G1224" s="160"/>
      <c r="H1224" s="161"/>
      <c r="I1224" s="160"/>
      <c r="J1224" s="161"/>
      <c r="K1224" s="159"/>
      <c r="L1224" s="162"/>
    </row>
    <row r="1225" spans="1:12" ht="24">
      <c r="A1225" s="200"/>
      <c r="B1225" s="145"/>
      <c r="C1225" s="61" t="s">
        <v>244</v>
      </c>
      <c r="D1225" s="62"/>
      <c r="E1225" s="158">
        <v>57.08</v>
      </c>
      <c r="F1225" s="158" t="s">
        <v>183</v>
      </c>
      <c r="G1225" s="156"/>
      <c r="H1225" s="161">
        <f t="shared" ref="H1225:H1228" si="305">ROUND(E1225*G1225,2)</f>
        <v>0</v>
      </c>
      <c r="I1225" s="160"/>
      <c r="J1225" s="161">
        <f t="shared" ref="J1225:J1228" si="306">ROUND(E1225*I1225,2)</f>
        <v>0</v>
      </c>
      <c r="K1225" s="159">
        <f t="shared" ref="K1225:K1228" si="307">H1225+J1225</f>
        <v>0</v>
      </c>
      <c r="L1225" s="163"/>
    </row>
    <row r="1226" spans="1:12" ht="24">
      <c r="A1226" s="200"/>
      <c r="B1226" s="145"/>
      <c r="C1226" s="61" t="s">
        <v>245</v>
      </c>
      <c r="D1226" s="62"/>
      <c r="E1226" s="158">
        <v>73.599999999999994</v>
      </c>
      <c r="F1226" s="158" t="s">
        <v>184</v>
      </c>
      <c r="G1226" s="156"/>
      <c r="H1226" s="161">
        <f t="shared" si="305"/>
        <v>0</v>
      </c>
      <c r="I1226" s="160"/>
      <c r="J1226" s="161">
        <f t="shared" si="306"/>
        <v>0</v>
      </c>
      <c r="K1226" s="159">
        <f t="shared" si="307"/>
        <v>0</v>
      </c>
      <c r="L1226" s="163"/>
    </row>
    <row r="1227" spans="1:12" ht="24">
      <c r="A1227" s="200"/>
      <c r="B1227" s="145"/>
      <c r="C1227" s="61" t="s">
        <v>246</v>
      </c>
      <c r="D1227" s="67"/>
      <c r="E1227" s="159">
        <v>32.159999999999997</v>
      </c>
      <c r="F1227" s="159" t="s">
        <v>183</v>
      </c>
      <c r="G1227" s="160"/>
      <c r="H1227" s="161">
        <f t="shared" si="305"/>
        <v>0</v>
      </c>
      <c r="I1227" s="160"/>
      <c r="J1227" s="161">
        <f t="shared" si="306"/>
        <v>0</v>
      </c>
      <c r="K1227" s="159">
        <f t="shared" si="307"/>
        <v>0</v>
      </c>
      <c r="L1227" s="162"/>
    </row>
    <row r="1228" spans="1:12" ht="24">
      <c r="A1228" s="200"/>
      <c r="B1228" s="145"/>
      <c r="C1228" s="61" t="s">
        <v>247</v>
      </c>
      <c r="D1228" s="67"/>
      <c r="E1228" s="159">
        <f>8.72+9.79+7.43</f>
        <v>25.939999999999998</v>
      </c>
      <c r="F1228" s="159" t="s">
        <v>184</v>
      </c>
      <c r="G1228" s="160"/>
      <c r="H1228" s="161">
        <f t="shared" si="305"/>
        <v>0</v>
      </c>
      <c r="I1228" s="160"/>
      <c r="J1228" s="161">
        <f t="shared" si="306"/>
        <v>0</v>
      </c>
      <c r="K1228" s="159">
        <f t="shared" si="307"/>
        <v>0</v>
      </c>
      <c r="L1228" s="162"/>
    </row>
    <row r="1229" spans="1:12" ht="24">
      <c r="A1229" s="200"/>
      <c r="B1229" s="144" t="s">
        <v>248</v>
      </c>
      <c r="C1229" s="61"/>
      <c r="D1229" s="55"/>
      <c r="E1229" s="159"/>
      <c r="F1229" s="159"/>
      <c r="G1229" s="160"/>
      <c r="H1229" s="161"/>
      <c r="I1229" s="160"/>
      <c r="J1229" s="161"/>
      <c r="K1229" s="159"/>
      <c r="L1229" s="162"/>
    </row>
    <row r="1230" spans="1:12" ht="24">
      <c r="A1230" s="200"/>
      <c r="B1230" s="145"/>
      <c r="C1230" s="61" t="s">
        <v>244</v>
      </c>
      <c r="D1230" s="62"/>
      <c r="E1230" s="158">
        <v>23.1</v>
      </c>
      <c r="F1230" s="158" t="s">
        <v>183</v>
      </c>
      <c r="G1230" s="156"/>
      <c r="H1230" s="161">
        <f t="shared" ref="H1230:H1233" si="308">ROUND(E1230*G1230,2)</f>
        <v>0</v>
      </c>
      <c r="I1230" s="160"/>
      <c r="J1230" s="161">
        <f t="shared" ref="J1230:J1233" si="309">ROUND(E1230*I1230,2)</f>
        <v>0</v>
      </c>
      <c r="K1230" s="159">
        <f t="shared" ref="K1230:K1233" si="310">H1230+J1230</f>
        <v>0</v>
      </c>
      <c r="L1230" s="162"/>
    </row>
    <row r="1231" spans="1:12" ht="24">
      <c r="A1231" s="200"/>
      <c r="B1231" s="145"/>
      <c r="C1231" s="61" t="s">
        <v>245</v>
      </c>
      <c r="D1231" s="62"/>
      <c r="E1231" s="158">
        <v>62.4</v>
      </c>
      <c r="F1231" s="158" t="s">
        <v>184</v>
      </c>
      <c r="G1231" s="156"/>
      <c r="H1231" s="161">
        <f t="shared" si="308"/>
        <v>0</v>
      </c>
      <c r="I1231" s="160"/>
      <c r="J1231" s="161">
        <f t="shared" si="309"/>
        <v>0</v>
      </c>
      <c r="K1231" s="159">
        <f t="shared" si="310"/>
        <v>0</v>
      </c>
      <c r="L1231" s="162"/>
    </row>
    <row r="1232" spans="1:12" ht="24">
      <c r="A1232" s="200"/>
      <c r="B1232" s="145"/>
      <c r="C1232" s="61" t="s">
        <v>246</v>
      </c>
      <c r="D1232" s="67"/>
      <c r="E1232" s="159">
        <f>11.23+16.02</f>
        <v>27.25</v>
      </c>
      <c r="F1232" s="159" t="s">
        <v>183</v>
      </c>
      <c r="G1232" s="160"/>
      <c r="H1232" s="161">
        <f t="shared" si="308"/>
        <v>0</v>
      </c>
      <c r="I1232" s="160"/>
      <c r="J1232" s="161">
        <f t="shared" si="309"/>
        <v>0</v>
      </c>
      <c r="K1232" s="159">
        <f t="shared" si="310"/>
        <v>0</v>
      </c>
      <c r="L1232" s="162"/>
    </row>
    <row r="1233" spans="1:12" ht="24">
      <c r="A1233" s="200"/>
      <c r="B1233" s="145"/>
      <c r="C1233" s="61" t="s">
        <v>247</v>
      </c>
      <c r="D1233" s="67"/>
      <c r="E1233" s="159">
        <v>17</v>
      </c>
      <c r="F1233" s="159" t="s">
        <v>184</v>
      </c>
      <c r="G1233" s="160"/>
      <c r="H1233" s="161">
        <f t="shared" si="308"/>
        <v>0</v>
      </c>
      <c r="I1233" s="160"/>
      <c r="J1233" s="161">
        <f t="shared" si="309"/>
        <v>0</v>
      </c>
      <c r="K1233" s="159">
        <f t="shared" si="310"/>
        <v>0</v>
      </c>
      <c r="L1233" s="162"/>
    </row>
    <row r="1234" spans="1:12" ht="24">
      <c r="A1234" s="200"/>
      <c r="B1234" s="144" t="s">
        <v>249</v>
      </c>
      <c r="C1234" s="61"/>
      <c r="D1234" s="55"/>
      <c r="E1234" s="159"/>
      <c r="F1234" s="159"/>
      <c r="G1234" s="160"/>
      <c r="H1234" s="161"/>
      <c r="I1234" s="160"/>
      <c r="J1234" s="161"/>
      <c r="K1234" s="159"/>
      <c r="L1234" s="162"/>
    </row>
    <row r="1235" spans="1:12" ht="24">
      <c r="A1235" s="200"/>
      <c r="B1235" s="145"/>
      <c r="C1235" s="61" t="s">
        <v>244</v>
      </c>
      <c r="D1235" s="62"/>
      <c r="E1235" s="158"/>
      <c r="F1235" s="158" t="s">
        <v>183</v>
      </c>
      <c r="G1235" s="156"/>
      <c r="H1235" s="161">
        <f t="shared" ref="H1235:H1238" si="311">ROUND(E1235*G1235,2)</f>
        <v>0</v>
      </c>
      <c r="I1235" s="160"/>
      <c r="J1235" s="161">
        <f t="shared" ref="J1235:J1238" si="312">ROUND(E1235*I1235,2)</f>
        <v>0</v>
      </c>
      <c r="K1235" s="159">
        <f t="shared" ref="K1235:K1238" si="313">H1235+J1235</f>
        <v>0</v>
      </c>
      <c r="L1235" s="162"/>
    </row>
    <row r="1236" spans="1:12" ht="24">
      <c r="A1236" s="200"/>
      <c r="B1236" s="145"/>
      <c r="C1236" s="61" t="s">
        <v>245</v>
      </c>
      <c r="D1236" s="62"/>
      <c r="E1236" s="158"/>
      <c r="F1236" s="158" t="s">
        <v>184</v>
      </c>
      <c r="G1236" s="156"/>
      <c r="H1236" s="161">
        <f t="shared" si="311"/>
        <v>0</v>
      </c>
      <c r="I1236" s="160"/>
      <c r="J1236" s="161">
        <f t="shared" si="312"/>
        <v>0</v>
      </c>
      <c r="K1236" s="159">
        <f t="shared" si="313"/>
        <v>0</v>
      </c>
      <c r="L1236" s="162"/>
    </row>
    <row r="1237" spans="1:12" ht="24">
      <c r="A1237" s="200"/>
      <c r="B1237" s="145"/>
      <c r="C1237" s="61" t="s">
        <v>246</v>
      </c>
      <c r="D1237" s="67"/>
      <c r="E1237" s="159"/>
      <c r="F1237" s="159" t="s">
        <v>183</v>
      </c>
      <c r="G1237" s="160"/>
      <c r="H1237" s="161">
        <f t="shared" si="311"/>
        <v>0</v>
      </c>
      <c r="I1237" s="160"/>
      <c r="J1237" s="161">
        <f t="shared" si="312"/>
        <v>0</v>
      </c>
      <c r="K1237" s="159">
        <f t="shared" si="313"/>
        <v>0</v>
      </c>
      <c r="L1237" s="162"/>
    </row>
    <row r="1238" spans="1:12" ht="24">
      <c r="A1238" s="201"/>
      <c r="B1238" s="145"/>
      <c r="C1238" s="61" t="s">
        <v>375</v>
      </c>
      <c r="D1238" s="67"/>
      <c r="E1238" s="159"/>
      <c r="F1238" s="159" t="s">
        <v>184</v>
      </c>
      <c r="G1238" s="160"/>
      <c r="H1238" s="161">
        <f t="shared" si="311"/>
        <v>0</v>
      </c>
      <c r="I1238" s="160"/>
      <c r="J1238" s="161">
        <f t="shared" si="312"/>
        <v>0</v>
      </c>
      <c r="K1238" s="159">
        <f t="shared" si="313"/>
        <v>0</v>
      </c>
      <c r="L1238" s="162"/>
    </row>
    <row r="1239" spans="1:12" ht="24">
      <c r="A1239" s="201"/>
      <c r="B1239" s="60"/>
      <c r="C1239" s="61"/>
      <c r="D1239" s="67"/>
      <c r="E1239" s="159"/>
      <c r="F1239" s="159"/>
      <c r="G1239" s="160"/>
      <c r="H1239" s="161"/>
      <c r="I1239" s="160"/>
      <c r="J1239" s="161"/>
      <c r="K1239" s="159"/>
      <c r="L1239" s="162"/>
    </row>
    <row r="1240" spans="1:12" ht="24">
      <c r="A1240" s="201"/>
      <c r="B1240" s="60"/>
      <c r="C1240" s="61"/>
      <c r="D1240" s="67"/>
      <c r="E1240" s="159"/>
      <c r="F1240" s="159"/>
      <c r="G1240" s="160"/>
      <c r="H1240" s="161"/>
      <c r="I1240" s="160"/>
      <c r="J1240" s="161"/>
      <c r="K1240" s="159"/>
      <c r="L1240" s="162"/>
    </row>
    <row r="1241" spans="1:12" ht="24">
      <c r="A1241" s="206"/>
      <c r="B1241" s="144" t="s">
        <v>250</v>
      </c>
      <c r="C1241" s="61"/>
      <c r="D1241" s="55"/>
      <c r="E1241" s="159"/>
      <c r="F1241" s="159"/>
      <c r="G1241" s="160"/>
      <c r="H1241" s="161"/>
      <c r="I1241" s="160"/>
      <c r="J1241" s="161"/>
      <c r="K1241" s="159"/>
      <c r="L1241" s="158"/>
    </row>
    <row r="1242" spans="1:12" ht="24">
      <c r="A1242" s="205"/>
      <c r="B1242" s="145"/>
      <c r="C1242" s="61" t="s">
        <v>244</v>
      </c>
      <c r="D1242" s="62"/>
      <c r="E1242" s="158">
        <v>4</v>
      </c>
      <c r="F1242" s="158" t="s">
        <v>183</v>
      </c>
      <c r="G1242" s="156"/>
      <c r="H1242" s="161">
        <f t="shared" ref="H1242:H1245" si="314">ROUND(E1242*G1242,2)</f>
        <v>0</v>
      </c>
      <c r="I1242" s="160"/>
      <c r="J1242" s="161">
        <f t="shared" ref="J1242:J1245" si="315">ROUND(E1242*I1242,2)</f>
        <v>0</v>
      </c>
      <c r="K1242" s="159">
        <f t="shared" ref="K1242:K1245" si="316">H1242+J1242</f>
        <v>0</v>
      </c>
      <c r="L1242" s="162"/>
    </row>
    <row r="1243" spans="1:12" ht="24">
      <c r="A1243" s="200"/>
      <c r="B1243" s="145"/>
      <c r="C1243" s="61" t="s">
        <v>245</v>
      </c>
      <c r="D1243" s="62"/>
      <c r="E1243" s="158">
        <v>24</v>
      </c>
      <c r="F1243" s="158" t="s">
        <v>184</v>
      </c>
      <c r="G1243" s="156"/>
      <c r="H1243" s="161">
        <f t="shared" si="314"/>
        <v>0</v>
      </c>
      <c r="I1243" s="160"/>
      <c r="J1243" s="161">
        <f t="shared" si="315"/>
        <v>0</v>
      </c>
      <c r="K1243" s="159">
        <f t="shared" si="316"/>
        <v>0</v>
      </c>
      <c r="L1243" s="163"/>
    </row>
    <row r="1244" spans="1:12" ht="24">
      <c r="A1244" s="200"/>
      <c r="B1244" s="145"/>
      <c r="C1244" s="61" t="s">
        <v>246</v>
      </c>
      <c r="D1244" s="67"/>
      <c r="E1244" s="159">
        <v>9.7200000000000006</v>
      </c>
      <c r="F1244" s="159" t="s">
        <v>183</v>
      </c>
      <c r="G1244" s="160"/>
      <c r="H1244" s="161">
        <f t="shared" si="314"/>
        <v>0</v>
      </c>
      <c r="I1244" s="160"/>
      <c r="J1244" s="161">
        <f t="shared" si="315"/>
        <v>0</v>
      </c>
      <c r="K1244" s="159">
        <f t="shared" si="316"/>
        <v>0</v>
      </c>
      <c r="L1244" s="163"/>
    </row>
    <row r="1245" spans="1:12" ht="24">
      <c r="A1245" s="200"/>
      <c r="B1245" s="145"/>
      <c r="C1245" s="61" t="s">
        <v>247</v>
      </c>
      <c r="D1245" s="67"/>
      <c r="E1245" s="159">
        <v>12</v>
      </c>
      <c r="F1245" s="159" t="s">
        <v>184</v>
      </c>
      <c r="G1245" s="160"/>
      <c r="H1245" s="161">
        <f t="shared" si="314"/>
        <v>0</v>
      </c>
      <c r="I1245" s="160"/>
      <c r="J1245" s="161">
        <f t="shared" si="315"/>
        <v>0</v>
      </c>
      <c r="K1245" s="159">
        <f t="shared" si="316"/>
        <v>0</v>
      </c>
      <c r="L1245" s="162"/>
    </row>
    <row r="1246" spans="1:12" ht="24">
      <c r="A1246" s="200"/>
      <c r="B1246" s="144" t="s">
        <v>251</v>
      </c>
      <c r="C1246" s="61"/>
      <c r="D1246" s="55"/>
      <c r="E1246" s="159"/>
      <c r="F1246" s="159"/>
      <c r="G1246" s="160"/>
      <c r="H1246" s="161"/>
      <c r="I1246" s="160"/>
      <c r="J1246" s="161"/>
      <c r="K1246" s="159"/>
      <c r="L1246" s="162"/>
    </row>
    <row r="1247" spans="1:12" ht="24">
      <c r="A1247" s="200"/>
      <c r="B1247" s="145"/>
      <c r="C1247" s="61" t="s">
        <v>244</v>
      </c>
      <c r="D1247" s="62"/>
      <c r="E1247" s="158">
        <v>6.44</v>
      </c>
      <c r="F1247" s="158" t="s">
        <v>183</v>
      </c>
      <c r="G1247" s="156"/>
      <c r="H1247" s="161">
        <f t="shared" ref="H1247:H1250" si="317">ROUND(E1247*G1247,2)</f>
        <v>0</v>
      </c>
      <c r="I1247" s="160"/>
      <c r="J1247" s="161">
        <f t="shared" ref="J1247:J1250" si="318">ROUND(E1247*I1247,2)</f>
        <v>0</v>
      </c>
      <c r="K1247" s="159">
        <f t="shared" ref="K1247:K1250" si="319">H1247+J1247</f>
        <v>0</v>
      </c>
      <c r="L1247" s="162"/>
    </row>
    <row r="1248" spans="1:12" ht="24">
      <c r="A1248" s="200"/>
      <c r="B1248" s="145"/>
      <c r="C1248" s="61" t="s">
        <v>245</v>
      </c>
      <c r="D1248" s="62"/>
      <c r="E1248" s="158">
        <v>8.4</v>
      </c>
      <c r="F1248" s="158" t="s">
        <v>184</v>
      </c>
      <c r="G1248" s="156"/>
      <c r="H1248" s="161">
        <f t="shared" si="317"/>
        <v>0</v>
      </c>
      <c r="I1248" s="160"/>
      <c r="J1248" s="161">
        <f t="shared" si="318"/>
        <v>0</v>
      </c>
      <c r="K1248" s="159">
        <f t="shared" si="319"/>
        <v>0</v>
      </c>
      <c r="L1248" s="162"/>
    </row>
    <row r="1249" spans="1:12" ht="24">
      <c r="A1249" s="200"/>
      <c r="B1249" s="145"/>
      <c r="C1249" s="61" t="s">
        <v>246</v>
      </c>
      <c r="D1249" s="67"/>
      <c r="E1249" s="159">
        <v>4.03</v>
      </c>
      <c r="F1249" s="159" t="s">
        <v>183</v>
      </c>
      <c r="G1249" s="160"/>
      <c r="H1249" s="161">
        <f t="shared" si="317"/>
        <v>0</v>
      </c>
      <c r="I1249" s="160"/>
      <c r="J1249" s="161">
        <f t="shared" si="318"/>
        <v>0</v>
      </c>
      <c r="K1249" s="159">
        <f t="shared" si="319"/>
        <v>0</v>
      </c>
      <c r="L1249" s="162"/>
    </row>
    <row r="1250" spans="1:12" ht="24">
      <c r="A1250" s="200"/>
      <c r="B1250" s="145"/>
      <c r="C1250" s="61" t="s">
        <v>247</v>
      </c>
      <c r="D1250" s="67"/>
      <c r="E1250" s="159">
        <v>0</v>
      </c>
      <c r="F1250" s="159" t="s">
        <v>184</v>
      </c>
      <c r="G1250" s="160"/>
      <c r="H1250" s="161">
        <f t="shared" si="317"/>
        <v>0</v>
      </c>
      <c r="I1250" s="160"/>
      <c r="J1250" s="161">
        <f t="shared" si="318"/>
        <v>0</v>
      </c>
      <c r="K1250" s="159">
        <f t="shared" si="319"/>
        <v>0</v>
      </c>
      <c r="L1250" s="162"/>
    </row>
    <row r="1251" spans="1:12" ht="24">
      <c r="A1251" s="200"/>
      <c r="B1251" s="144" t="s">
        <v>252</v>
      </c>
      <c r="C1251" s="61"/>
      <c r="D1251" s="55"/>
      <c r="E1251" s="159"/>
      <c r="F1251" s="159"/>
      <c r="G1251" s="160"/>
      <c r="H1251" s="161"/>
      <c r="I1251" s="160"/>
      <c r="J1251" s="161"/>
      <c r="K1251" s="159"/>
      <c r="L1251" s="162"/>
    </row>
    <row r="1252" spans="1:12" ht="24">
      <c r="A1252" s="200"/>
      <c r="B1252" s="145"/>
      <c r="C1252" s="61" t="s">
        <v>244</v>
      </c>
      <c r="D1252" s="62"/>
      <c r="E1252" s="158"/>
      <c r="F1252" s="158" t="s">
        <v>183</v>
      </c>
      <c r="G1252" s="156"/>
      <c r="H1252" s="161">
        <f t="shared" ref="H1252:H1255" si="320">ROUND(E1252*G1252,2)</f>
        <v>0</v>
      </c>
      <c r="I1252" s="160"/>
      <c r="J1252" s="161">
        <f t="shared" ref="J1252:J1255" si="321">ROUND(E1252*I1252,2)</f>
        <v>0</v>
      </c>
      <c r="K1252" s="159">
        <f t="shared" ref="K1252:K1255" si="322">H1252+J1252</f>
        <v>0</v>
      </c>
      <c r="L1252" s="162"/>
    </row>
    <row r="1253" spans="1:12" ht="24">
      <c r="A1253" s="200"/>
      <c r="B1253" s="145"/>
      <c r="C1253" s="61" t="s">
        <v>245</v>
      </c>
      <c r="D1253" s="62"/>
      <c r="E1253" s="158"/>
      <c r="F1253" s="158" t="s">
        <v>184</v>
      </c>
      <c r="G1253" s="156"/>
      <c r="H1253" s="161">
        <f t="shared" si="320"/>
        <v>0</v>
      </c>
      <c r="I1253" s="160"/>
      <c r="J1253" s="161">
        <f t="shared" si="321"/>
        <v>0</v>
      </c>
      <c r="K1253" s="159">
        <f t="shared" si="322"/>
        <v>0</v>
      </c>
      <c r="L1253" s="162"/>
    </row>
    <row r="1254" spans="1:12" ht="24">
      <c r="A1254" s="200"/>
      <c r="B1254" s="145"/>
      <c r="C1254" s="61" t="s">
        <v>246</v>
      </c>
      <c r="D1254" s="67"/>
      <c r="E1254" s="159"/>
      <c r="F1254" s="159" t="s">
        <v>183</v>
      </c>
      <c r="G1254" s="160"/>
      <c r="H1254" s="161">
        <f t="shared" si="320"/>
        <v>0</v>
      </c>
      <c r="I1254" s="160"/>
      <c r="J1254" s="161">
        <f t="shared" si="321"/>
        <v>0</v>
      </c>
      <c r="K1254" s="159">
        <f t="shared" si="322"/>
        <v>0</v>
      </c>
      <c r="L1254" s="162"/>
    </row>
    <row r="1255" spans="1:12" ht="24">
      <c r="A1255" s="200"/>
      <c r="B1255" s="145"/>
      <c r="C1255" s="61" t="s">
        <v>247</v>
      </c>
      <c r="D1255" s="67"/>
      <c r="E1255" s="159"/>
      <c r="F1255" s="159" t="s">
        <v>184</v>
      </c>
      <c r="G1255" s="160"/>
      <c r="H1255" s="161">
        <f t="shared" si="320"/>
        <v>0</v>
      </c>
      <c r="I1255" s="160"/>
      <c r="J1255" s="161">
        <f t="shared" si="321"/>
        <v>0</v>
      </c>
      <c r="K1255" s="159">
        <f t="shared" si="322"/>
        <v>0</v>
      </c>
      <c r="L1255" s="162"/>
    </row>
    <row r="1256" spans="1:12" ht="24">
      <c r="A1256" s="201"/>
      <c r="B1256" s="145"/>
      <c r="C1256" s="61"/>
      <c r="D1256" s="67"/>
      <c r="E1256" s="159"/>
      <c r="F1256" s="159"/>
      <c r="G1256" s="160"/>
      <c r="H1256" s="161"/>
      <c r="I1256" s="160"/>
      <c r="J1256" s="161"/>
      <c r="K1256" s="159"/>
      <c r="L1256" s="162"/>
    </row>
    <row r="1257" spans="1:12" ht="24">
      <c r="A1257" s="201"/>
      <c r="B1257" s="60"/>
      <c r="C1257" s="61"/>
      <c r="D1257" s="67"/>
      <c r="E1257" s="159"/>
      <c r="F1257" s="159"/>
      <c r="G1257" s="160"/>
      <c r="H1257" s="161"/>
      <c r="I1257" s="160"/>
      <c r="J1257" s="161"/>
      <c r="K1257" s="159"/>
      <c r="L1257" s="162"/>
    </row>
    <row r="1258" spans="1:12" ht="24">
      <c r="A1258" s="201"/>
      <c r="B1258" s="60"/>
      <c r="C1258" s="61"/>
      <c r="D1258" s="67"/>
      <c r="E1258" s="159"/>
      <c r="F1258" s="159"/>
      <c r="G1258" s="160"/>
      <c r="H1258" s="161"/>
      <c r="I1258" s="160"/>
      <c r="J1258" s="161"/>
      <c r="K1258" s="159"/>
      <c r="L1258" s="162"/>
    </row>
    <row r="1259" spans="1:12" ht="24">
      <c r="A1259" s="201"/>
      <c r="B1259" s="60"/>
      <c r="C1259" s="61"/>
      <c r="D1259" s="67"/>
      <c r="E1259" s="159"/>
      <c r="F1259" s="159"/>
      <c r="G1259" s="160"/>
      <c r="H1259" s="161"/>
      <c r="I1259" s="160"/>
      <c r="J1259" s="161"/>
      <c r="K1259" s="159"/>
      <c r="L1259" s="162"/>
    </row>
    <row r="1260" spans="1:12" ht="24">
      <c r="A1260" s="201"/>
      <c r="B1260" s="60"/>
      <c r="C1260" s="61"/>
      <c r="D1260" s="67"/>
      <c r="E1260" s="159"/>
      <c r="F1260" s="159"/>
      <c r="G1260" s="160"/>
      <c r="H1260" s="161"/>
      <c r="I1260" s="160"/>
      <c r="J1260" s="161"/>
      <c r="K1260" s="159"/>
      <c r="L1260" s="162"/>
    </row>
    <row r="1261" spans="1:12" ht="24.75" thickBot="1">
      <c r="A1261" s="201"/>
      <c r="B1261" s="60"/>
      <c r="C1261" s="61"/>
      <c r="D1261" s="67"/>
      <c r="E1261" s="159"/>
      <c r="F1261" s="159"/>
      <c r="G1261" s="160"/>
      <c r="H1261" s="161"/>
      <c r="I1261" s="160"/>
      <c r="J1261" s="161"/>
      <c r="K1261" s="159"/>
      <c r="L1261" s="162"/>
    </row>
    <row r="1262" spans="1:12" ht="24.75" thickTop="1">
      <c r="A1262" s="149"/>
      <c r="B1262" s="1981" t="s">
        <v>69</v>
      </c>
      <c r="C1262" s="1982"/>
      <c r="D1262" s="1983"/>
      <c r="E1262" s="164"/>
      <c r="F1262" s="164"/>
      <c r="G1262" s="165"/>
      <c r="H1262" s="166"/>
      <c r="I1262" s="165"/>
      <c r="J1262" s="166"/>
      <c r="K1262" s="164">
        <f>SUM(K1225:K1261)</f>
        <v>0</v>
      </c>
      <c r="L1262" s="167"/>
    </row>
    <row r="1263" spans="1:12" ht="24">
      <c r="A1263" s="207" t="s">
        <v>255</v>
      </c>
      <c r="B1263" s="148" t="s">
        <v>116</v>
      </c>
      <c r="C1263" s="192"/>
      <c r="D1263" s="193"/>
      <c r="E1263" s="155"/>
      <c r="F1263" s="155"/>
      <c r="G1263" s="156"/>
      <c r="H1263" s="157"/>
      <c r="I1263" s="156"/>
      <c r="J1263" s="157"/>
      <c r="K1263" s="158"/>
      <c r="L1263" s="158"/>
    </row>
    <row r="1264" spans="1:12" ht="24">
      <c r="A1264" s="205"/>
      <c r="B1264" s="134" t="s">
        <v>256</v>
      </c>
      <c r="C1264" s="54"/>
      <c r="D1264" s="55"/>
      <c r="E1264" s="159">
        <v>1440</v>
      </c>
      <c r="F1264" s="158" t="s">
        <v>183</v>
      </c>
      <c r="G1264" s="156">
        <v>340</v>
      </c>
      <c r="H1264" s="161">
        <f t="shared" ref="H1264:H1266" si="323">ROUND(E1264*G1264,2)</f>
        <v>489600</v>
      </c>
      <c r="I1264" s="160">
        <v>70</v>
      </c>
      <c r="J1264" s="161">
        <f t="shared" ref="J1264:J1266" si="324">ROUND(E1264*I1264,2)</f>
        <v>100800</v>
      </c>
      <c r="K1264" s="159">
        <f t="shared" ref="K1264:K1266" si="325">H1264+J1264</f>
        <v>590400</v>
      </c>
      <c r="L1264" s="162"/>
    </row>
    <row r="1265" spans="1:12" ht="24">
      <c r="A1265" s="200"/>
      <c r="B1265" s="133" t="s">
        <v>265</v>
      </c>
      <c r="C1265" s="61"/>
      <c r="D1265" s="62"/>
      <c r="E1265" s="158">
        <v>64</v>
      </c>
      <c r="F1265" s="158" t="s">
        <v>184</v>
      </c>
      <c r="G1265" s="156">
        <v>260</v>
      </c>
      <c r="H1265" s="161">
        <f t="shared" si="323"/>
        <v>16640</v>
      </c>
      <c r="I1265" s="160">
        <v>50</v>
      </c>
      <c r="J1265" s="161">
        <f t="shared" si="324"/>
        <v>3200</v>
      </c>
      <c r="K1265" s="159">
        <f t="shared" si="325"/>
        <v>19840</v>
      </c>
      <c r="L1265" s="163"/>
    </row>
    <row r="1266" spans="1:12" ht="24">
      <c r="A1266" s="200"/>
      <c r="B1266" s="133" t="s">
        <v>257</v>
      </c>
      <c r="C1266" s="61"/>
      <c r="D1266" s="62"/>
      <c r="E1266" s="158">
        <v>1440</v>
      </c>
      <c r="F1266" s="158" t="s">
        <v>183</v>
      </c>
      <c r="G1266" s="156">
        <v>120</v>
      </c>
      <c r="H1266" s="161">
        <f t="shared" si="323"/>
        <v>172800</v>
      </c>
      <c r="I1266" s="160">
        <v>0</v>
      </c>
      <c r="J1266" s="161">
        <f t="shared" si="324"/>
        <v>0</v>
      </c>
      <c r="K1266" s="159">
        <f t="shared" si="325"/>
        <v>172800</v>
      </c>
      <c r="L1266" s="163"/>
    </row>
    <row r="1267" spans="1:12" ht="24">
      <c r="A1267" s="200"/>
      <c r="B1267" s="222" t="s">
        <v>343</v>
      </c>
      <c r="C1267" s="61"/>
      <c r="D1267" s="67"/>
      <c r="E1267" s="159">
        <v>134</v>
      </c>
      <c r="F1267" s="159" t="s">
        <v>184</v>
      </c>
      <c r="G1267" s="160"/>
      <c r="H1267" s="161"/>
      <c r="I1267" s="160"/>
      <c r="J1267" s="161"/>
      <c r="K1267" s="159"/>
      <c r="L1267" s="162"/>
    </row>
    <row r="1268" spans="1:12" ht="24">
      <c r="A1268" s="200"/>
      <c r="B1268" s="222" t="s">
        <v>381</v>
      </c>
      <c r="C1268" s="61"/>
      <c r="D1268" s="67"/>
      <c r="E1268" s="159">
        <f>67.32+78.72+78.72+19.92+19.92</f>
        <v>264.60000000000002</v>
      </c>
      <c r="F1268" s="159" t="s">
        <v>183</v>
      </c>
      <c r="G1268" s="160"/>
      <c r="H1268" s="161"/>
      <c r="I1268" s="160"/>
      <c r="J1268" s="161"/>
      <c r="K1268" s="159"/>
      <c r="L1268" s="162"/>
    </row>
    <row r="1269" spans="1:12" ht="24">
      <c r="A1269" s="200"/>
      <c r="B1269" s="222" t="s">
        <v>382</v>
      </c>
      <c r="C1269" s="61"/>
      <c r="D1269" s="67"/>
      <c r="E1269" s="159">
        <f>42.4+42.4+67.32</f>
        <v>152.12</v>
      </c>
      <c r="F1269" s="159" t="s">
        <v>184</v>
      </c>
      <c r="G1269" s="160"/>
      <c r="H1269" s="161"/>
      <c r="I1269" s="160"/>
      <c r="J1269" s="161"/>
      <c r="K1269" s="159"/>
      <c r="L1269" s="162"/>
    </row>
    <row r="1270" spans="1:12" ht="24">
      <c r="A1270" s="200"/>
      <c r="B1270" s="222" t="s">
        <v>383</v>
      </c>
      <c r="C1270" s="61"/>
      <c r="D1270" s="67"/>
      <c r="E1270" s="159">
        <v>152.12</v>
      </c>
      <c r="F1270" s="159" t="s">
        <v>184</v>
      </c>
      <c r="G1270" s="160"/>
      <c r="H1270" s="161"/>
      <c r="I1270" s="160"/>
      <c r="J1270" s="161"/>
      <c r="K1270" s="159"/>
      <c r="L1270" s="162"/>
    </row>
    <row r="1271" spans="1:12" ht="24">
      <c r="A1271" s="200"/>
      <c r="B1271" s="60"/>
      <c r="C1271" s="61"/>
      <c r="D1271" s="67"/>
      <c r="E1271" s="159"/>
      <c r="F1271" s="159"/>
      <c r="G1271" s="160"/>
      <c r="H1271" s="161"/>
      <c r="I1271" s="160"/>
      <c r="J1271" s="161"/>
      <c r="K1271" s="159"/>
      <c r="L1271" s="162"/>
    </row>
    <row r="1272" spans="1:12" ht="24">
      <c r="A1272" s="200"/>
      <c r="B1272" s="60"/>
      <c r="C1272" s="61"/>
      <c r="D1272" s="67"/>
      <c r="E1272" s="159"/>
      <c r="F1272" s="159"/>
      <c r="G1272" s="160"/>
      <c r="H1272" s="161"/>
      <c r="I1272" s="160"/>
      <c r="J1272" s="161"/>
      <c r="K1272" s="159"/>
      <c r="L1272" s="162"/>
    </row>
    <row r="1273" spans="1:12" ht="24">
      <c r="A1273" s="200"/>
      <c r="B1273" s="60"/>
      <c r="C1273" s="61"/>
      <c r="D1273" s="67"/>
      <c r="E1273" s="159"/>
      <c r="F1273" s="159"/>
      <c r="G1273" s="160"/>
      <c r="H1273" s="161"/>
      <c r="I1273" s="160"/>
      <c r="J1273" s="161"/>
      <c r="K1273" s="159"/>
      <c r="L1273" s="162"/>
    </row>
    <row r="1274" spans="1:12" ht="24">
      <c r="A1274" s="200"/>
      <c r="B1274" s="60"/>
      <c r="C1274" s="61"/>
      <c r="D1274" s="67"/>
      <c r="E1274" s="159"/>
      <c r="F1274" s="159"/>
      <c r="G1274" s="160"/>
      <c r="H1274" s="161"/>
      <c r="I1274" s="160"/>
      <c r="J1274" s="161"/>
      <c r="K1274" s="159"/>
      <c r="L1274" s="162"/>
    </row>
    <row r="1275" spans="1:12" ht="24">
      <c r="A1275" s="200"/>
      <c r="B1275" s="60"/>
      <c r="C1275" s="61"/>
      <c r="D1275" s="67"/>
      <c r="E1275" s="159"/>
      <c r="F1275" s="159"/>
      <c r="G1275" s="160"/>
      <c r="H1275" s="161"/>
      <c r="I1275" s="160"/>
      <c r="J1275" s="161"/>
      <c r="K1275" s="159"/>
      <c r="L1275" s="162"/>
    </row>
    <row r="1276" spans="1:12" ht="24">
      <c r="A1276" s="200"/>
      <c r="B1276" s="60"/>
      <c r="C1276" s="61"/>
      <c r="D1276" s="67"/>
      <c r="E1276" s="159"/>
      <c r="F1276" s="159"/>
      <c r="G1276" s="160"/>
      <c r="H1276" s="161"/>
      <c r="I1276" s="160"/>
      <c r="J1276" s="161"/>
      <c r="K1276" s="159"/>
      <c r="L1276" s="162"/>
    </row>
    <row r="1277" spans="1:12" ht="24">
      <c r="A1277" s="200"/>
      <c r="B1277" s="60"/>
      <c r="C1277" s="61"/>
      <c r="D1277" s="67"/>
      <c r="E1277" s="159"/>
      <c r="F1277" s="159"/>
      <c r="G1277" s="160"/>
      <c r="H1277" s="161"/>
      <c r="I1277" s="160"/>
      <c r="J1277" s="161"/>
      <c r="K1277" s="159"/>
      <c r="L1277" s="162"/>
    </row>
    <row r="1278" spans="1:12" ht="24">
      <c r="A1278" s="200"/>
      <c r="B1278" s="60"/>
      <c r="C1278" s="61"/>
      <c r="D1278" s="67"/>
      <c r="E1278" s="159"/>
      <c r="F1278" s="159"/>
      <c r="G1278" s="160"/>
      <c r="H1278" s="161"/>
      <c r="I1278" s="160"/>
      <c r="J1278" s="161"/>
      <c r="K1278" s="159"/>
      <c r="L1278" s="162"/>
    </row>
    <row r="1279" spans="1:12" ht="24">
      <c r="A1279" s="201"/>
      <c r="B1279" s="60"/>
      <c r="C1279" s="61"/>
      <c r="D1279" s="67"/>
      <c r="E1279" s="159"/>
      <c r="F1279" s="159"/>
      <c r="G1279" s="160"/>
      <c r="H1279" s="161"/>
      <c r="I1279" s="160"/>
      <c r="J1279" s="161"/>
      <c r="K1279" s="159"/>
      <c r="L1279" s="162"/>
    </row>
    <row r="1280" spans="1:12" ht="24">
      <c r="A1280" s="201"/>
      <c r="B1280" s="60"/>
      <c r="C1280" s="61"/>
      <c r="D1280" s="67"/>
      <c r="E1280" s="159"/>
      <c r="F1280" s="159"/>
      <c r="G1280" s="160"/>
      <c r="H1280" s="161"/>
      <c r="I1280" s="160"/>
      <c r="J1280" s="161"/>
      <c r="K1280" s="159"/>
      <c r="L1280" s="162"/>
    </row>
    <row r="1281" spans="1:12" ht="24">
      <c r="A1281" s="201"/>
      <c r="B1281" s="60"/>
      <c r="C1281" s="61"/>
      <c r="D1281" s="67"/>
      <c r="E1281" s="159"/>
      <c r="F1281" s="159"/>
      <c r="G1281" s="160"/>
      <c r="H1281" s="161"/>
      <c r="I1281" s="160"/>
      <c r="J1281" s="161"/>
      <c r="K1281" s="159"/>
      <c r="L1281" s="162"/>
    </row>
    <row r="1282" spans="1:12" ht="24">
      <c r="A1282" s="201"/>
      <c r="B1282" s="60"/>
      <c r="C1282" s="61"/>
      <c r="D1282" s="67"/>
      <c r="E1282" s="159"/>
      <c r="F1282" s="159"/>
      <c r="G1282" s="160"/>
      <c r="H1282" s="161"/>
      <c r="I1282" s="160"/>
      <c r="J1282" s="161"/>
      <c r="K1282" s="159"/>
      <c r="L1282" s="162"/>
    </row>
    <row r="1283" spans="1:12" ht="24.75" thickBot="1">
      <c r="A1283" s="201"/>
      <c r="B1283" s="60"/>
      <c r="C1283" s="61"/>
      <c r="D1283" s="67"/>
      <c r="E1283" s="159"/>
      <c r="F1283" s="159"/>
      <c r="G1283" s="160"/>
      <c r="H1283" s="161"/>
      <c r="I1283" s="160"/>
      <c r="J1283" s="161"/>
      <c r="K1283" s="159"/>
      <c r="L1283" s="162"/>
    </row>
    <row r="1284" spans="1:12" ht="24.75" thickTop="1">
      <c r="A1284" s="149"/>
      <c r="B1284" s="1981" t="s">
        <v>69</v>
      </c>
      <c r="C1284" s="1982"/>
      <c r="D1284" s="1983"/>
      <c r="E1284" s="164"/>
      <c r="F1284" s="164"/>
      <c r="G1284" s="165"/>
      <c r="H1284" s="166"/>
      <c r="I1284" s="165"/>
      <c r="J1284" s="166"/>
      <c r="K1284" s="164">
        <f>SUM(K1264:K1283)</f>
        <v>783040</v>
      </c>
      <c r="L1284" s="167"/>
    </row>
    <row r="1285" spans="1:12" ht="24">
      <c r="A1285" s="207" t="s">
        <v>258</v>
      </c>
      <c r="B1285" s="148" t="s">
        <v>259</v>
      </c>
      <c r="C1285" s="192"/>
      <c r="D1285" s="193"/>
      <c r="E1285" s="155"/>
      <c r="F1285" s="155"/>
      <c r="G1285" s="156"/>
      <c r="H1285" s="157"/>
      <c r="I1285" s="156"/>
      <c r="J1285" s="157"/>
      <c r="K1285" s="158"/>
      <c r="L1285" s="158"/>
    </row>
    <row r="1286" spans="1:12" ht="24">
      <c r="A1286" s="205"/>
      <c r="B1286" s="145" t="s">
        <v>139</v>
      </c>
      <c r="C1286" s="61" t="s">
        <v>140</v>
      </c>
      <c r="D1286" s="62"/>
      <c r="E1286" s="227">
        <f>213.19+184.8+141.96+1005+420+1005+432</f>
        <v>3401.95</v>
      </c>
      <c r="F1286" s="158" t="s">
        <v>183</v>
      </c>
      <c r="G1286" s="156">
        <v>55</v>
      </c>
      <c r="H1286" s="161">
        <f t="shared" ref="H1286:H1295" si="326">ROUND(E1286*G1286,2)</f>
        <v>187107.25</v>
      </c>
      <c r="I1286" s="156">
        <v>30</v>
      </c>
      <c r="J1286" s="161">
        <f t="shared" ref="J1286:J1295" si="327">ROUND(E1286*I1286,2)</f>
        <v>102058.5</v>
      </c>
      <c r="K1286" s="159">
        <f t="shared" ref="K1286:K1295" si="328">ROUND(H1286+J1286,2)</f>
        <v>289165.75</v>
      </c>
      <c r="L1286" s="163"/>
    </row>
    <row r="1287" spans="1:12" ht="24">
      <c r="A1287" s="200"/>
      <c r="B1287" s="60" t="s">
        <v>134</v>
      </c>
      <c r="C1287" s="61" t="s">
        <v>232</v>
      </c>
      <c r="D1287" s="67"/>
      <c r="E1287" s="159">
        <f>E1286</f>
        <v>3401.95</v>
      </c>
      <c r="F1287" s="159" t="s">
        <v>183</v>
      </c>
      <c r="G1287" s="160">
        <v>58</v>
      </c>
      <c r="H1287" s="161">
        <f t="shared" si="326"/>
        <v>197313.1</v>
      </c>
      <c r="I1287" s="156">
        <v>82</v>
      </c>
      <c r="J1287" s="161">
        <f t="shared" si="327"/>
        <v>278959.90000000002</v>
      </c>
      <c r="K1287" s="159">
        <f t="shared" si="328"/>
        <v>476273</v>
      </c>
      <c r="L1287" s="163"/>
    </row>
    <row r="1288" spans="1:12" ht="24">
      <c r="A1288" s="200"/>
      <c r="B1288" s="145" t="s">
        <v>131</v>
      </c>
      <c r="C1288" s="61" t="s">
        <v>228</v>
      </c>
      <c r="D1288" s="67"/>
      <c r="E1288" s="194">
        <f>177.32+153.72+141.96</f>
        <v>473</v>
      </c>
      <c r="F1288" s="159" t="s">
        <v>183</v>
      </c>
      <c r="G1288" s="160">
        <v>225</v>
      </c>
      <c r="H1288" s="161">
        <f t="shared" si="326"/>
        <v>106425</v>
      </c>
      <c r="I1288" s="156">
        <v>55</v>
      </c>
      <c r="J1288" s="161">
        <f t="shared" si="327"/>
        <v>26015</v>
      </c>
      <c r="K1288" s="159">
        <f t="shared" si="328"/>
        <v>132440</v>
      </c>
      <c r="L1288" s="163"/>
    </row>
    <row r="1289" spans="1:12" ht="24">
      <c r="A1289" s="200"/>
      <c r="B1289" s="60"/>
      <c r="C1289" s="61" t="s">
        <v>137</v>
      </c>
      <c r="D1289" s="67"/>
      <c r="E1289" s="159">
        <f>E1288*0.8</f>
        <v>378.40000000000003</v>
      </c>
      <c r="F1289" s="159" t="s">
        <v>184</v>
      </c>
      <c r="G1289" s="160">
        <v>70</v>
      </c>
      <c r="H1289" s="161">
        <f t="shared" si="326"/>
        <v>26488</v>
      </c>
      <c r="I1289" s="156">
        <v>35</v>
      </c>
      <c r="J1289" s="161">
        <f t="shared" si="327"/>
        <v>13244</v>
      </c>
      <c r="K1289" s="159">
        <f t="shared" si="328"/>
        <v>39732</v>
      </c>
      <c r="L1289" s="162"/>
    </row>
    <row r="1290" spans="1:12" ht="24">
      <c r="A1290" s="200"/>
      <c r="B1290" s="145" t="s">
        <v>133</v>
      </c>
      <c r="C1290" s="61" t="s">
        <v>376</v>
      </c>
      <c r="D1290" s="67"/>
      <c r="E1290" s="159">
        <f>9+24+24+9+8+8+16.6+16.6+18+16.6+16.6+9+9+9+9+8+8+24+24+9+9+20.6+20.6</f>
        <v>325.60000000000002</v>
      </c>
      <c r="F1290" s="159" t="s">
        <v>184</v>
      </c>
      <c r="G1290" s="160"/>
      <c r="H1290" s="161">
        <f t="shared" si="326"/>
        <v>0</v>
      </c>
      <c r="I1290" s="156"/>
      <c r="J1290" s="161">
        <f t="shared" si="327"/>
        <v>0</v>
      </c>
      <c r="K1290" s="159">
        <f t="shared" si="328"/>
        <v>0</v>
      </c>
      <c r="L1290" s="162"/>
    </row>
    <row r="1291" spans="1:12" ht="24">
      <c r="A1291" s="200"/>
      <c r="B1291" s="145" t="s">
        <v>133</v>
      </c>
      <c r="C1291" s="61" t="s">
        <v>377</v>
      </c>
      <c r="D1291" s="67"/>
      <c r="E1291" s="159">
        <f>4+4+8+8+8+8+4+8+8+8+7.6+3.6+3.8+3.6+2.9+3.8+8+8+2.9+5.1+3.8+3.8+8+3.8+24+3.8+12.6+25.05+2.9+8.2+5.1+8.2+8+3.8+3.8+8.2+3.8+3.6+3.6+3.8+4+8+8+8.2+2.9+3.8+3.8+3.8+8.2+8.2+8+3.8+3.8+2.8+2.8+2.8+8.2+8.2+8.2+8.2+8+8+8+6</f>
        <v>410.85</v>
      </c>
      <c r="F1291" s="159" t="s">
        <v>184</v>
      </c>
      <c r="G1291" s="160"/>
      <c r="H1291" s="161">
        <f t="shared" si="326"/>
        <v>0</v>
      </c>
      <c r="I1291" s="156"/>
      <c r="J1291" s="161">
        <f t="shared" si="327"/>
        <v>0</v>
      </c>
      <c r="K1291" s="159">
        <f t="shared" si="328"/>
        <v>0</v>
      </c>
      <c r="L1291" s="162"/>
    </row>
    <row r="1292" spans="1:12" ht="24">
      <c r="A1292" s="200"/>
      <c r="B1292" s="145" t="s">
        <v>133</v>
      </c>
      <c r="C1292" s="61" t="s">
        <v>378</v>
      </c>
      <c r="D1292" s="67"/>
      <c r="E1292" s="159"/>
      <c r="F1292" s="159" t="s">
        <v>184</v>
      </c>
      <c r="G1292" s="160"/>
      <c r="H1292" s="161">
        <f t="shared" si="326"/>
        <v>0</v>
      </c>
      <c r="I1292" s="156"/>
      <c r="J1292" s="161">
        <f t="shared" si="327"/>
        <v>0</v>
      </c>
      <c r="K1292" s="159">
        <f t="shared" si="328"/>
        <v>0</v>
      </c>
      <c r="L1292" s="162"/>
    </row>
    <row r="1293" spans="1:12" ht="24">
      <c r="A1293" s="200"/>
      <c r="B1293" s="145" t="s">
        <v>133</v>
      </c>
      <c r="C1293" s="61" t="s">
        <v>378</v>
      </c>
      <c r="D1293" s="67"/>
      <c r="E1293" s="159"/>
      <c r="F1293" s="159" t="s">
        <v>184</v>
      </c>
      <c r="G1293" s="160"/>
      <c r="H1293" s="161">
        <f t="shared" si="326"/>
        <v>0</v>
      </c>
      <c r="I1293" s="156"/>
      <c r="J1293" s="161">
        <f t="shared" si="327"/>
        <v>0</v>
      </c>
      <c r="K1293" s="159">
        <f t="shared" si="328"/>
        <v>0</v>
      </c>
      <c r="L1293" s="162"/>
    </row>
    <row r="1294" spans="1:12" ht="24">
      <c r="A1294" s="200"/>
      <c r="B1294" s="145" t="s">
        <v>133</v>
      </c>
      <c r="C1294" s="61" t="s">
        <v>260</v>
      </c>
      <c r="D1294" s="67"/>
      <c r="E1294" s="159"/>
      <c r="F1294" s="159" t="s">
        <v>184</v>
      </c>
      <c r="G1294" s="160"/>
      <c r="H1294" s="161">
        <f t="shared" si="326"/>
        <v>0</v>
      </c>
      <c r="I1294" s="156"/>
      <c r="J1294" s="161">
        <f t="shared" si="327"/>
        <v>0</v>
      </c>
      <c r="K1294" s="159">
        <f t="shared" si="328"/>
        <v>0</v>
      </c>
      <c r="L1294" s="162"/>
    </row>
    <row r="1295" spans="1:12" ht="24">
      <c r="A1295" s="200"/>
      <c r="B1295" s="60" t="s">
        <v>134</v>
      </c>
      <c r="C1295" s="61" t="s">
        <v>261</v>
      </c>
      <c r="D1295" s="67"/>
      <c r="E1295" s="159">
        <f>25.2+126+113.4+42+176.4</f>
        <v>483</v>
      </c>
      <c r="F1295" s="159" t="s">
        <v>184</v>
      </c>
      <c r="G1295" s="160">
        <v>87</v>
      </c>
      <c r="H1295" s="161">
        <f t="shared" si="326"/>
        <v>42021</v>
      </c>
      <c r="I1295" s="156">
        <v>135</v>
      </c>
      <c r="J1295" s="161">
        <f t="shared" si="327"/>
        <v>65205</v>
      </c>
      <c r="K1295" s="159">
        <f t="shared" si="328"/>
        <v>107226</v>
      </c>
      <c r="L1295" s="162"/>
    </row>
    <row r="1296" spans="1:12" ht="24">
      <c r="A1296" s="200"/>
      <c r="B1296" s="222" t="s">
        <v>379</v>
      </c>
      <c r="C1296" s="61"/>
      <c r="D1296" s="67"/>
      <c r="E1296" s="159"/>
      <c r="F1296" s="159"/>
      <c r="G1296" s="160"/>
      <c r="H1296" s="161"/>
      <c r="I1296" s="160"/>
      <c r="J1296" s="161"/>
      <c r="K1296" s="159"/>
      <c r="L1296" s="162"/>
    </row>
    <row r="1297" spans="1:12" ht="24">
      <c r="A1297" s="200"/>
      <c r="B1297" s="228" t="s">
        <v>134</v>
      </c>
      <c r="C1297" s="61" t="s">
        <v>256</v>
      </c>
      <c r="D1297" s="61"/>
      <c r="E1297" s="213">
        <f>483.24+109.22</f>
        <v>592.46</v>
      </c>
      <c r="F1297" s="158" t="s">
        <v>183</v>
      </c>
      <c r="G1297" s="156">
        <v>340</v>
      </c>
      <c r="H1297" s="161">
        <f t="shared" ref="H1297" si="329">ROUND(E1297*G1297,2)</f>
        <v>201436.4</v>
      </c>
      <c r="I1297" s="160">
        <v>70</v>
      </c>
      <c r="J1297" s="161">
        <f t="shared" ref="J1297" si="330">ROUND(E1297*I1297,2)</f>
        <v>41472.199999999997</v>
      </c>
      <c r="K1297" s="159">
        <f t="shared" ref="K1297" si="331">H1297+J1297</f>
        <v>242908.59999999998</v>
      </c>
      <c r="L1297" s="162"/>
    </row>
    <row r="1298" spans="1:12" ht="24">
      <c r="A1298" s="200"/>
      <c r="B1298" s="228" t="s">
        <v>134</v>
      </c>
      <c r="C1298" s="133" t="s">
        <v>265</v>
      </c>
      <c r="D1298" s="61"/>
      <c r="E1298" s="213">
        <v>0</v>
      </c>
      <c r="F1298" s="159"/>
      <c r="G1298" s="160"/>
      <c r="H1298" s="161"/>
      <c r="I1298" s="160"/>
      <c r="J1298" s="161"/>
      <c r="K1298" s="159"/>
      <c r="L1298" s="162"/>
    </row>
    <row r="1299" spans="1:12" ht="24">
      <c r="A1299" s="200"/>
      <c r="B1299" s="228" t="s">
        <v>134</v>
      </c>
      <c r="C1299" s="133" t="s">
        <v>257</v>
      </c>
      <c r="D1299" s="61"/>
      <c r="E1299" s="213">
        <v>0</v>
      </c>
      <c r="F1299" s="159"/>
      <c r="G1299" s="160"/>
      <c r="H1299" s="161"/>
      <c r="I1299" s="160"/>
      <c r="J1299" s="161"/>
      <c r="K1299" s="159"/>
      <c r="L1299" s="162"/>
    </row>
    <row r="1300" spans="1:12" ht="24">
      <c r="A1300" s="201"/>
      <c r="B1300" s="228" t="s">
        <v>134</v>
      </c>
      <c r="C1300" s="222" t="s">
        <v>343</v>
      </c>
      <c r="D1300" s="61"/>
      <c r="E1300" s="213">
        <v>0</v>
      </c>
      <c r="F1300" s="159"/>
      <c r="G1300" s="160"/>
      <c r="H1300" s="161"/>
      <c r="I1300" s="160"/>
      <c r="J1300" s="161"/>
      <c r="K1300" s="159"/>
      <c r="L1300" s="162"/>
    </row>
    <row r="1301" spans="1:12" ht="24">
      <c r="A1301" s="201"/>
      <c r="B1301" s="228" t="s">
        <v>134</v>
      </c>
      <c r="C1301" s="61" t="s">
        <v>380</v>
      </c>
      <c r="D1301" s="61"/>
      <c r="E1301" s="213">
        <v>8.6</v>
      </c>
      <c r="F1301" s="159" t="s">
        <v>184</v>
      </c>
      <c r="G1301" s="160"/>
      <c r="H1301" s="161"/>
      <c r="I1301" s="160"/>
      <c r="J1301" s="161"/>
      <c r="K1301" s="159"/>
      <c r="L1301" s="162"/>
    </row>
    <row r="1302" spans="1:12" ht="24">
      <c r="A1302" s="201"/>
      <c r="B1302" s="60"/>
      <c r="C1302" s="61"/>
      <c r="D1302" s="61"/>
      <c r="E1302" s="213"/>
      <c r="F1302" s="159"/>
      <c r="G1302" s="160"/>
      <c r="H1302" s="161"/>
      <c r="I1302" s="160"/>
      <c r="J1302" s="161"/>
      <c r="K1302" s="159"/>
      <c r="L1302" s="162"/>
    </row>
    <row r="1303" spans="1:12" ht="24">
      <c r="A1303" s="201"/>
      <c r="B1303" s="60"/>
      <c r="C1303" s="61"/>
      <c r="D1303" s="67"/>
      <c r="E1303" s="159"/>
      <c r="F1303" s="159"/>
      <c r="G1303" s="160"/>
      <c r="H1303" s="161"/>
      <c r="I1303" s="160"/>
      <c r="J1303" s="161"/>
      <c r="K1303" s="159"/>
      <c r="L1303" s="162"/>
    </row>
    <row r="1304" spans="1:12" ht="24.75" thickBot="1">
      <c r="A1304" s="201"/>
      <c r="B1304" s="60"/>
      <c r="C1304" s="61"/>
      <c r="D1304" s="67"/>
      <c r="E1304" s="159"/>
      <c r="F1304" s="159"/>
      <c r="G1304" s="160"/>
      <c r="H1304" s="161"/>
      <c r="I1304" s="160"/>
      <c r="J1304" s="161"/>
      <c r="K1304" s="159"/>
      <c r="L1304" s="162"/>
    </row>
    <row r="1305" spans="1:12" ht="24.75" thickTop="1">
      <c r="A1305" s="149"/>
      <c r="B1305" s="1981" t="s">
        <v>69</v>
      </c>
      <c r="C1305" s="1982"/>
      <c r="D1305" s="1983"/>
      <c r="E1305" s="164"/>
      <c r="F1305" s="164"/>
      <c r="G1305" s="165"/>
      <c r="H1305" s="166"/>
      <c r="I1305" s="165"/>
      <c r="J1305" s="166"/>
      <c r="K1305" s="164">
        <f>SUM(K1286:K1304)</f>
        <v>1287745.3500000001</v>
      </c>
      <c r="L1305" s="167"/>
    </row>
  </sheetData>
  <mergeCells count="86">
    <mergeCell ref="B586:D586"/>
    <mergeCell ref="B626:D626"/>
    <mergeCell ref="B238:D238"/>
    <mergeCell ref="B669:D669"/>
    <mergeCell ref="B648:D648"/>
    <mergeCell ref="B345:D345"/>
    <mergeCell ref="B367:D367"/>
    <mergeCell ref="B389:D389"/>
    <mergeCell ref="B411:D411"/>
    <mergeCell ref="B412:D412"/>
    <mergeCell ref="B433:D433"/>
    <mergeCell ref="B455:D455"/>
    <mergeCell ref="B477:D477"/>
    <mergeCell ref="B521:D521"/>
    <mergeCell ref="B414:D414"/>
    <mergeCell ref="B413:D413"/>
    <mergeCell ref="B499:D499"/>
    <mergeCell ref="B542:D542"/>
    <mergeCell ref="B564:D564"/>
    <mergeCell ref="B236:D236"/>
    <mergeCell ref="B257:D257"/>
    <mergeCell ref="B279:D279"/>
    <mergeCell ref="B301:D301"/>
    <mergeCell ref="B323:D323"/>
    <mergeCell ref="B237:D237"/>
    <mergeCell ref="B235:D235"/>
    <mergeCell ref="B185:D185"/>
    <mergeCell ref="B213:D213"/>
    <mergeCell ref="B119:D119"/>
    <mergeCell ref="B141:D141"/>
    <mergeCell ref="B163:D163"/>
    <mergeCell ref="B75:D75"/>
    <mergeCell ref="B97:D97"/>
    <mergeCell ref="L8:L9"/>
    <mergeCell ref="B10:D10"/>
    <mergeCell ref="B31:D31"/>
    <mergeCell ref="I8:J8"/>
    <mergeCell ref="B53:D53"/>
    <mergeCell ref="B54:D54"/>
    <mergeCell ref="B55:D55"/>
    <mergeCell ref="B56:D56"/>
    <mergeCell ref="B32:D32"/>
    <mergeCell ref="B33:D33"/>
    <mergeCell ref="A8:A9"/>
    <mergeCell ref="B8:D9"/>
    <mergeCell ref="E8:E9"/>
    <mergeCell ref="F8:F9"/>
    <mergeCell ref="G8:H8"/>
    <mergeCell ref="B671:D671"/>
    <mergeCell ref="B690:D690"/>
    <mergeCell ref="B691:D691"/>
    <mergeCell ref="B692:D692"/>
    <mergeCell ref="B670:D670"/>
    <mergeCell ref="B711:D711"/>
    <mergeCell ref="B733:D733"/>
    <mergeCell ref="B755:D755"/>
    <mergeCell ref="B777:D777"/>
    <mergeCell ref="B799:D799"/>
    <mergeCell ref="B821:D821"/>
    <mergeCell ref="B849:D849"/>
    <mergeCell ref="B871:D871"/>
    <mergeCell ref="B872:D872"/>
    <mergeCell ref="B873:D873"/>
    <mergeCell ref="B874:D874"/>
    <mergeCell ref="B893:D893"/>
    <mergeCell ref="B915:D915"/>
    <mergeCell ref="B937:D937"/>
    <mergeCell ref="B959:D959"/>
    <mergeCell ref="B981:D981"/>
    <mergeCell ref="B1003:D1003"/>
    <mergeCell ref="B1025:D1025"/>
    <mergeCell ref="B1047:D1047"/>
    <mergeCell ref="B1048:D1048"/>
    <mergeCell ref="B1049:D1049"/>
    <mergeCell ref="B1050:D1050"/>
    <mergeCell ref="B1069:D1069"/>
    <mergeCell ref="B1091:D1091"/>
    <mergeCell ref="B1113:D1113"/>
    <mergeCell ref="B1262:D1262"/>
    <mergeCell ref="B1284:D1284"/>
    <mergeCell ref="B1305:D1305"/>
    <mergeCell ref="B1135:D1135"/>
    <mergeCell ref="B1157:D1157"/>
    <mergeCell ref="B1178:D1178"/>
    <mergeCell ref="B1200:D1200"/>
    <mergeCell ref="B1222:D1222"/>
  </mergeCells>
  <pageMargins left="0.23" right="0.15748031496062992" top="0.31496062992125984" bottom="0.35433070866141736" header="0.27559055118110237" footer="0.15748031496062992"/>
  <pageSetup paperSize="9" scale="79" orientation="landscape" r:id="rId1"/>
  <headerFooter>
    <oddHeader xml:space="preserve">&amp;Rแผ่นที่ &amp;P ใน &amp;N แผ่น          </oddHeader>
  </headerFooter>
  <rowBreaks count="8" manualBreakCount="8">
    <brk id="203" max="11" man="1"/>
    <brk id="213" max="11" man="1"/>
    <brk id="542" max="11" man="1"/>
    <brk id="564" max="11" man="1"/>
    <brk id="604" max="11" man="1"/>
    <brk id="669" max="11" man="1"/>
    <brk id="690" max="11" man="1"/>
    <brk id="71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9"/>
  <sheetViews>
    <sheetView showGridLines="0" view="pageBreakPreview" zoomScale="80" zoomScaleSheetLayoutView="80" workbookViewId="0">
      <selection activeCell="A8" sqref="A8:A9"/>
    </sheetView>
  </sheetViews>
  <sheetFormatPr defaultRowHeight="21.75"/>
  <cols>
    <col min="1" max="1" width="8.7109375" customWidth="1"/>
    <col min="2" max="2" width="7.42578125" customWidth="1"/>
    <col min="3" max="3" width="7.28515625" customWidth="1"/>
    <col min="4" max="4" width="54.85546875" customWidth="1"/>
    <col min="5" max="5" width="9.85546875" customWidth="1"/>
    <col min="6" max="6" width="7.5703125" bestFit="1" customWidth="1"/>
    <col min="7" max="7" width="15.7109375" customWidth="1"/>
    <col min="8" max="8" width="17.42578125" customWidth="1"/>
    <col min="9" max="9" width="13.7109375" customWidth="1"/>
    <col min="10" max="10" width="15.7109375" customWidth="1"/>
    <col min="11" max="11" width="17.42578125" customWidth="1"/>
    <col min="12" max="12" width="15" customWidth="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7"/>
      <c r="C2" s="38"/>
      <c r="D2" s="38" t="s">
        <v>87</v>
      </c>
      <c r="E2" s="39"/>
      <c r="F2" s="38"/>
      <c r="G2" s="38"/>
      <c r="H2" s="38"/>
      <c r="I2" s="37"/>
      <c r="J2" s="40"/>
      <c r="K2" s="40"/>
      <c r="L2" s="40"/>
    </row>
    <row r="3" spans="1:12">
      <c r="A3" s="41" t="s">
        <v>78</v>
      </c>
      <c r="B3" s="42"/>
      <c r="C3" s="43"/>
      <c r="D3" s="43"/>
      <c r="E3" s="44"/>
      <c r="F3" s="43"/>
      <c r="G3" s="43"/>
      <c r="H3" s="43"/>
      <c r="I3" s="43"/>
      <c r="J3" s="45"/>
      <c r="K3" s="45"/>
      <c r="L3" s="45"/>
    </row>
    <row r="4" spans="1:12">
      <c r="A4" s="41" t="s">
        <v>44</v>
      </c>
      <c r="B4" s="42"/>
      <c r="C4" s="43"/>
      <c r="D4" s="43" t="s">
        <v>79</v>
      </c>
      <c r="E4" s="44"/>
      <c r="F4" s="46"/>
      <c r="I4" s="47" t="s">
        <v>31</v>
      </c>
      <c r="J4" s="45"/>
      <c r="K4" s="45"/>
      <c r="L4" s="45"/>
    </row>
    <row r="5" spans="1:12">
      <c r="A5" s="41" t="s">
        <v>80</v>
      </c>
      <c r="B5" s="42"/>
      <c r="C5" s="43"/>
      <c r="D5" s="43"/>
      <c r="E5" s="44"/>
      <c r="F5" s="46"/>
      <c r="G5" s="43"/>
      <c r="H5" s="43"/>
      <c r="I5" s="43"/>
      <c r="J5" s="45"/>
      <c r="K5" s="45"/>
      <c r="L5" s="45"/>
    </row>
    <row r="6" spans="1:12">
      <c r="A6" s="41" t="s">
        <v>42</v>
      </c>
      <c r="B6" s="42"/>
      <c r="C6" s="43"/>
      <c r="D6" s="43" t="s">
        <v>81</v>
      </c>
      <c r="E6" s="44" t="s">
        <v>28</v>
      </c>
      <c r="F6" s="43"/>
      <c r="G6" s="48" t="s">
        <v>32</v>
      </c>
      <c r="H6" s="49"/>
      <c r="I6" s="48" t="s">
        <v>33</v>
      </c>
      <c r="J6" s="41"/>
      <c r="K6" s="126" t="s">
        <v>65</v>
      </c>
      <c r="L6" s="50"/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51" t="s">
        <v>45</v>
      </c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4">
        <v>3</v>
      </c>
      <c r="B10" s="1994" t="s">
        <v>88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f>A10+0.1</f>
        <v>3.1</v>
      </c>
      <c r="B11" s="133" t="s">
        <v>164</v>
      </c>
      <c r="C11" s="54"/>
      <c r="D11" s="55"/>
      <c r="E11" s="56"/>
      <c r="F11" s="57"/>
      <c r="G11" s="112"/>
      <c r="H11" s="118"/>
      <c r="I11" s="123"/>
      <c r="J11" s="124"/>
      <c r="K11" s="57"/>
      <c r="L11" s="58"/>
    </row>
    <row r="12" spans="1:12" ht="24">
      <c r="A12" s="132"/>
      <c r="B12" s="133"/>
      <c r="C12" s="61" t="s">
        <v>165</v>
      </c>
      <c r="D12" s="62"/>
      <c r="E12" s="63"/>
      <c r="F12" s="64"/>
      <c r="G12" s="113"/>
      <c r="H12" s="119"/>
      <c r="I12" s="113"/>
      <c r="J12" s="120"/>
      <c r="K12" s="65"/>
      <c r="L12" s="66"/>
    </row>
    <row r="13" spans="1:12" ht="24">
      <c r="A13" s="132">
        <v>3.2</v>
      </c>
      <c r="B13" s="133" t="s">
        <v>162</v>
      </c>
      <c r="C13" s="61"/>
      <c r="D13" s="62"/>
      <c r="E13" s="63"/>
      <c r="F13" s="64"/>
      <c r="G13" s="113"/>
      <c r="H13" s="120"/>
      <c r="I13" s="113"/>
      <c r="J13" s="120"/>
      <c r="K13" s="65"/>
      <c r="L13" s="66"/>
    </row>
    <row r="14" spans="1:12" ht="24">
      <c r="A14" s="132"/>
      <c r="B14" s="133"/>
      <c r="C14" s="61" t="s">
        <v>163</v>
      </c>
      <c r="D14" s="67"/>
      <c r="E14" s="56"/>
      <c r="F14" s="57"/>
      <c r="G14" s="114"/>
      <c r="H14" s="121"/>
      <c r="I14" s="114"/>
      <c r="J14" s="121"/>
      <c r="K14" s="68"/>
      <c r="L14" s="58"/>
    </row>
    <row r="15" spans="1:12" ht="24">
      <c r="A15" s="132">
        <v>3.3</v>
      </c>
      <c r="B15" s="133" t="s">
        <v>166</v>
      </c>
      <c r="C15" s="61"/>
      <c r="D15" s="67"/>
      <c r="E15" s="56"/>
      <c r="F15" s="57"/>
      <c r="G15" s="114"/>
      <c r="H15" s="121"/>
      <c r="I15" s="114"/>
      <c r="J15" s="121"/>
      <c r="K15" s="68"/>
      <c r="L15" s="58"/>
    </row>
    <row r="16" spans="1:12" ht="24">
      <c r="A16" s="132">
        <f t="shared" ref="A16:A17" si="0">A15+0.1</f>
        <v>3.4</v>
      </c>
      <c r="B16" s="133" t="s">
        <v>167</v>
      </c>
      <c r="C16" s="61"/>
      <c r="D16" s="67"/>
      <c r="E16" s="56"/>
      <c r="F16" s="57"/>
      <c r="G16" s="114"/>
      <c r="H16" s="121"/>
      <c r="I16" s="114"/>
      <c r="J16" s="121"/>
      <c r="K16" s="68"/>
      <c r="L16" s="58"/>
    </row>
    <row r="17" spans="1:12" ht="24">
      <c r="A17" s="132">
        <f t="shared" si="0"/>
        <v>3.5</v>
      </c>
      <c r="B17" s="133" t="s">
        <v>168</v>
      </c>
      <c r="C17" s="61"/>
      <c r="D17" s="67"/>
      <c r="E17" s="56"/>
      <c r="F17" s="57"/>
      <c r="G17" s="114"/>
      <c r="H17" s="121"/>
      <c r="I17" s="114"/>
      <c r="J17" s="121"/>
      <c r="K17" s="68"/>
      <c r="L17" s="58"/>
    </row>
    <row r="18" spans="1:12" ht="24">
      <c r="A18" s="59"/>
      <c r="B18" s="60"/>
      <c r="C18" s="61"/>
      <c r="D18" s="67"/>
      <c r="E18" s="56"/>
      <c r="F18" s="57"/>
      <c r="G18" s="114"/>
      <c r="H18" s="121"/>
      <c r="I18" s="114"/>
      <c r="J18" s="121"/>
      <c r="K18" s="68"/>
      <c r="L18" s="58"/>
    </row>
    <row r="19" spans="1:12" ht="24">
      <c r="A19" s="59"/>
      <c r="B19" s="60"/>
      <c r="C19" s="61"/>
      <c r="D19" s="67"/>
      <c r="E19" s="56"/>
      <c r="F19" s="57"/>
      <c r="G19" s="114"/>
      <c r="H19" s="121"/>
      <c r="I19" s="114"/>
      <c r="J19" s="121"/>
      <c r="K19" s="68"/>
      <c r="L19" s="58"/>
    </row>
    <row r="20" spans="1:12" ht="24">
      <c r="A20" s="59"/>
      <c r="B20" s="60"/>
      <c r="C20" s="61"/>
      <c r="D20" s="67"/>
      <c r="E20" s="56"/>
      <c r="F20" s="57"/>
      <c r="G20" s="114"/>
      <c r="H20" s="121"/>
      <c r="I20" s="114"/>
      <c r="J20" s="121"/>
      <c r="K20" s="68"/>
      <c r="L20" s="58"/>
    </row>
    <row r="21" spans="1:12" ht="24">
      <c r="A21" s="59"/>
      <c r="B21" s="60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2" ht="24">
      <c r="A22" s="59"/>
      <c r="B22" s="60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2" ht="24">
      <c r="A23" s="59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2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2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2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2" ht="24.75" thickTop="1">
      <c r="A30" s="70"/>
      <c r="B30" s="1981" t="s">
        <v>69</v>
      </c>
      <c r="C30" s="1982"/>
      <c r="D30" s="1983"/>
      <c r="E30" s="71"/>
      <c r="F30" s="72"/>
      <c r="G30" s="115"/>
      <c r="H30" s="122"/>
      <c r="I30" s="115"/>
      <c r="J30" s="122"/>
      <c r="K30" s="73"/>
      <c r="L30" s="74"/>
    </row>
    <row r="31" spans="1:12" ht="24">
      <c r="A31" s="132">
        <v>3.1</v>
      </c>
      <c r="B31" s="133" t="s">
        <v>164</v>
      </c>
      <c r="C31" s="54"/>
      <c r="D31" s="137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52"/>
      <c r="B32" s="133"/>
      <c r="C32" s="61" t="s">
        <v>165</v>
      </c>
      <c r="D32" s="55"/>
      <c r="E32" s="56"/>
      <c r="F32" s="57"/>
      <c r="G32" s="112"/>
      <c r="H32" s="118"/>
      <c r="I32" s="123"/>
      <c r="J32" s="124"/>
      <c r="K32" s="57"/>
      <c r="L32" s="58"/>
    </row>
    <row r="33" spans="1:12" ht="24">
      <c r="A33" s="59"/>
      <c r="B33" s="60"/>
      <c r="C33" s="61"/>
      <c r="D33" s="62"/>
      <c r="E33" s="63"/>
      <c r="F33" s="64"/>
      <c r="G33" s="113"/>
      <c r="H33" s="119"/>
      <c r="I33" s="113"/>
      <c r="J33" s="120"/>
      <c r="K33" s="65"/>
      <c r="L33" s="66"/>
    </row>
    <row r="34" spans="1:12" ht="24">
      <c r="A34" s="59"/>
      <c r="B34" s="60"/>
      <c r="C34" s="61"/>
      <c r="D34" s="62"/>
      <c r="E34" s="63"/>
      <c r="F34" s="64"/>
      <c r="G34" s="113"/>
      <c r="H34" s="120"/>
      <c r="I34" s="113"/>
      <c r="J34" s="120"/>
      <c r="K34" s="65"/>
      <c r="L34" s="66"/>
    </row>
    <row r="35" spans="1:12" ht="24">
      <c r="A35" s="59"/>
      <c r="B35" s="60"/>
      <c r="C35" s="61"/>
      <c r="D35" s="67"/>
      <c r="E35" s="56"/>
      <c r="F35" s="57"/>
      <c r="G35" s="114"/>
      <c r="H35" s="121"/>
      <c r="I35" s="114"/>
      <c r="J35" s="121"/>
      <c r="K35" s="68"/>
      <c r="L35" s="58"/>
    </row>
    <row r="36" spans="1:12" ht="24">
      <c r="A36" s="59"/>
      <c r="B36" s="60"/>
      <c r="C36" s="61"/>
      <c r="D36" s="67"/>
      <c r="E36" s="56"/>
      <c r="F36" s="57"/>
      <c r="G36" s="114"/>
      <c r="H36" s="121"/>
      <c r="I36" s="114"/>
      <c r="J36" s="121"/>
      <c r="K36" s="68"/>
      <c r="L36" s="58"/>
    </row>
    <row r="37" spans="1:12" ht="24">
      <c r="A37" s="59"/>
      <c r="B37" s="60"/>
      <c r="C37" s="61"/>
      <c r="D37" s="67"/>
      <c r="E37" s="56"/>
      <c r="F37" s="57"/>
      <c r="G37" s="114"/>
      <c r="H37" s="121"/>
      <c r="I37" s="114"/>
      <c r="J37" s="121"/>
      <c r="K37" s="68"/>
      <c r="L37" s="58"/>
    </row>
    <row r="38" spans="1:12" ht="24">
      <c r="A38" s="59"/>
      <c r="B38" s="60"/>
      <c r="C38" s="61"/>
      <c r="D38" s="67"/>
      <c r="E38" s="56"/>
      <c r="F38" s="57"/>
      <c r="G38" s="114"/>
      <c r="H38" s="121"/>
      <c r="I38" s="114"/>
      <c r="J38" s="121"/>
      <c r="K38" s="68"/>
      <c r="L38" s="58"/>
    </row>
    <row r="39" spans="1:12" ht="24">
      <c r="A39" s="59"/>
      <c r="B39" s="60"/>
      <c r="C39" s="61"/>
      <c r="D39" s="67"/>
      <c r="E39" s="56"/>
      <c r="F39" s="57"/>
      <c r="G39" s="114"/>
      <c r="H39" s="121"/>
      <c r="I39" s="114"/>
      <c r="J39" s="121"/>
      <c r="K39" s="68"/>
      <c r="L39" s="58"/>
    </row>
    <row r="40" spans="1:12" ht="24">
      <c r="A40" s="59"/>
      <c r="B40" s="60"/>
      <c r="C40" s="61"/>
      <c r="D40" s="67"/>
      <c r="E40" s="56"/>
      <c r="F40" s="57"/>
      <c r="G40" s="114"/>
      <c r="H40" s="121"/>
      <c r="I40" s="114"/>
      <c r="J40" s="121"/>
      <c r="K40" s="68"/>
      <c r="L40" s="58"/>
    </row>
    <row r="41" spans="1:12" ht="24">
      <c r="A41" s="59"/>
      <c r="B41" s="60"/>
      <c r="C41" s="61"/>
      <c r="D41" s="67"/>
      <c r="E41" s="56"/>
      <c r="F41" s="57"/>
      <c r="G41" s="114"/>
      <c r="H41" s="121"/>
      <c r="I41" s="114"/>
      <c r="J41" s="121"/>
      <c r="K41" s="68"/>
      <c r="L41" s="58"/>
    </row>
    <row r="42" spans="1:12" ht="24">
      <c r="A42" s="59"/>
      <c r="B42" s="60"/>
      <c r="C42" s="61"/>
      <c r="D42" s="67"/>
      <c r="E42" s="56"/>
      <c r="F42" s="57"/>
      <c r="G42" s="114"/>
      <c r="H42" s="121"/>
      <c r="I42" s="114"/>
      <c r="J42" s="121"/>
      <c r="K42" s="68"/>
      <c r="L42" s="58"/>
    </row>
    <row r="43" spans="1:12" ht="24">
      <c r="A43" s="59"/>
      <c r="B43" s="60"/>
      <c r="C43" s="61"/>
      <c r="D43" s="67"/>
      <c r="E43" s="56"/>
      <c r="F43" s="57"/>
      <c r="G43" s="114"/>
      <c r="H43" s="121"/>
      <c r="I43" s="114"/>
      <c r="J43" s="121"/>
      <c r="K43" s="68"/>
      <c r="L43" s="58"/>
    </row>
    <row r="44" spans="1:12" ht="24">
      <c r="A44" s="59"/>
      <c r="B44" s="60"/>
      <c r="C44" s="61"/>
      <c r="D44" s="67"/>
      <c r="E44" s="56"/>
      <c r="F44" s="57"/>
      <c r="G44" s="114"/>
      <c r="H44" s="121"/>
      <c r="I44" s="114"/>
      <c r="J44" s="121"/>
      <c r="K44" s="68"/>
      <c r="L44" s="58"/>
    </row>
    <row r="45" spans="1:12" ht="24">
      <c r="A45" s="59"/>
      <c r="B45" s="60"/>
      <c r="C45" s="61"/>
      <c r="D45" s="67"/>
      <c r="E45" s="56"/>
      <c r="F45" s="57"/>
      <c r="G45" s="114"/>
      <c r="H45" s="121"/>
      <c r="I45" s="114"/>
      <c r="J45" s="121"/>
      <c r="K45" s="68"/>
      <c r="L45" s="58"/>
    </row>
    <row r="46" spans="1:12" ht="24">
      <c r="A46" s="69"/>
      <c r="B46" s="60"/>
      <c r="C46" s="61"/>
      <c r="D46" s="67"/>
      <c r="E46" s="56"/>
      <c r="F46" s="57"/>
      <c r="G46" s="114"/>
      <c r="H46" s="121"/>
      <c r="I46" s="114"/>
      <c r="J46" s="121"/>
      <c r="K46" s="68"/>
      <c r="L46" s="58"/>
    </row>
    <row r="47" spans="1:12" ht="24">
      <c r="A47" s="69"/>
      <c r="B47" s="60"/>
      <c r="C47" s="61"/>
      <c r="D47" s="67"/>
      <c r="E47" s="56"/>
      <c r="F47" s="57"/>
      <c r="G47" s="114"/>
      <c r="H47" s="121"/>
      <c r="I47" s="114"/>
      <c r="J47" s="121"/>
      <c r="K47" s="68"/>
      <c r="L47" s="58"/>
    </row>
    <row r="48" spans="1:12" ht="24">
      <c r="A48" s="69"/>
      <c r="B48" s="60"/>
      <c r="C48" s="61"/>
      <c r="D48" s="67"/>
      <c r="E48" s="56"/>
      <c r="F48" s="57"/>
      <c r="G48" s="114"/>
      <c r="H48" s="121"/>
      <c r="I48" s="114"/>
      <c r="J48" s="121"/>
      <c r="K48" s="68"/>
      <c r="L48" s="58"/>
    </row>
    <row r="49" spans="1:12" ht="24">
      <c r="A49" s="69"/>
      <c r="B49" s="60"/>
      <c r="C49" s="61"/>
      <c r="D49" s="67"/>
      <c r="E49" s="56"/>
      <c r="F49" s="57"/>
      <c r="G49" s="114"/>
      <c r="H49" s="121"/>
      <c r="I49" s="114"/>
      <c r="J49" s="121"/>
      <c r="K49" s="68"/>
      <c r="L49" s="58"/>
    </row>
    <row r="50" spans="1:12" ht="24.75" thickBot="1">
      <c r="A50" s="69"/>
      <c r="B50" s="60"/>
      <c r="C50" s="61"/>
      <c r="D50" s="67"/>
      <c r="E50" s="56"/>
      <c r="F50" s="57"/>
      <c r="G50" s="114"/>
      <c r="H50" s="121"/>
      <c r="I50" s="114"/>
      <c r="J50" s="121"/>
      <c r="K50" s="68"/>
      <c r="L50" s="58"/>
    </row>
    <row r="51" spans="1:12" ht="24.75" thickTop="1">
      <c r="A51" s="70"/>
      <c r="B51" s="1981" t="s">
        <v>69</v>
      </c>
      <c r="C51" s="1982"/>
      <c r="D51" s="1983"/>
      <c r="E51" s="71"/>
      <c r="F51" s="72"/>
      <c r="G51" s="115"/>
      <c r="H51" s="122"/>
      <c r="I51" s="115"/>
      <c r="J51" s="122"/>
      <c r="K51" s="73"/>
      <c r="L51" s="74"/>
    </row>
    <row r="52" spans="1:12" ht="24">
      <c r="A52" s="132">
        <v>3.2</v>
      </c>
      <c r="B52" s="133" t="s">
        <v>162</v>
      </c>
      <c r="C52" s="61"/>
      <c r="D52" s="137"/>
      <c r="E52" s="105"/>
      <c r="F52" s="106"/>
      <c r="G52" s="111"/>
      <c r="H52" s="117"/>
      <c r="I52" s="111"/>
      <c r="J52" s="117"/>
      <c r="K52" s="63"/>
      <c r="L52" s="107"/>
    </row>
    <row r="53" spans="1:12" ht="24">
      <c r="A53" s="52"/>
      <c r="B53" s="133"/>
      <c r="C53" s="61" t="s">
        <v>163</v>
      </c>
      <c r="D53" s="55"/>
      <c r="E53" s="56"/>
      <c r="F53" s="57"/>
      <c r="G53" s="112"/>
      <c r="H53" s="118"/>
      <c r="I53" s="123"/>
      <c r="J53" s="124"/>
      <c r="K53" s="57"/>
      <c r="L53" s="58"/>
    </row>
    <row r="54" spans="1:12" ht="24">
      <c r="A54" s="59"/>
      <c r="B54" s="60"/>
      <c r="C54" s="61"/>
      <c r="D54" s="62"/>
      <c r="E54" s="63"/>
      <c r="F54" s="64"/>
      <c r="G54" s="113"/>
      <c r="H54" s="119"/>
      <c r="I54" s="113"/>
      <c r="J54" s="120"/>
      <c r="K54" s="65"/>
      <c r="L54" s="66"/>
    </row>
    <row r="55" spans="1:12" ht="24">
      <c r="A55" s="59"/>
      <c r="B55" s="60"/>
      <c r="C55" s="61"/>
      <c r="D55" s="62"/>
      <c r="E55" s="63"/>
      <c r="F55" s="64"/>
      <c r="G55" s="113"/>
      <c r="H55" s="120"/>
      <c r="I55" s="113"/>
      <c r="J55" s="120"/>
      <c r="K55" s="65"/>
      <c r="L55" s="66"/>
    </row>
    <row r="56" spans="1:12" ht="24">
      <c r="A56" s="59"/>
      <c r="B56" s="60"/>
      <c r="C56" s="61"/>
      <c r="D56" s="67"/>
      <c r="E56" s="56"/>
      <c r="F56" s="57"/>
      <c r="G56" s="114"/>
      <c r="H56" s="121"/>
      <c r="I56" s="114"/>
      <c r="J56" s="121"/>
      <c r="K56" s="68"/>
      <c r="L56" s="58"/>
    </row>
    <row r="57" spans="1:12" ht="24">
      <c r="A57" s="59"/>
      <c r="B57" s="60"/>
      <c r="C57" s="61"/>
      <c r="D57" s="67"/>
      <c r="E57" s="56"/>
      <c r="F57" s="57"/>
      <c r="G57" s="114"/>
      <c r="H57" s="121"/>
      <c r="I57" s="114"/>
      <c r="J57" s="121"/>
      <c r="K57" s="68"/>
      <c r="L57" s="58"/>
    </row>
    <row r="58" spans="1:12" ht="24">
      <c r="A58" s="59"/>
      <c r="B58" s="60"/>
      <c r="C58" s="61"/>
      <c r="D58" s="67"/>
      <c r="E58" s="56"/>
      <c r="F58" s="57"/>
      <c r="G58" s="114"/>
      <c r="H58" s="121"/>
      <c r="I58" s="114"/>
      <c r="J58" s="121"/>
      <c r="K58" s="68"/>
      <c r="L58" s="58"/>
    </row>
    <row r="59" spans="1:12" ht="24">
      <c r="A59" s="59"/>
      <c r="B59" s="60"/>
      <c r="C59" s="61"/>
      <c r="D59" s="67"/>
      <c r="E59" s="56"/>
      <c r="F59" s="57"/>
      <c r="G59" s="114"/>
      <c r="H59" s="121"/>
      <c r="I59" s="114"/>
      <c r="J59" s="121"/>
      <c r="K59" s="68"/>
      <c r="L59" s="58"/>
    </row>
    <row r="60" spans="1:12" ht="24">
      <c r="A60" s="59"/>
      <c r="B60" s="60"/>
      <c r="C60" s="61"/>
      <c r="D60" s="67"/>
      <c r="E60" s="56"/>
      <c r="F60" s="57"/>
      <c r="G60" s="114"/>
      <c r="H60" s="121"/>
      <c r="I60" s="114"/>
      <c r="J60" s="121"/>
      <c r="K60" s="68"/>
      <c r="L60" s="58"/>
    </row>
    <row r="61" spans="1:12" ht="24">
      <c r="A61" s="59"/>
      <c r="B61" s="60"/>
      <c r="C61" s="61"/>
      <c r="D61" s="67"/>
      <c r="E61" s="56"/>
      <c r="F61" s="57"/>
      <c r="G61" s="114"/>
      <c r="H61" s="121"/>
      <c r="I61" s="114"/>
      <c r="J61" s="121"/>
      <c r="K61" s="68"/>
      <c r="L61" s="58"/>
    </row>
    <row r="62" spans="1:12" ht="24">
      <c r="A62" s="59"/>
      <c r="B62" s="60"/>
      <c r="C62" s="61"/>
      <c r="D62" s="67"/>
      <c r="E62" s="56"/>
      <c r="F62" s="57"/>
      <c r="G62" s="114"/>
      <c r="H62" s="121"/>
      <c r="I62" s="114"/>
      <c r="J62" s="121"/>
      <c r="K62" s="68"/>
      <c r="L62" s="58"/>
    </row>
    <row r="63" spans="1:12" ht="24">
      <c r="A63" s="59"/>
      <c r="B63" s="60"/>
      <c r="C63" s="61"/>
      <c r="D63" s="67"/>
      <c r="E63" s="56"/>
      <c r="F63" s="57"/>
      <c r="G63" s="114"/>
      <c r="H63" s="121"/>
      <c r="I63" s="114"/>
      <c r="J63" s="121"/>
      <c r="K63" s="68"/>
      <c r="L63" s="58"/>
    </row>
    <row r="64" spans="1:12" ht="24">
      <c r="A64" s="59"/>
      <c r="B64" s="60"/>
      <c r="C64" s="61"/>
      <c r="D64" s="67"/>
      <c r="E64" s="56"/>
      <c r="F64" s="57"/>
      <c r="G64" s="114"/>
      <c r="H64" s="121"/>
      <c r="I64" s="114"/>
      <c r="J64" s="121"/>
      <c r="K64" s="68"/>
      <c r="L64" s="58"/>
    </row>
    <row r="65" spans="1:12" ht="24">
      <c r="A65" s="59"/>
      <c r="B65" s="60"/>
      <c r="C65" s="61"/>
      <c r="D65" s="67"/>
      <c r="E65" s="56"/>
      <c r="F65" s="57"/>
      <c r="G65" s="114"/>
      <c r="H65" s="121"/>
      <c r="I65" s="114"/>
      <c r="J65" s="121"/>
      <c r="K65" s="68"/>
      <c r="L65" s="58"/>
    </row>
    <row r="66" spans="1:12" ht="24">
      <c r="A66" s="59"/>
      <c r="B66" s="60"/>
      <c r="C66" s="61"/>
      <c r="D66" s="67"/>
      <c r="E66" s="56"/>
      <c r="F66" s="57"/>
      <c r="G66" s="114"/>
      <c r="H66" s="121"/>
      <c r="I66" s="114"/>
      <c r="J66" s="121"/>
      <c r="K66" s="68"/>
      <c r="L66" s="58"/>
    </row>
    <row r="67" spans="1:12" ht="24">
      <c r="A67" s="69"/>
      <c r="B67" s="60"/>
      <c r="C67" s="61"/>
      <c r="D67" s="67"/>
      <c r="E67" s="56"/>
      <c r="F67" s="57"/>
      <c r="G67" s="114"/>
      <c r="H67" s="121"/>
      <c r="I67" s="114"/>
      <c r="J67" s="121"/>
      <c r="K67" s="68"/>
      <c r="L67" s="58"/>
    </row>
    <row r="68" spans="1:12" ht="24">
      <c r="A68" s="69"/>
      <c r="B68" s="60"/>
      <c r="C68" s="61"/>
      <c r="D68" s="67"/>
      <c r="E68" s="56"/>
      <c r="F68" s="57"/>
      <c r="G68" s="114"/>
      <c r="H68" s="121"/>
      <c r="I68" s="114"/>
      <c r="J68" s="121"/>
      <c r="K68" s="68"/>
      <c r="L68" s="58"/>
    </row>
    <row r="69" spans="1:12" ht="24">
      <c r="A69" s="69"/>
      <c r="B69" s="60"/>
      <c r="C69" s="61"/>
      <c r="D69" s="67"/>
      <c r="E69" s="56"/>
      <c r="F69" s="57"/>
      <c r="G69" s="114"/>
      <c r="H69" s="121"/>
      <c r="I69" s="114"/>
      <c r="J69" s="121"/>
      <c r="K69" s="68"/>
      <c r="L69" s="58"/>
    </row>
    <row r="70" spans="1:12" ht="24">
      <c r="A70" s="69"/>
      <c r="B70" s="60"/>
      <c r="C70" s="61"/>
      <c r="D70" s="67"/>
      <c r="E70" s="56"/>
      <c r="F70" s="57"/>
      <c r="G70" s="114"/>
      <c r="H70" s="121"/>
      <c r="I70" s="114"/>
      <c r="J70" s="121"/>
      <c r="K70" s="68"/>
      <c r="L70" s="58"/>
    </row>
    <row r="71" spans="1:12" ht="24.75" thickBot="1">
      <c r="A71" s="69"/>
      <c r="B71" s="60"/>
      <c r="C71" s="61"/>
      <c r="D71" s="67"/>
      <c r="E71" s="56"/>
      <c r="F71" s="57"/>
      <c r="G71" s="114"/>
      <c r="H71" s="121"/>
      <c r="I71" s="114"/>
      <c r="J71" s="121"/>
      <c r="K71" s="68"/>
      <c r="L71" s="58"/>
    </row>
    <row r="72" spans="1:12" ht="24.75" thickTop="1">
      <c r="A72" s="70"/>
      <c r="B72" s="1981" t="s">
        <v>69</v>
      </c>
      <c r="C72" s="1982"/>
      <c r="D72" s="1983"/>
      <c r="E72" s="71"/>
      <c r="F72" s="72"/>
      <c r="G72" s="115"/>
      <c r="H72" s="122"/>
      <c r="I72" s="115"/>
      <c r="J72" s="122"/>
      <c r="K72" s="73"/>
      <c r="L72" s="74"/>
    </row>
    <row r="73" spans="1:12" ht="24">
      <c r="A73" s="132">
        <v>3.3</v>
      </c>
      <c r="B73" s="133" t="s">
        <v>166</v>
      </c>
      <c r="C73" s="138"/>
      <c r="D73" s="139"/>
      <c r="E73" s="105"/>
      <c r="F73" s="106"/>
      <c r="G73" s="111"/>
      <c r="H73" s="117"/>
      <c r="I73" s="111"/>
      <c r="J73" s="117"/>
      <c r="K73" s="63"/>
      <c r="L73" s="107"/>
    </row>
    <row r="74" spans="1:12" ht="24">
      <c r="A74" s="52"/>
      <c r="B74" s="53"/>
      <c r="C74" s="54"/>
      <c r="D74" s="55"/>
      <c r="E74" s="56"/>
      <c r="F74" s="57"/>
      <c r="G74" s="112"/>
      <c r="H74" s="118"/>
      <c r="I74" s="123"/>
      <c r="J74" s="124"/>
      <c r="K74" s="57"/>
      <c r="L74" s="58"/>
    </row>
    <row r="75" spans="1:12" ht="24">
      <c r="A75" s="59"/>
      <c r="B75" s="60"/>
      <c r="C75" s="61"/>
      <c r="D75" s="62"/>
      <c r="E75" s="63"/>
      <c r="F75" s="64"/>
      <c r="G75" s="113"/>
      <c r="H75" s="119"/>
      <c r="I75" s="113"/>
      <c r="J75" s="120"/>
      <c r="K75" s="65"/>
      <c r="L75" s="66"/>
    </row>
    <row r="76" spans="1:12" ht="24">
      <c r="A76" s="59"/>
      <c r="B76" s="60"/>
      <c r="C76" s="61"/>
      <c r="D76" s="62"/>
      <c r="E76" s="63"/>
      <c r="F76" s="64"/>
      <c r="G76" s="113"/>
      <c r="H76" s="120"/>
      <c r="I76" s="113"/>
      <c r="J76" s="120"/>
      <c r="K76" s="65"/>
      <c r="L76" s="66"/>
    </row>
    <row r="77" spans="1:12" ht="24">
      <c r="A77" s="59"/>
      <c r="B77" s="60"/>
      <c r="C77" s="61"/>
      <c r="D77" s="67"/>
      <c r="E77" s="56"/>
      <c r="F77" s="57"/>
      <c r="G77" s="114"/>
      <c r="H77" s="121"/>
      <c r="I77" s="114"/>
      <c r="J77" s="121"/>
      <c r="K77" s="68"/>
      <c r="L77" s="58"/>
    </row>
    <row r="78" spans="1:12" ht="24">
      <c r="A78" s="59"/>
      <c r="B78" s="60"/>
      <c r="C78" s="61"/>
      <c r="D78" s="67"/>
      <c r="E78" s="56"/>
      <c r="F78" s="57"/>
      <c r="G78" s="114"/>
      <c r="H78" s="121"/>
      <c r="I78" s="114"/>
      <c r="J78" s="121"/>
      <c r="K78" s="68"/>
      <c r="L78" s="58"/>
    </row>
    <row r="79" spans="1:12" ht="24">
      <c r="A79" s="59"/>
      <c r="B79" s="60"/>
      <c r="C79" s="61"/>
      <c r="D79" s="67"/>
      <c r="E79" s="56"/>
      <c r="F79" s="57"/>
      <c r="G79" s="114"/>
      <c r="H79" s="121"/>
      <c r="I79" s="114"/>
      <c r="J79" s="121"/>
      <c r="K79" s="68"/>
      <c r="L79" s="58"/>
    </row>
    <row r="80" spans="1:12" ht="24">
      <c r="A80" s="59"/>
      <c r="B80" s="60"/>
      <c r="C80" s="61"/>
      <c r="D80" s="67"/>
      <c r="E80" s="56"/>
      <c r="F80" s="57"/>
      <c r="G80" s="114"/>
      <c r="H80" s="121"/>
      <c r="I80" s="114"/>
      <c r="J80" s="121"/>
      <c r="K80" s="68"/>
      <c r="L80" s="58"/>
    </row>
    <row r="81" spans="1:12" ht="24">
      <c r="A81" s="59"/>
      <c r="B81" s="60"/>
      <c r="C81" s="61"/>
      <c r="D81" s="67"/>
      <c r="E81" s="56"/>
      <c r="F81" s="57"/>
      <c r="G81" s="114"/>
      <c r="H81" s="121"/>
      <c r="I81" s="114"/>
      <c r="J81" s="121"/>
      <c r="K81" s="68"/>
      <c r="L81" s="58"/>
    </row>
    <row r="82" spans="1:12" ht="24">
      <c r="A82" s="59"/>
      <c r="B82" s="60"/>
      <c r="C82" s="61"/>
      <c r="D82" s="67"/>
      <c r="E82" s="56"/>
      <c r="F82" s="57"/>
      <c r="G82" s="114"/>
      <c r="H82" s="121"/>
      <c r="I82" s="114"/>
      <c r="J82" s="121"/>
      <c r="K82" s="68"/>
      <c r="L82" s="58"/>
    </row>
    <row r="83" spans="1:12" ht="24">
      <c r="A83" s="59"/>
      <c r="B83" s="60"/>
      <c r="C83" s="61"/>
      <c r="D83" s="67"/>
      <c r="E83" s="56"/>
      <c r="F83" s="57"/>
      <c r="G83" s="114"/>
      <c r="H83" s="121"/>
      <c r="I83" s="114"/>
      <c r="J83" s="121"/>
      <c r="K83" s="68"/>
      <c r="L83" s="58"/>
    </row>
    <row r="84" spans="1:12" ht="24">
      <c r="A84" s="59"/>
      <c r="B84" s="60"/>
      <c r="C84" s="61"/>
      <c r="D84" s="67"/>
      <c r="E84" s="56"/>
      <c r="F84" s="57"/>
      <c r="G84" s="114"/>
      <c r="H84" s="121"/>
      <c r="I84" s="114"/>
      <c r="J84" s="121"/>
      <c r="K84" s="68"/>
      <c r="L84" s="58"/>
    </row>
    <row r="85" spans="1:12" ht="24">
      <c r="A85" s="59"/>
      <c r="B85" s="60"/>
      <c r="C85" s="61"/>
      <c r="D85" s="67"/>
      <c r="E85" s="56"/>
      <c r="F85" s="57"/>
      <c r="G85" s="114"/>
      <c r="H85" s="121"/>
      <c r="I85" s="114"/>
      <c r="J85" s="121"/>
      <c r="K85" s="68"/>
      <c r="L85" s="58"/>
    </row>
    <row r="86" spans="1:12" ht="24">
      <c r="A86" s="59"/>
      <c r="B86" s="60"/>
      <c r="C86" s="61"/>
      <c r="D86" s="67"/>
      <c r="E86" s="56"/>
      <c r="F86" s="57"/>
      <c r="G86" s="114"/>
      <c r="H86" s="121"/>
      <c r="I86" s="114"/>
      <c r="J86" s="121"/>
      <c r="K86" s="68"/>
      <c r="L86" s="58"/>
    </row>
    <row r="87" spans="1:12" ht="24">
      <c r="A87" s="59"/>
      <c r="B87" s="60"/>
      <c r="C87" s="61"/>
      <c r="D87" s="67"/>
      <c r="E87" s="56"/>
      <c r="F87" s="57"/>
      <c r="G87" s="114"/>
      <c r="H87" s="121"/>
      <c r="I87" s="114"/>
      <c r="J87" s="121"/>
      <c r="K87" s="68"/>
      <c r="L87" s="58"/>
    </row>
    <row r="88" spans="1:12" ht="24">
      <c r="A88" s="69"/>
      <c r="B88" s="60"/>
      <c r="C88" s="61"/>
      <c r="D88" s="67"/>
      <c r="E88" s="56"/>
      <c r="F88" s="57"/>
      <c r="G88" s="114"/>
      <c r="H88" s="121"/>
      <c r="I88" s="114"/>
      <c r="J88" s="121"/>
      <c r="K88" s="68"/>
      <c r="L88" s="58"/>
    </row>
    <row r="89" spans="1:12" ht="24">
      <c r="A89" s="69"/>
      <c r="B89" s="60"/>
      <c r="C89" s="61"/>
      <c r="D89" s="67"/>
      <c r="E89" s="56"/>
      <c r="F89" s="57"/>
      <c r="G89" s="114"/>
      <c r="H89" s="121"/>
      <c r="I89" s="114"/>
      <c r="J89" s="121"/>
      <c r="K89" s="68"/>
      <c r="L89" s="58"/>
    </row>
    <row r="90" spans="1:12" ht="24">
      <c r="A90" s="69"/>
      <c r="B90" s="60"/>
      <c r="C90" s="61"/>
      <c r="D90" s="67"/>
      <c r="E90" s="56"/>
      <c r="F90" s="57"/>
      <c r="G90" s="114"/>
      <c r="H90" s="121"/>
      <c r="I90" s="114"/>
      <c r="J90" s="121"/>
      <c r="K90" s="68"/>
      <c r="L90" s="58"/>
    </row>
    <row r="91" spans="1:12" ht="24">
      <c r="A91" s="69"/>
      <c r="B91" s="60"/>
      <c r="C91" s="61"/>
      <c r="D91" s="67"/>
      <c r="E91" s="56"/>
      <c r="F91" s="57"/>
      <c r="G91" s="114"/>
      <c r="H91" s="121"/>
      <c r="I91" s="114"/>
      <c r="J91" s="121"/>
      <c r="K91" s="68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70"/>
      <c r="B93" s="1981" t="s">
        <v>69</v>
      </c>
      <c r="C93" s="1982"/>
      <c r="D93" s="1983"/>
      <c r="E93" s="71"/>
      <c r="F93" s="72"/>
      <c r="G93" s="115"/>
      <c r="H93" s="122"/>
      <c r="I93" s="115"/>
      <c r="J93" s="122"/>
      <c r="K93" s="73"/>
      <c r="L93" s="74"/>
    </row>
    <row r="94" spans="1:12" ht="24">
      <c r="A94" s="132">
        <v>3.4</v>
      </c>
      <c r="B94" s="133" t="s">
        <v>167</v>
      </c>
      <c r="C94" s="136"/>
      <c r="D94" s="137"/>
      <c r="E94" s="105"/>
      <c r="F94" s="106"/>
      <c r="G94" s="111"/>
      <c r="H94" s="117"/>
      <c r="I94" s="111"/>
      <c r="J94" s="117"/>
      <c r="K94" s="63"/>
      <c r="L94" s="107"/>
    </row>
    <row r="95" spans="1:12" ht="24">
      <c r="A95" s="52"/>
      <c r="B95" s="53"/>
      <c r="C95" s="54"/>
      <c r="D95" s="55"/>
      <c r="E95" s="56"/>
      <c r="F95" s="57"/>
      <c r="G95" s="112"/>
      <c r="H95" s="118"/>
      <c r="I95" s="123"/>
      <c r="J95" s="124"/>
      <c r="K95" s="57"/>
      <c r="L95" s="58"/>
    </row>
    <row r="96" spans="1:12" ht="24">
      <c r="A96" s="59"/>
      <c r="B96" s="60"/>
      <c r="C96" s="61"/>
      <c r="D96" s="62"/>
      <c r="E96" s="63"/>
      <c r="F96" s="64"/>
      <c r="G96" s="113"/>
      <c r="H96" s="119"/>
      <c r="I96" s="113"/>
      <c r="J96" s="120"/>
      <c r="K96" s="65"/>
      <c r="L96" s="66"/>
    </row>
    <row r="97" spans="1:12" ht="24">
      <c r="A97" s="59"/>
      <c r="B97" s="60"/>
      <c r="C97" s="61"/>
      <c r="D97" s="62"/>
      <c r="E97" s="63"/>
      <c r="F97" s="64"/>
      <c r="G97" s="113"/>
      <c r="H97" s="120"/>
      <c r="I97" s="113"/>
      <c r="J97" s="120"/>
      <c r="K97" s="65"/>
      <c r="L97" s="66"/>
    </row>
    <row r="98" spans="1:12" ht="24">
      <c r="A98" s="59"/>
      <c r="B98" s="60"/>
      <c r="C98" s="61"/>
      <c r="D98" s="67"/>
      <c r="E98" s="56"/>
      <c r="F98" s="57"/>
      <c r="G98" s="114"/>
      <c r="H98" s="121"/>
      <c r="I98" s="114"/>
      <c r="J98" s="121"/>
      <c r="K98" s="68"/>
      <c r="L98" s="58"/>
    </row>
    <row r="99" spans="1:12" ht="24">
      <c r="A99" s="59"/>
      <c r="B99" s="60"/>
      <c r="C99" s="61"/>
      <c r="D99" s="67"/>
      <c r="E99" s="56"/>
      <c r="F99" s="57"/>
      <c r="G99" s="114"/>
      <c r="H99" s="121"/>
      <c r="I99" s="114"/>
      <c r="J99" s="121"/>
      <c r="K99" s="68"/>
      <c r="L99" s="58"/>
    </row>
    <row r="100" spans="1:12" ht="24">
      <c r="A100" s="59"/>
      <c r="B100" s="60"/>
      <c r="C100" s="61"/>
      <c r="D100" s="67"/>
      <c r="E100" s="56"/>
      <c r="F100" s="57"/>
      <c r="G100" s="114"/>
      <c r="H100" s="121"/>
      <c r="I100" s="114"/>
      <c r="J100" s="121"/>
      <c r="K100" s="68"/>
      <c r="L100" s="58"/>
    </row>
    <row r="101" spans="1:12" ht="24">
      <c r="A101" s="59"/>
      <c r="B101" s="60"/>
      <c r="C101" s="61"/>
      <c r="D101" s="67"/>
      <c r="E101" s="56"/>
      <c r="F101" s="57"/>
      <c r="G101" s="114"/>
      <c r="H101" s="121"/>
      <c r="I101" s="114"/>
      <c r="J101" s="121"/>
      <c r="K101" s="68"/>
      <c r="L101" s="58"/>
    </row>
    <row r="102" spans="1:12" ht="24">
      <c r="A102" s="59"/>
      <c r="B102" s="60"/>
      <c r="C102" s="61"/>
      <c r="D102" s="67"/>
      <c r="E102" s="56"/>
      <c r="F102" s="57"/>
      <c r="G102" s="114"/>
      <c r="H102" s="121"/>
      <c r="I102" s="114"/>
      <c r="J102" s="121"/>
      <c r="K102" s="68"/>
      <c r="L102" s="58"/>
    </row>
    <row r="103" spans="1:12" ht="24">
      <c r="A103" s="59"/>
      <c r="B103" s="60"/>
      <c r="C103" s="61"/>
      <c r="D103" s="67"/>
      <c r="E103" s="56"/>
      <c r="F103" s="57"/>
      <c r="G103" s="114"/>
      <c r="H103" s="121"/>
      <c r="I103" s="114"/>
      <c r="J103" s="121"/>
      <c r="K103" s="68"/>
      <c r="L103" s="58"/>
    </row>
    <row r="104" spans="1:12" ht="24">
      <c r="A104" s="59"/>
      <c r="B104" s="60"/>
      <c r="C104" s="61"/>
      <c r="D104" s="67"/>
      <c r="E104" s="56"/>
      <c r="F104" s="57"/>
      <c r="G104" s="114"/>
      <c r="H104" s="121"/>
      <c r="I104" s="114"/>
      <c r="J104" s="121"/>
      <c r="K104" s="68"/>
      <c r="L104" s="58"/>
    </row>
    <row r="105" spans="1:12" ht="24">
      <c r="A105" s="59"/>
      <c r="B105" s="60"/>
      <c r="C105" s="61"/>
      <c r="D105" s="67"/>
      <c r="E105" s="56"/>
      <c r="F105" s="57"/>
      <c r="G105" s="114"/>
      <c r="H105" s="121"/>
      <c r="I105" s="114"/>
      <c r="J105" s="121"/>
      <c r="K105" s="68"/>
      <c r="L105" s="58"/>
    </row>
    <row r="106" spans="1:12" ht="24">
      <c r="A106" s="59"/>
      <c r="B106" s="60"/>
      <c r="C106" s="61"/>
      <c r="D106" s="67"/>
      <c r="E106" s="56"/>
      <c r="F106" s="57"/>
      <c r="G106" s="114"/>
      <c r="H106" s="121"/>
      <c r="I106" s="114"/>
      <c r="J106" s="121"/>
      <c r="K106" s="68"/>
      <c r="L106" s="58"/>
    </row>
    <row r="107" spans="1:12" ht="24">
      <c r="A107" s="59"/>
      <c r="B107" s="60"/>
      <c r="C107" s="61"/>
      <c r="D107" s="67"/>
      <c r="E107" s="56"/>
      <c r="F107" s="57"/>
      <c r="G107" s="114"/>
      <c r="H107" s="121"/>
      <c r="I107" s="114"/>
      <c r="J107" s="121"/>
      <c r="K107" s="68"/>
      <c r="L107" s="58"/>
    </row>
    <row r="108" spans="1:12" ht="24">
      <c r="A108" s="59"/>
      <c r="B108" s="60"/>
      <c r="C108" s="61"/>
      <c r="D108" s="67"/>
      <c r="E108" s="56"/>
      <c r="F108" s="57"/>
      <c r="G108" s="114"/>
      <c r="H108" s="121"/>
      <c r="I108" s="114"/>
      <c r="J108" s="121"/>
      <c r="K108" s="68"/>
      <c r="L108" s="58"/>
    </row>
    <row r="109" spans="1:12" ht="24">
      <c r="A109" s="69"/>
      <c r="B109" s="60"/>
      <c r="C109" s="61"/>
      <c r="D109" s="67"/>
      <c r="E109" s="56"/>
      <c r="F109" s="57"/>
      <c r="G109" s="114"/>
      <c r="H109" s="121"/>
      <c r="I109" s="114"/>
      <c r="J109" s="121"/>
      <c r="K109" s="68"/>
      <c r="L109" s="58"/>
    </row>
    <row r="110" spans="1:12" ht="24">
      <c r="A110" s="69"/>
      <c r="B110" s="60"/>
      <c r="C110" s="61"/>
      <c r="D110" s="67"/>
      <c r="E110" s="56"/>
      <c r="F110" s="57"/>
      <c r="G110" s="114"/>
      <c r="H110" s="121"/>
      <c r="I110" s="114"/>
      <c r="J110" s="121"/>
      <c r="K110" s="68"/>
      <c r="L110" s="58"/>
    </row>
    <row r="111" spans="1:12" ht="24">
      <c r="A111" s="69"/>
      <c r="B111" s="60"/>
      <c r="C111" s="61"/>
      <c r="D111" s="67"/>
      <c r="E111" s="56"/>
      <c r="F111" s="57"/>
      <c r="G111" s="114"/>
      <c r="H111" s="121"/>
      <c r="I111" s="114"/>
      <c r="J111" s="121"/>
      <c r="K111" s="68"/>
      <c r="L111" s="58"/>
    </row>
    <row r="112" spans="1:12" ht="24">
      <c r="A112" s="69"/>
      <c r="B112" s="60"/>
      <c r="C112" s="61"/>
      <c r="D112" s="67"/>
      <c r="E112" s="56"/>
      <c r="F112" s="57"/>
      <c r="G112" s="114"/>
      <c r="H112" s="121"/>
      <c r="I112" s="114"/>
      <c r="J112" s="121"/>
      <c r="K112" s="68"/>
      <c r="L112" s="58"/>
    </row>
    <row r="113" spans="1:12" ht="24.75" thickBot="1">
      <c r="A113" s="69"/>
      <c r="B113" s="60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12" ht="24.75" thickTop="1">
      <c r="A114" s="70"/>
      <c r="B114" s="1981" t="s">
        <v>69</v>
      </c>
      <c r="C114" s="1982"/>
      <c r="D114" s="1983"/>
      <c r="E114" s="71"/>
      <c r="F114" s="72"/>
      <c r="G114" s="115"/>
      <c r="H114" s="122"/>
      <c r="I114" s="115"/>
      <c r="J114" s="122"/>
      <c r="K114" s="73"/>
      <c r="L114" s="74"/>
    </row>
    <row r="115" spans="1:12" ht="24">
      <c r="A115" s="132">
        <v>3.5</v>
      </c>
      <c r="B115" s="133" t="s">
        <v>168</v>
      </c>
      <c r="C115" s="136"/>
      <c r="D115" s="137"/>
      <c r="E115" s="105"/>
      <c r="F115" s="106"/>
      <c r="G115" s="111"/>
      <c r="H115" s="117"/>
      <c r="I115" s="111"/>
      <c r="J115" s="117"/>
      <c r="K115" s="63"/>
      <c r="L115" s="107"/>
    </row>
    <row r="116" spans="1:12" ht="24">
      <c r="A116" s="52"/>
      <c r="B116" s="53"/>
      <c r="C116" s="54"/>
      <c r="D116" s="55"/>
      <c r="E116" s="56"/>
      <c r="F116" s="57"/>
      <c r="G116" s="112"/>
      <c r="H116" s="118"/>
      <c r="I116" s="123"/>
      <c r="J116" s="124"/>
      <c r="K116" s="57"/>
      <c r="L116" s="58"/>
    </row>
    <row r="117" spans="1:12" ht="24">
      <c r="A117" s="59"/>
      <c r="B117" s="60"/>
      <c r="C117" s="61"/>
      <c r="D117" s="62"/>
      <c r="E117" s="63"/>
      <c r="F117" s="64"/>
      <c r="G117" s="113"/>
      <c r="H117" s="119"/>
      <c r="I117" s="113"/>
      <c r="J117" s="120"/>
      <c r="K117" s="65"/>
      <c r="L117" s="66"/>
    </row>
    <row r="118" spans="1:12" ht="24">
      <c r="A118" s="59"/>
      <c r="B118" s="60"/>
      <c r="C118" s="61"/>
      <c r="D118" s="62"/>
      <c r="E118" s="63"/>
      <c r="F118" s="64"/>
      <c r="G118" s="113"/>
      <c r="H118" s="120"/>
      <c r="I118" s="113"/>
      <c r="J118" s="120"/>
      <c r="K118" s="65"/>
      <c r="L118" s="66"/>
    </row>
    <row r="119" spans="1:12" ht="24">
      <c r="A119" s="59"/>
      <c r="B119" s="60"/>
      <c r="C119" s="61"/>
      <c r="D119" s="67"/>
      <c r="E119" s="56"/>
      <c r="F119" s="57"/>
      <c r="G119" s="114"/>
      <c r="H119" s="121"/>
      <c r="I119" s="114"/>
      <c r="J119" s="121"/>
      <c r="K119" s="68"/>
      <c r="L119" s="58"/>
    </row>
    <row r="120" spans="1:12" ht="24">
      <c r="A120" s="59"/>
      <c r="B120" s="60"/>
      <c r="C120" s="61"/>
      <c r="D120" s="67"/>
      <c r="E120" s="56"/>
      <c r="F120" s="57"/>
      <c r="G120" s="114"/>
      <c r="H120" s="121"/>
      <c r="I120" s="114"/>
      <c r="J120" s="121"/>
      <c r="K120" s="68"/>
      <c r="L120" s="58"/>
    </row>
    <row r="121" spans="1:12" ht="24">
      <c r="A121" s="59"/>
      <c r="B121" s="60"/>
      <c r="C121" s="61"/>
      <c r="D121" s="67"/>
      <c r="E121" s="56"/>
      <c r="F121" s="57"/>
      <c r="G121" s="114"/>
      <c r="H121" s="121"/>
      <c r="I121" s="114"/>
      <c r="J121" s="121"/>
      <c r="K121" s="68"/>
      <c r="L121" s="58"/>
    </row>
    <row r="122" spans="1:12" ht="24">
      <c r="A122" s="59"/>
      <c r="B122" s="60"/>
      <c r="C122" s="61"/>
      <c r="D122" s="67"/>
      <c r="E122" s="56"/>
      <c r="F122" s="57"/>
      <c r="G122" s="114"/>
      <c r="H122" s="121"/>
      <c r="I122" s="114"/>
      <c r="J122" s="121"/>
      <c r="K122" s="68"/>
      <c r="L122" s="58"/>
    </row>
    <row r="123" spans="1:12" ht="24">
      <c r="A123" s="59"/>
      <c r="B123" s="60"/>
      <c r="C123" s="61"/>
      <c r="D123" s="67"/>
      <c r="E123" s="56"/>
      <c r="F123" s="57"/>
      <c r="G123" s="114"/>
      <c r="H123" s="121"/>
      <c r="I123" s="114"/>
      <c r="J123" s="121"/>
      <c r="K123" s="68"/>
      <c r="L123" s="58"/>
    </row>
    <row r="124" spans="1:12" ht="24">
      <c r="A124" s="59"/>
      <c r="B124" s="60"/>
      <c r="C124" s="61"/>
      <c r="D124" s="67"/>
      <c r="E124" s="56"/>
      <c r="F124" s="57"/>
      <c r="G124" s="114"/>
      <c r="H124" s="121"/>
      <c r="I124" s="114"/>
      <c r="J124" s="121"/>
      <c r="K124" s="68"/>
      <c r="L124" s="58"/>
    </row>
    <row r="125" spans="1:12" ht="24">
      <c r="A125" s="59"/>
      <c r="B125" s="60"/>
      <c r="C125" s="61"/>
      <c r="D125" s="67"/>
      <c r="E125" s="56"/>
      <c r="F125" s="57"/>
      <c r="G125" s="114"/>
      <c r="H125" s="121"/>
      <c r="I125" s="114"/>
      <c r="J125" s="121"/>
      <c r="K125" s="68"/>
      <c r="L125" s="58"/>
    </row>
    <row r="126" spans="1:12" ht="24">
      <c r="A126" s="59"/>
      <c r="B126" s="60"/>
      <c r="C126" s="61"/>
      <c r="D126" s="67"/>
      <c r="E126" s="56"/>
      <c r="F126" s="57"/>
      <c r="G126" s="114"/>
      <c r="H126" s="121"/>
      <c r="I126" s="114"/>
      <c r="J126" s="121"/>
      <c r="K126" s="68"/>
      <c r="L126" s="58"/>
    </row>
    <row r="127" spans="1:12" ht="24">
      <c r="A127" s="59"/>
      <c r="B127" s="60"/>
      <c r="C127" s="61"/>
      <c r="D127" s="67"/>
      <c r="E127" s="56"/>
      <c r="F127" s="57"/>
      <c r="G127" s="114"/>
      <c r="H127" s="121"/>
      <c r="I127" s="114"/>
      <c r="J127" s="121"/>
      <c r="K127" s="68"/>
      <c r="L127" s="58"/>
    </row>
    <row r="128" spans="1:12" ht="24">
      <c r="A128" s="59"/>
      <c r="B128" s="60"/>
      <c r="C128" s="61"/>
      <c r="D128" s="67"/>
      <c r="E128" s="56"/>
      <c r="F128" s="57"/>
      <c r="G128" s="114"/>
      <c r="H128" s="121"/>
      <c r="I128" s="114"/>
      <c r="J128" s="121"/>
      <c r="K128" s="68"/>
      <c r="L128" s="58"/>
    </row>
    <row r="129" spans="1:12" ht="24">
      <c r="A129" s="59"/>
      <c r="B129" s="60"/>
      <c r="C129" s="61"/>
      <c r="D129" s="67"/>
      <c r="E129" s="56"/>
      <c r="F129" s="57"/>
      <c r="G129" s="114"/>
      <c r="H129" s="121"/>
      <c r="I129" s="114"/>
      <c r="J129" s="121"/>
      <c r="K129" s="68"/>
      <c r="L129" s="58"/>
    </row>
    <row r="130" spans="1:12" ht="24">
      <c r="A130" s="69"/>
      <c r="B130" s="60"/>
      <c r="C130" s="61"/>
      <c r="D130" s="67"/>
      <c r="E130" s="56"/>
      <c r="F130" s="57"/>
      <c r="G130" s="114"/>
      <c r="H130" s="121"/>
      <c r="I130" s="114"/>
      <c r="J130" s="121"/>
      <c r="K130" s="68"/>
      <c r="L130" s="58"/>
    </row>
    <row r="131" spans="1:12" ht="24">
      <c r="A131" s="69"/>
      <c r="B131" s="60"/>
      <c r="C131" s="61"/>
      <c r="D131" s="67"/>
      <c r="E131" s="56"/>
      <c r="F131" s="57"/>
      <c r="G131" s="114"/>
      <c r="H131" s="121"/>
      <c r="I131" s="114"/>
      <c r="J131" s="121"/>
      <c r="K131" s="68"/>
      <c r="L131" s="58"/>
    </row>
    <row r="132" spans="1:12" ht="24">
      <c r="A132" s="69"/>
      <c r="B132" s="60"/>
      <c r="C132" s="61"/>
      <c r="D132" s="67"/>
      <c r="E132" s="56"/>
      <c r="F132" s="57"/>
      <c r="G132" s="114"/>
      <c r="H132" s="121"/>
      <c r="I132" s="114"/>
      <c r="J132" s="121"/>
      <c r="K132" s="68"/>
      <c r="L132" s="58"/>
    </row>
    <row r="133" spans="1:12" ht="24">
      <c r="A133" s="69"/>
      <c r="B133" s="60"/>
      <c r="C133" s="61"/>
      <c r="D133" s="67"/>
      <c r="E133" s="56"/>
      <c r="F133" s="57"/>
      <c r="G133" s="114"/>
      <c r="H133" s="121"/>
      <c r="I133" s="114"/>
      <c r="J133" s="121"/>
      <c r="K133" s="68"/>
      <c r="L133" s="58"/>
    </row>
    <row r="134" spans="1:12" ht="24.75" thickBot="1">
      <c r="A134" s="69"/>
      <c r="B134" s="60"/>
      <c r="C134" s="61"/>
      <c r="D134" s="67"/>
      <c r="E134" s="56"/>
      <c r="F134" s="57"/>
      <c r="G134" s="114"/>
      <c r="H134" s="121"/>
      <c r="I134" s="114"/>
      <c r="J134" s="121"/>
      <c r="K134" s="68"/>
      <c r="L134" s="58"/>
    </row>
    <row r="135" spans="1:12" ht="24.75" thickTop="1">
      <c r="A135" s="70"/>
      <c r="B135" s="1981" t="s">
        <v>69</v>
      </c>
      <c r="C135" s="1982"/>
      <c r="D135" s="1983"/>
      <c r="E135" s="71"/>
      <c r="F135" s="72"/>
      <c r="G135" s="115"/>
      <c r="H135" s="122"/>
      <c r="I135" s="115"/>
      <c r="J135" s="122"/>
      <c r="K135" s="73"/>
      <c r="L135" s="74"/>
    </row>
    <row r="136" spans="1:12" ht="24">
      <c r="A136" s="104"/>
      <c r="B136" s="135"/>
      <c r="C136" s="136"/>
      <c r="D136" s="137"/>
      <c r="E136" s="105"/>
      <c r="F136" s="106"/>
      <c r="G136" s="111"/>
      <c r="H136" s="117"/>
      <c r="I136" s="111"/>
      <c r="J136" s="117"/>
      <c r="K136" s="63"/>
      <c r="L136" s="107"/>
    </row>
    <row r="137" spans="1:12" ht="24">
      <c r="A137" s="52"/>
      <c r="B137" s="53"/>
      <c r="C137" s="54"/>
      <c r="D137" s="55"/>
      <c r="E137" s="56"/>
      <c r="F137" s="57"/>
      <c r="G137" s="112"/>
      <c r="H137" s="118"/>
      <c r="I137" s="123"/>
      <c r="J137" s="124"/>
      <c r="K137" s="57"/>
      <c r="L137" s="58"/>
    </row>
    <row r="138" spans="1:12" ht="24">
      <c r="A138" s="59"/>
      <c r="B138" s="60"/>
      <c r="C138" s="61"/>
      <c r="D138" s="62"/>
      <c r="E138" s="63"/>
      <c r="F138" s="64"/>
      <c r="G138" s="113"/>
      <c r="H138" s="119"/>
      <c r="I138" s="113"/>
      <c r="J138" s="120"/>
      <c r="K138" s="65"/>
      <c r="L138" s="66"/>
    </row>
    <row r="139" spans="1:12" ht="24">
      <c r="A139" s="59"/>
      <c r="B139" s="60"/>
      <c r="C139" s="61"/>
      <c r="D139" s="62"/>
      <c r="E139" s="63"/>
      <c r="F139" s="64"/>
      <c r="G139" s="113"/>
      <c r="H139" s="120"/>
      <c r="I139" s="113"/>
      <c r="J139" s="120"/>
      <c r="K139" s="65"/>
      <c r="L139" s="66"/>
    </row>
    <row r="140" spans="1:12" ht="24">
      <c r="A140" s="59"/>
      <c r="B140" s="60"/>
      <c r="C140" s="61"/>
      <c r="D140" s="67"/>
      <c r="E140" s="56"/>
      <c r="F140" s="57"/>
      <c r="G140" s="114"/>
      <c r="H140" s="121"/>
      <c r="I140" s="114"/>
      <c r="J140" s="121"/>
      <c r="K140" s="68"/>
      <c r="L140" s="58"/>
    </row>
    <row r="141" spans="1:12" ht="24">
      <c r="A141" s="59"/>
      <c r="B141" s="60"/>
      <c r="C141" s="61"/>
      <c r="D141" s="67"/>
      <c r="E141" s="56"/>
      <c r="F141" s="57"/>
      <c r="G141" s="114"/>
      <c r="H141" s="121"/>
      <c r="I141" s="114"/>
      <c r="J141" s="121"/>
      <c r="K141" s="68"/>
      <c r="L141" s="58"/>
    </row>
    <row r="142" spans="1:12" ht="24">
      <c r="A142" s="59"/>
      <c r="B142" s="60"/>
      <c r="C142" s="61"/>
      <c r="D142" s="67"/>
      <c r="E142" s="56"/>
      <c r="F142" s="57"/>
      <c r="G142" s="114"/>
      <c r="H142" s="121"/>
      <c r="I142" s="114"/>
      <c r="J142" s="121"/>
      <c r="K142" s="68"/>
      <c r="L142" s="58"/>
    </row>
    <row r="143" spans="1:12" ht="24">
      <c r="A143" s="59"/>
      <c r="B143" s="60"/>
      <c r="C143" s="61"/>
      <c r="D143" s="67"/>
      <c r="E143" s="56"/>
      <c r="F143" s="57"/>
      <c r="G143" s="114"/>
      <c r="H143" s="121"/>
      <c r="I143" s="114"/>
      <c r="J143" s="121"/>
      <c r="K143" s="68"/>
      <c r="L143" s="58"/>
    </row>
    <row r="144" spans="1:12" ht="24">
      <c r="A144" s="59"/>
      <c r="B144" s="60"/>
      <c r="C144" s="61"/>
      <c r="D144" s="67"/>
      <c r="E144" s="56"/>
      <c r="F144" s="57"/>
      <c r="G144" s="114"/>
      <c r="H144" s="121"/>
      <c r="I144" s="114"/>
      <c r="J144" s="121"/>
      <c r="K144" s="68"/>
      <c r="L144" s="58"/>
    </row>
    <row r="145" spans="1:12" ht="24">
      <c r="A145" s="59"/>
      <c r="B145" s="60"/>
      <c r="C145" s="61"/>
      <c r="D145" s="67"/>
      <c r="E145" s="56"/>
      <c r="F145" s="57"/>
      <c r="G145" s="114"/>
      <c r="H145" s="121"/>
      <c r="I145" s="114"/>
      <c r="J145" s="121"/>
      <c r="K145" s="68"/>
      <c r="L145" s="58"/>
    </row>
    <row r="146" spans="1:12" ht="24">
      <c r="A146" s="59"/>
      <c r="B146" s="60"/>
      <c r="C146" s="61"/>
      <c r="D146" s="67"/>
      <c r="E146" s="56"/>
      <c r="F146" s="57"/>
      <c r="G146" s="114"/>
      <c r="H146" s="121"/>
      <c r="I146" s="114"/>
      <c r="J146" s="121"/>
      <c r="K146" s="68"/>
      <c r="L146" s="58"/>
    </row>
    <row r="147" spans="1:12" ht="24">
      <c r="A147" s="59"/>
      <c r="B147" s="60"/>
      <c r="C147" s="61"/>
      <c r="D147" s="67"/>
      <c r="E147" s="56"/>
      <c r="F147" s="57"/>
      <c r="G147" s="114"/>
      <c r="H147" s="121"/>
      <c r="I147" s="114"/>
      <c r="J147" s="121"/>
      <c r="K147" s="68"/>
      <c r="L147" s="58"/>
    </row>
    <row r="148" spans="1:12" ht="24">
      <c r="A148" s="59"/>
      <c r="B148" s="60"/>
      <c r="C148" s="61"/>
      <c r="D148" s="67"/>
      <c r="E148" s="56"/>
      <c r="F148" s="57"/>
      <c r="G148" s="114"/>
      <c r="H148" s="121"/>
      <c r="I148" s="114"/>
      <c r="J148" s="121"/>
      <c r="K148" s="68"/>
      <c r="L148" s="58"/>
    </row>
    <row r="149" spans="1:12" ht="24">
      <c r="A149" s="59"/>
      <c r="B149" s="60"/>
      <c r="C149" s="61"/>
      <c r="D149" s="67"/>
      <c r="E149" s="56"/>
      <c r="F149" s="57"/>
      <c r="G149" s="114"/>
      <c r="H149" s="121"/>
      <c r="I149" s="114"/>
      <c r="J149" s="121"/>
      <c r="K149" s="68"/>
      <c r="L149" s="58"/>
    </row>
    <row r="150" spans="1:12" ht="24">
      <c r="A150" s="59"/>
      <c r="B150" s="60"/>
      <c r="C150" s="61"/>
      <c r="D150" s="67"/>
      <c r="E150" s="56"/>
      <c r="F150" s="57"/>
      <c r="G150" s="114"/>
      <c r="H150" s="121"/>
      <c r="I150" s="114"/>
      <c r="J150" s="121"/>
      <c r="K150" s="68"/>
      <c r="L150" s="58"/>
    </row>
    <row r="151" spans="1:12" ht="24">
      <c r="A151" s="69"/>
      <c r="B151" s="60"/>
      <c r="C151" s="61"/>
      <c r="D151" s="67"/>
      <c r="E151" s="56"/>
      <c r="F151" s="57"/>
      <c r="G151" s="114"/>
      <c r="H151" s="121"/>
      <c r="I151" s="114"/>
      <c r="J151" s="121"/>
      <c r="K151" s="68"/>
      <c r="L151" s="58"/>
    </row>
    <row r="152" spans="1:12" ht="24">
      <c r="A152" s="69"/>
      <c r="B152" s="60"/>
      <c r="C152" s="61"/>
      <c r="D152" s="67"/>
      <c r="E152" s="56"/>
      <c r="F152" s="57"/>
      <c r="G152" s="114"/>
      <c r="H152" s="121"/>
      <c r="I152" s="114"/>
      <c r="J152" s="121"/>
      <c r="K152" s="68"/>
      <c r="L152" s="58"/>
    </row>
    <row r="153" spans="1:12" ht="24">
      <c r="A153" s="69"/>
      <c r="B153" s="60"/>
      <c r="C153" s="61"/>
      <c r="D153" s="67"/>
      <c r="E153" s="56"/>
      <c r="F153" s="57"/>
      <c r="G153" s="114"/>
      <c r="H153" s="121"/>
      <c r="I153" s="114"/>
      <c r="J153" s="121"/>
      <c r="K153" s="68"/>
      <c r="L153" s="58"/>
    </row>
    <row r="154" spans="1:12" ht="24">
      <c r="A154" s="69"/>
      <c r="B154" s="60"/>
      <c r="C154" s="61"/>
      <c r="D154" s="67"/>
      <c r="E154" s="56"/>
      <c r="F154" s="57"/>
      <c r="G154" s="114"/>
      <c r="H154" s="121"/>
      <c r="I154" s="114"/>
      <c r="J154" s="121"/>
      <c r="K154" s="68"/>
      <c r="L154" s="58"/>
    </row>
    <row r="155" spans="1:12" ht="24.75" thickBot="1">
      <c r="A155" s="69"/>
      <c r="B155" s="60"/>
      <c r="C155" s="61"/>
      <c r="D155" s="67"/>
      <c r="E155" s="56"/>
      <c r="F155" s="57"/>
      <c r="G155" s="114"/>
      <c r="H155" s="121"/>
      <c r="I155" s="114"/>
      <c r="J155" s="121"/>
      <c r="K155" s="68"/>
      <c r="L155" s="58"/>
    </row>
    <row r="156" spans="1:12" ht="24.75" thickTop="1">
      <c r="A156" s="70"/>
      <c r="B156" s="1981" t="s">
        <v>69</v>
      </c>
      <c r="C156" s="1982"/>
      <c r="D156" s="1983"/>
      <c r="E156" s="71"/>
      <c r="F156" s="72"/>
      <c r="G156" s="115"/>
      <c r="H156" s="122"/>
      <c r="I156" s="115"/>
      <c r="J156" s="122"/>
      <c r="K156" s="73"/>
      <c r="L156" s="74"/>
    </row>
    <row r="157" spans="1:12" ht="24">
      <c r="A157" s="104"/>
      <c r="B157" s="135"/>
      <c r="C157" s="136"/>
      <c r="D157" s="137"/>
      <c r="E157" s="105"/>
      <c r="F157" s="106"/>
      <c r="G157" s="111"/>
      <c r="H157" s="117"/>
      <c r="I157" s="111"/>
      <c r="J157" s="117"/>
      <c r="K157" s="63"/>
      <c r="L157" s="107"/>
    </row>
    <row r="158" spans="1:12" ht="24">
      <c r="A158" s="52"/>
      <c r="B158" s="53"/>
      <c r="C158" s="54"/>
      <c r="D158" s="55"/>
      <c r="E158" s="56"/>
      <c r="F158" s="57"/>
      <c r="G158" s="112"/>
      <c r="H158" s="118"/>
      <c r="I158" s="123"/>
      <c r="J158" s="124"/>
      <c r="K158" s="57"/>
      <c r="L158" s="58"/>
    </row>
    <row r="159" spans="1:12" ht="24">
      <c r="A159" s="59"/>
      <c r="B159" s="60"/>
      <c r="C159" s="61"/>
      <c r="D159" s="62"/>
      <c r="E159" s="63"/>
      <c r="F159" s="64"/>
      <c r="G159" s="113"/>
      <c r="H159" s="119"/>
      <c r="I159" s="113"/>
      <c r="J159" s="120"/>
      <c r="K159" s="65"/>
      <c r="L159" s="66"/>
    </row>
    <row r="160" spans="1:12" ht="24">
      <c r="A160" s="59"/>
      <c r="B160" s="60"/>
      <c r="C160" s="61"/>
      <c r="D160" s="62"/>
      <c r="E160" s="63"/>
      <c r="F160" s="64"/>
      <c r="G160" s="113"/>
      <c r="H160" s="120"/>
      <c r="I160" s="113"/>
      <c r="J160" s="120"/>
      <c r="K160" s="65"/>
      <c r="L160" s="66"/>
    </row>
    <row r="161" spans="1:12" ht="24">
      <c r="A161" s="59"/>
      <c r="B161" s="60"/>
      <c r="C161" s="61"/>
      <c r="D161" s="67"/>
      <c r="E161" s="56"/>
      <c r="F161" s="57"/>
      <c r="G161" s="114"/>
      <c r="H161" s="121"/>
      <c r="I161" s="114"/>
      <c r="J161" s="121"/>
      <c r="K161" s="68"/>
      <c r="L161" s="58"/>
    </row>
    <row r="162" spans="1:12" ht="24">
      <c r="A162" s="59"/>
      <c r="B162" s="60"/>
      <c r="C162" s="61"/>
      <c r="D162" s="67"/>
      <c r="E162" s="56"/>
      <c r="F162" s="57"/>
      <c r="G162" s="114"/>
      <c r="H162" s="121"/>
      <c r="I162" s="114"/>
      <c r="J162" s="121"/>
      <c r="K162" s="68"/>
      <c r="L162" s="58"/>
    </row>
    <row r="163" spans="1:12" ht="24">
      <c r="A163" s="59"/>
      <c r="B163" s="60"/>
      <c r="C163" s="61"/>
      <c r="D163" s="67"/>
      <c r="E163" s="56"/>
      <c r="F163" s="57"/>
      <c r="G163" s="114"/>
      <c r="H163" s="121"/>
      <c r="I163" s="114"/>
      <c r="J163" s="121"/>
      <c r="K163" s="68"/>
      <c r="L163" s="58"/>
    </row>
    <row r="164" spans="1:12" ht="24">
      <c r="A164" s="59"/>
      <c r="B164" s="60"/>
      <c r="C164" s="61"/>
      <c r="D164" s="67"/>
      <c r="E164" s="56"/>
      <c r="F164" s="57"/>
      <c r="G164" s="114"/>
      <c r="H164" s="121"/>
      <c r="I164" s="114"/>
      <c r="J164" s="121"/>
      <c r="K164" s="68"/>
      <c r="L164" s="58"/>
    </row>
    <row r="165" spans="1:12" ht="24">
      <c r="A165" s="59"/>
      <c r="B165" s="60"/>
      <c r="C165" s="61"/>
      <c r="D165" s="67"/>
      <c r="E165" s="56"/>
      <c r="F165" s="57"/>
      <c r="G165" s="114"/>
      <c r="H165" s="121"/>
      <c r="I165" s="114"/>
      <c r="J165" s="121"/>
      <c r="K165" s="68"/>
      <c r="L165" s="58"/>
    </row>
    <row r="166" spans="1:12" ht="24">
      <c r="A166" s="59"/>
      <c r="B166" s="60"/>
      <c r="C166" s="61"/>
      <c r="D166" s="67"/>
      <c r="E166" s="56"/>
      <c r="F166" s="57"/>
      <c r="G166" s="114"/>
      <c r="H166" s="121"/>
      <c r="I166" s="114"/>
      <c r="J166" s="121"/>
      <c r="K166" s="68"/>
      <c r="L166" s="58"/>
    </row>
    <row r="167" spans="1:12" ht="24">
      <c r="A167" s="59"/>
      <c r="B167" s="60"/>
      <c r="C167" s="61"/>
      <c r="D167" s="67"/>
      <c r="E167" s="56"/>
      <c r="F167" s="57"/>
      <c r="G167" s="114"/>
      <c r="H167" s="121"/>
      <c r="I167" s="114"/>
      <c r="J167" s="121"/>
      <c r="K167" s="68"/>
      <c r="L167" s="58"/>
    </row>
    <row r="168" spans="1:12" ht="24">
      <c r="A168" s="59"/>
      <c r="B168" s="60"/>
      <c r="C168" s="61"/>
      <c r="D168" s="67"/>
      <c r="E168" s="56"/>
      <c r="F168" s="57"/>
      <c r="G168" s="114"/>
      <c r="H168" s="121"/>
      <c r="I168" s="114"/>
      <c r="J168" s="121"/>
      <c r="K168" s="68"/>
      <c r="L168" s="58"/>
    </row>
    <row r="169" spans="1:12" ht="24">
      <c r="A169" s="59"/>
      <c r="B169" s="60"/>
      <c r="C169" s="61"/>
      <c r="D169" s="67"/>
      <c r="E169" s="56"/>
      <c r="F169" s="57"/>
      <c r="G169" s="114"/>
      <c r="H169" s="121"/>
      <c r="I169" s="114"/>
      <c r="J169" s="121"/>
      <c r="K169" s="68"/>
      <c r="L169" s="58"/>
    </row>
    <row r="170" spans="1:12" ht="24">
      <c r="A170" s="59"/>
      <c r="B170" s="60"/>
      <c r="C170" s="61"/>
      <c r="D170" s="67"/>
      <c r="E170" s="56"/>
      <c r="F170" s="57"/>
      <c r="G170" s="114"/>
      <c r="H170" s="121"/>
      <c r="I170" s="114"/>
      <c r="J170" s="121"/>
      <c r="K170" s="68"/>
      <c r="L170" s="58"/>
    </row>
    <row r="171" spans="1:12" ht="24">
      <c r="A171" s="59"/>
      <c r="B171" s="60"/>
      <c r="C171" s="61"/>
      <c r="D171" s="67"/>
      <c r="E171" s="56"/>
      <c r="F171" s="57"/>
      <c r="G171" s="114"/>
      <c r="H171" s="121"/>
      <c r="I171" s="114"/>
      <c r="J171" s="121"/>
      <c r="K171" s="68"/>
      <c r="L171" s="58"/>
    </row>
    <row r="172" spans="1:12" ht="24">
      <c r="A172" s="69"/>
      <c r="B172" s="60"/>
      <c r="C172" s="61"/>
      <c r="D172" s="67"/>
      <c r="E172" s="56"/>
      <c r="F172" s="57"/>
      <c r="G172" s="114"/>
      <c r="H172" s="121"/>
      <c r="I172" s="114"/>
      <c r="J172" s="121"/>
      <c r="K172" s="68"/>
      <c r="L172" s="58"/>
    </row>
    <row r="173" spans="1:12" ht="24">
      <c r="A173" s="69"/>
      <c r="B173" s="60"/>
      <c r="C173" s="61"/>
      <c r="D173" s="67"/>
      <c r="E173" s="56"/>
      <c r="F173" s="57"/>
      <c r="G173" s="114"/>
      <c r="H173" s="121"/>
      <c r="I173" s="114"/>
      <c r="J173" s="121"/>
      <c r="K173" s="68"/>
      <c r="L173" s="58"/>
    </row>
    <row r="174" spans="1:12" ht="24">
      <c r="A174" s="69"/>
      <c r="B174" s="60"/>
      <c r="C174" s="61"/>
      <c r="D174" s="67"/>
      <c r="E174" s="56"/>
      <c r="F174" s="57"/>
      <c r="G174" s="114"/>
      <c r="H174" s="121"/>
      <c r="I174" s="114"/>
      <c r="J174" s="121"/>
      <c r="K174" s="68"/>
      <c r="L174" s="58"/>
    </row>
    <row r="175" spans="1:12" ht="24">
      <c r="A175" s="69"/>
      <c r="B175" s="60"/>
      <c r="C175" s="61"/>
      <c r="D175" s="67"/>
      <c r="E175" s="56"/>
      <c r="F175" s="57"/>
      <c r="G175" s="114"/>
      <c r="H175" s="121"/>
      <c r="I175" s="114"/>
      <c r="J175" s="121"/>
      <c r="K175" s="68"/>
      <c r="L175" s="58"/>
    </row>
    <row r="176" spans="1:12" ht="24.75" thickBot="1">
      <c r="A176" s="69"/>
      <c r="B176" s="60"/>
      <c r="C176" s="61"/>
      <c r="D176" s="67"/>
      <c r="E176" s="56"/>
      <c r="F176" s="57"/>
      <c r="G176" s="114"/>
      <c r="H176" s="121"/>
      <c r="I176" s="114"/>
      <c r="J176" s="121"/>
      <c r="K176" s="68"/>
      <c r="L176" s="58"/>
    </row>
    <row r="177" spans="1:12" ht="24.75" thickTop="1">
      <c r="A177" s="70"/>
      <c r="B177" s="1981" t="s">
        <v>69</v>
      </c>
      <c r="C177" s="1982"/>
      <c r="D177" s="1983"/>
      <c r="E177" s="71"/>
      <c r="F177" s="72"/>
      <c r="G177" s="115"/>
      <c r="H177" s="122"/>
      <c r="I177" s="115"/>
      <c r="J177" s="122"/>
      <c r="K177" s="73"/>
      <c r="L177" s="74"/>
    </row>
    <row r="178" spans="1:12" ht="24">
      <c r="A178" s="104"/>
      <c r="B178" s="135"/>
      <c r="C178" s="136"/>
      <c r="D178" s="137"/>
      <c r="E178" s="105"/>
      <c r="F178" s="106"/>
      <c r="G178" s="111"/>
      <c r="H178" s="117"/>
      <c r="I178" s="111"/>
      <c r="J178" s="117"/>
      <c r="K178" s="63"/>
      <c r="L178" s="107"/>
    </row>
    <row r="179" spans="1:12" ht="24">
      <c r="A179" s="52"/>
      <c r="B179" s="53"/>
      <c r="C179" s="54"/>
      <c r="D179" s="55"/>
      <c r="E179" s="56"/>
      <c r="F179" s="57"/>
      <c r="G179" s="112"/>
      <c r="H179" s="118"/>
      <c r="I179" s="123"/>
      <c r="J179" s="124"/>
      <c r="K179" s="57"/>
      <c r="L179" s="58"/>
    </row>
    <row r="180" spans="1:12" ht="24">
      <c r="A180" s="59"/>
      <c r="B180" s="60"/>
      <c r="C180" s="61"/>
      <c r="D180" s="62"/>
      <c r="E180" s="63"/>
      <c r="F180" s="64"/>
      <c r="G180" s="113"/>
      <c r="H180" s="119"/>
      <c r="I180" s="113"/>
      <c r="J180" s="120"/>
      <c r="K180" s="65"/>
      <c r="L180" s="66"/>
    </row>
    <row r="181" spans="1:12" ht="24">
      <c r="A181" s="59"/>
      <c r="B181" s="60"/>
      <c r="C181" s="61"/>
      <c r="D181" s="62"/>
      <c r="E181" s="63"/>
      <c r="F181" s="64"/>
      <c r="G181" s="113"/>
      <c r="H181" s="120"/>
      <c r="I181" s="113"/>
      <c r="J181" s="120"/>
      <c r="K181" s="65"/>
      <c r="L181" s="66"/>
    </row>
    <row r="182" spans="1:12" ht="24">
      <c r="A182" s="59"/>
      <c r="B182" s="60"/>
      <c r="C182" s="61"/>
      <c r="D182" s="67"/>
      <c r="E182" s="56"/>
      <c r="F182" s="57"/>
      <c r="G182" s="114"/>
      <c r="H182" s="121"/>
      <c r="I182" s="114"/>
      <c r="J182" s="121"/>
      <c r="K182" s="68"/>
      <c r="L182" s="58"/>
    </row>
    <row r="183" spans="1:12" ht="24">
      <c r="A183" s="59"/>
      <c r="B183" s="60"/>
      <c r="C183" s="61"/>
      <c r="D183" s="67"/>
      <c r="E183" s="56"/>
      <c r="F183" s="57"/>
      <c r="G183" s="114"/>
      <c r="H183" s="121"/>
      <c r="I183" s="114"/>
      <c r="J183" s="121"/>
      <c r="K183" s="68"/>
      <c r="L183" s="58"/>
    </row>
    <row r="184" spans="1:12" ht="24">
      <c r="A184" s="59"/>
      <c r="B184" s="60"/>
      <c r="C184" s="61"/>
      <c r="D184" s="67"/>
      <c r="E184" s="56"/>
      <c r="F184" s="57"/>
      <c r="G184" s="114"/>
      <c r="H184" s="121"/>
      <c r="I184" s="114"/>
      <c r="J184" s="121"/>
      <c r="K184" s="68"/>
      <c r="L184" s="58"/>
    </row>
    <row r="185" spans="1:12" ht="24">
      <c r="A185" s="59"/>
      <c r="B185" s="60"/>
      <c r="C185" s="61"/>
      <c r="D185" s="67"/>
      <c r="E185" s="56"/>
      <c r="F185" s="57"/>
      <c r="G185" s="114"/>
      <c r="H185" s="121"/>
      <c r="I185" s="114"/>
      <c r="J185" s="121"/>
      <c r="K185" s="68"/>
      <c r="L185" s="58"/>
    </row>
    <row r="186" spans="1:12" ht="24">
      <c r="A186" s="59"/>
      <c r="B186" s="60"/>
      <c r="C186" s="61"/>
      <c r="D186" s="67"/>
      <c r="E186" s="56"/>
      <c r="F186" s="57"/>
      <c r="G186" s="114"/>
      <c r="H186" s="121"/>
      <c r="I186" s="114"/>
      <c r="J186" s="121"/>
      <c r="K186" s="68"/>
      <c r="L186" s="58"/>
    </row>
    <row r="187" spans="1:12" ht="24">
      <c r="A187" s="59"/>
      <c r="B187" s="60"/>
      <c r="C187" s="61"/>
      <c r="D187" s="67"/>
      <c r="E187" s="56"/>
      <c r="F187" s="57"/>
      <c r="G187" s="114"/>
      <c r="H187" s="121"/>
      <c r="I187" s="114"/>
      <c r="J187" s="121"/>
      <c r="K187" s="68"/>
      <c r="L187" s="58"/>
    </row>
    <row r="188" spans="1:12" ht="24">
      <c r="A188" s="59"/>
      <c r="B188" s="60"/>
      <c r="C188" s="61"/>
      <c r="D188" s="67"/>
      <c r="E188" s="56"/>
      <c r="F188" s="57"/>
      <c r="G188" s="114"/>
      <c r="H188" s="121"/>
      <c r="I188" s="114"/>
      <c r="J188" s="121"/>
      <c r="K188" s="68"/>
      <c r="L188" s="58"/>
    </row>
    <row r="189" spans="1:12" ht="24">
      <c r="A189" s="59"/>
      <c r="B189" s="60"/>
      <c r="C189" s="61"/>
      <c r="D189" s="67"/>
      <c r="E189" s="56"/>
      <c r="F189" s="57"/>
      <c r="G189" s="114"/>
      <c r="H189" s="121"/>
      <c r="I189" s="114"/>
      <c r="J189" s="121"/>
      <c r="K189" s="68"/>
      <c r="L189" s="58"/>
    </row>
    <row r="190" spans="1:12" ht="24">
      <c r="A190" s="59"/>
      <c r="B190" s="60"/>
      <c r="C190" s="61"/>
      <c r="D190" s="67"/>
      <c r="E190" s="56"/>
      <c r="F190" s="57"/>
      <c r="G190" s="114"/>
      <c r="H190" s="121"/>
      <c r="I190" s="114"/>
      <c r="J190" s="121"/>
      <c r="K190" s="68"/>
      <c r="L190" s="58"/>
    </row>
    <row r="191" spans="1:12" ht="24">
      <c r="A191" s="59"/>
      <c r="B191" s="60"/>
      <c r="C191" s="61"/>
      <c r="D191" s="67"/>
      <c r="E191" s="56"/>
      <c r="F191" s="57"/>
      <c r="G191" s="114"/>
      <c r="H191" s="121"/>
      <c r="I191" s="114"/>
      <c r="J191" s="121"/>
      <c r="K191" s="68"/>
      <c r="L191" s="58"/>
    </row>
    <row r="192" spans="1:12" ht="24">
      <c r="A192" s="59"/>
      <c r="B192" s="60"/>
      <c r="C192" s="61"/>
      <c r="D192" s="67"/>
      <c r="E192" s="56"/>
      <c r="F192" s="57"/>
      <c r="G192" s="114"/>
      <c r="H192" s="121"/>
      <c r="I192" s="114"/>
      <c r="J192" s="121"/>
      <c r="K192" s="68"/>
      <c r="L192" s="58"/>
    </row>
    <row r="193" spans="1:12" ht="24">
      <c r="A193" s="69"/>
      <c r="B193" s="60"/>
      <c r="C193" s="61"/>
      <c r="D193" s="67"/>
      <c r="E193" s="56"/>
      <c r="F193" s="57"/>
      <c r="G193" s="114"/>
      <c r="H193" s="121"/>
      <c r="I193" s="114"/>
      <c r="J193" s="121"/>
      <c r="K193" s="68"/>
      <c r="L193" s="58"/>
    </row>
    <row r="194" spans="1:12" ht="24">
      <c r="A194" s="69"/>
      <c r="B194" s="60"/>
      <c r="C194" s="61"/>
      <c r="D194" s="67"/>
      <c r="E194" s="56"/>
      <c r="F194" s="57"/>
      <c r="G194" s="114"/>
      <c r="H194" s="121"/>
      <c r="I194" s="114"/>
      <c r="J194" s="121"/>
      <c r="K194" s="68"/>
      <c r="L194" s="58"/>
    </row>
    <row r="195" spans="1:12" ht="24">
      <c r="A195" s="69"/>
      <c r="B195" s="60"/>
      <c r="C195" s="61"/>
      <c r="D195" s="67"/>
      <c r="E195" s="56"/>
      <c r="F195" s="57"/>
      <c r="G195" s="114"/>
      <c r="H195" s="121"/>
      <c r="I195" s="114"/>
      <c r="J195" s="121"/>
      <c r="K195" s="68"/>
      <c r="L195" s="58"/>
    </row>
    <row r="196" spans="1:12" ht="24">
      <c r="A196" s="69"/>
      <c r="B196" s="60"/>
      <c r="C196" s="61"/>
      <c r="D196" s="67"/>
      <c r="E196" s="56"/>
      <c r="F196" s="57"/>
      <c r="G196" s="114"/>
      <c r="H196" s="121"/>
      <c r="I196" s="114"/>
      <c r="J196" s="121"/>
      <c r="K196" s="68"/>
      <c r="L196" s="58"/>
    </row>
    <row r="197" spans="1:12" ht="24.75" thickBot="1">
      <c r="A197" s="69"/>
      <c r="B197" s="60"/>
      <c r="C197" s="61"/>
      <c r="D197" s="67"/>
      <c r="E197" s="56"/>
      <c r="F197" s="57"/>
      <c r="G197" s="114"/>
      <c r="H197" s="121"/>
      <c r="I197" s="114"/>
      <c r="J197" s="121"/>
      <c r="K197" s="68"/>
      <c r="L197" s="58"/>
    </row>
    <row r="198" spans="1:12" ht="24.75" thickTop="1">
      <c r="A198" s="70"/>
      <c r="B198" s="1981" t="s">
        <v>69</v>
      </c>
      <c r="C198" s="1982"/>
      <c r="D198" s="1983"/>
      <c r="E198" s="71"/>
      <c r="F198" s="72"/>
      <c r="G198" s="115"/>
      <c r="H198" s="122"/>
      <c r="I198" s="115"/>
      <c r="J198" s="122"/>
      <c r="K198" s="73"/>
      <c r="L198" s="74"/>
    </row>
    <row r="199" spans="1:12" ht="24">
      <c r="A199" s="104"/>
      <c r="B199" s="135"/>
      <c r="C199" s="136"/>
      <c r="D199" s="137"/>
      <c r="E199" s="105"/>
      <c r="F199" s="106"/>
      <c r="G199" s="111"/>
      <c r="H199" s="117"/>
      <c r="I199" s="111"/>
      <c r="J199" s="117"/>
      <c r="K199" s="63"/>
      <c r="L199" s="107"/>
    </row>
    <row r="200" spans="1:12" ht="24">
      <c r="A200" s="52"/>
      <c r="B200" s="53"/>
      <c r="C200" s="54"/>
      <c r="D200" s="55"/>
      <c r="E200" s="56"/>
      <c r="F200" s="57"/>
      <c r="G200" s="112"/>
      <c r="H200" s="118"/>
      <c r="I200" s="123"/>
      <c r="J200" s="124"/>
      <c r="K200" s="57"/>
      <c r="L200" s="58"/>
    </row>
    <row r="201" spans="1:12" ht="24">
      <c r="A201" s="59"/>
      <c r="B201" s="60"/>
      <c r="C201" s="61"/>
      <c r="D201" s="62"/>
      <c r="E201" s="63"/>
      <c r="F201" s="64"/>
      <c r="G201" s="113"/>
      <c r="H201" s="119"/>
      <c r="I201" s="113"/>
      <c r="J201" s="120"/>
      <c r="K201" s="65"/>
      <c r="L201" s="66"/>
    </row>
    <row r="202" spans="1:12" ht="24">
      <c r="A202" s="59"/>
      <c r="B202" s="60"/>
      <c r="C202" s="61"/>
      <c r="D202" s="62"/>
      <c r="E202" s="63"/>
      <c r="F202" s="64"/>
      <c r="G202" s="113"/>
      <c r="H202" s="120"/>
      <c r="I202" s="113"/>
      <c r="J202" s="120"/>
      <c r="K202" s="65"/>
      <c r="L202" s="66"/>
    </row>
    <row r="203" spans="1:12" ht="24">
      <c r="A203" s="59"/>
      <c r="B203" s="60"/>
      <c r="C203" s="61"/>
      <c r="D203" s="67"/>
      <c r="E203" s="56"/>
      <c r="F203" s="57"/>
      <c r="G203" s="114"/>
      <c r="H203" s="121"/>
      <c r="I203" s="114"/>
      <c r="J203" s="121"/>
      <c r="K203" s="68"/>
      <c r="L203" s="58"/>
    </row>
    <row r="204" spans="1:12" ht="24">
      <c r="A204" s="59"/>
      <c r="B204" s="60"/>
      <c r="C204" s="61"/>
      <c r="D204" s="67"/>
      <c r="E204" s="56"/>
      <c r="F204" s="57"/>
      <c r="G204" s="114"/>
      <c r="H204" s="121"/>
      <c r="I204" s="114"/>
      <c r="J204" s="121"/>
      <c r="K204" s="68"/>
      <c r="L204" s="58"/>
    </row>
    <row r="205" spans="1:12" ht="24">
      <c r="A205" s="59"/>
      <c r="B205" s="60"/>
      <c r="C205" s="61"/>
      <c r="D205" s="67"/>
      <c r="E205" s="56"/>
      <c r="F205" s="57"/>
      <c r="G205" s="114"/>
      <c r="H205" s="121"/>
      <c r="I205" s="114"/>
      <c r="J205" s="121"/>
      <c r="K205" s="68"/>
      <c r="L205" s="58"/>
    </row>
    <row r="206" spans="1:12" ht="24">
      <c r="A206" s="59"/>
      <c r="B206" s="60"/>
      <c r="C206" s="61"/>
      <c r="D206" s="67"/>
      <c r="E206" s="56"/>
      <c r="F206" s="57"/>
      <c r="G206" s="114"/>
      <c r="H206" s="121"/>
      <c r="I206" s="114"/>
      <c r="J206" s="121"/>
      <c r="K206" s="68"/>
      <c r="L206" s="58"/>
    </row>
    <row r="207" spans="1:12" ht="24">
      <c r="A207" s="59"/>
      <c r="B207" s="60"/>
      <c r="C207" s="61"/>
      <c r="D207" s="67"/>
      <c r="E207" s="56"/>
      <c r="F207" s="57"/>
      <c r="G207" s="114"/>
      <c r="H207" s="121"/>
      <c r="I207" s="114"/>
      <c r="J207" s="121"/>
      <c r="K207" s="68"/>
      <c r="L207" s="58"/>
    </row>
    <row r="208" spans="1:12" ht="24">
      <c r="A208" s="59"/>
      <c r="B208" s="60"/>
      <c r="C208" s="61"/>
      <c r="D208" s="67"/>
      <c r="E208" s="56"/>
      <c r="F208" s="57"/>
      <c r="G208" s="114"/>
      <c r="H208" s="121"/>
      <c r="I208" s="114"/>
      <c r="J208" s="121"/>
      <c r="K208" s="68"/>
      <c r="L208" s="58"/>
    </row>
    <row r="209" spans="1:12" ht="24">
      <c r="A209" s="59"/>
      <c r="B209" s="60"/>
      <c r="C209" s="61"/>
      <c r="D209" s="67"/>
      <c r="E209" s="56"/>
      <c r="F209" s="57"/>
      <c r="G209" s="114"/>
      <c r="H209" s="121"/>
      <c r="I209" s="114"/>
      <c r="J209" s="121"/>
      <c r="K209" s="68"/>
      <c r="L209" s="58"/>
    </row>
    <row r="210" spans="1:12" ht="24">
      <c r="A210" s="59"/>
      <c r="B210" s="60"/>
      <c r="C210" s="61"/>
      <c r="D210" s="67"/>
      <c r="E210" s="56"/>
      <c r="F210" s="57"/>
      <c r="G210" s="114"/>
      <c r="H210" s="121"/>
      <c r="I210" s="114"/>
      <c r="J210" s="121"/>
      <c r="K210" s="68"/>
      <c r="L210" s="58"/>
    </row>
    <row r="211" spans="1:12" ht="24">
      <c r="A211" s="59"/>
      <c r="B211" s="60"/>
      <c r="C211" s="61"/>
      <c r="D211" s="67"/>
      <c r="E211" s="56"/>
      <c r="F211" s="57"/>
      <c r="G211" s="114"/>
      <c r="H211" s="121"/>
      <c r="I211" s="114"/>
      <c r="J211" s="121"/>
      <c r="K211" s="68"/>
      <c r="L211" s="58"/>
    </row>
    <row r="212" spans="1:12" ht="24">
      <c r="A212" s="59"/>
      <c r="B212" s="60"/>
      <c r="C212" s="61"/>
      <c r="D212" s="67"/>
      <c r="E212" s="56"/>
      <c r="F212" s="57"/>
      <c r="G212" s="114"/>
      <c r="H212" s="121"/>
      <c r="I212" s="114"/>
      <c r="J212" s="121"/>
      <c r="K212" s="68"/>
      <c r="L212" s="58"/>
    </row>
    <row r="213" spans="1:12" ht="24">
      <c r="A213" s="59"/>
      <c r="B213" s="60"/>
      <c r="C213" s="61"/>
      <c r="D213" s="67"/>
      <c r="E213" s="56"/>
      <c r="F213" s="57"/>
      <c r="G213" s="114"/>
      <c r="H213" s="121"/>
      <c r="I213" s="114"/>
      <c r="J213" s="121"/>
      <c r="K213" s="68"/>
      <c r="L213" s="58"/>
    </row>
    <row r="214" spans="1:12" ht="24">
      <c r="A214" s="69"/>
      <c r="B214" s="60"/>
      <c r="C214" s="61"/>
      <c r="D214" s="67"/>
      <c r="E214" s="56"/>
      <c r="F214" s="57"/>
      <c r="G214" s="114"/>
      <c r="H214" s="121"/>
      <c r="I214" s="114"/>
      <c r="J214" s="121"/>
      <c r="K214" s="68"/>
      <c r="L214" s="58"/>
    </row>
    <row r="215" spans="1:12" ht="24">
      <c r="A215" s="69"/>
      <c r="B215" s="60"/>
      <c r="C215" s="61"/>
      <c r="D215" s="67"/>
      <c r="E215" s="56"/>
      <c r="F215" s="57"/>
      <c r="G215" s="114"/>
      <c r="H215" s="121"/>
      <c r="I215" s="114"/>
      <c r="J215" s="121"/>
      <c r="K215" s="68"/>
      <c r="L215" s="58"/>
    </row>
    <row r="216" spans="1:12" ht="24">
      <c r="A216" s="69"/>
      <c r="B216" s="60"/>
      <c r="C216" s="61"/>
      <c r="D216" s="67"/>
      <c r="E216" s="56"/>
      <c r="F216" s="57"/>
      <c r="G216" s="114"/>
      <c r="H216" s="121"/>
      <c r="I216" s="114"/>
      <c r="J216" s="121"/>
      <c r="K216" s="68"/>
      <c r="L216" s="58"/>
    </row>
    <row r="217" spans="1:12" ht="24">
      <c r="A217" s="69"/>
      <c r="B217" s="60"/>
      <c r="C217" s="61"/>
      <c r="D217" s="67"/>
      <c r="E217" s="56"/>
      <c r="F217" s="57"/>
      <c r="G217" s="114"/>
      <c r="H217" s="121"/>
      <c r="I217" s="114"/>
      <c r="J217" s="121"/>
      <c r="K217" s="68"/>
      <c r="L217" s="58"/>
    </row>
    <row r="218" spans="1:12" ht="24.75" thickBot="1">
      <c r="A218" s="69"/>
      <c r="B218" s="60"/>
      <c r="C218" s="61"/>
      <c r="D218" s="67"/>
      <c r="E218" s="56"/>
      <c r="F218" s="57"/>
      <c r="G218" s="114"/>
      <c r="H218" s="121"/>
      <c r="I218" s="114"/>
      <c r="J218" s="121"/>
      <c r="K218" s="68"/>
      <c r="L218" s="58"/>
    </row>
    <row r="219" spans="1:12" ht="24.75" thickTop="1">
      <c r="A219" s="70"/>
      <c r="B219" s="1981" t="s">
        <v>69</v>
      </c>
      <c r="C219" s="1982"/>
      <c r="D219" s="1983"/>
      <c r="E219" s="71"/>
      <c r="F219" s="72"/>
      <c r="G219" s="115"/>
      <c r="H219" s="122"/>
      <c r="I219" s="115"/>
      <c r="J219" s="122"/>
      <c r="K219" s="73"/>
      <c r="L219" s="74"/>
    </row>
  </sheetData>
  <mergeCells count="18">
    <mergeCell ref="B198:D198"/>
    <mergeCell ref="B219:D219"/>
    <mergeCell ref="B135:D135"/>
    <mergeCell ref="B156:D156"/>
    <mergeCell ref="B177:D177"/>
    <mergeCell ref="L8:L9"/>
    <mergeCell ref="B10:D10"/>
    <mergeCell ref="B30:D30"/>
    <mergeCell ref="B51:D51"/>
    <mergeCell ref="I8:J8"/>
    <mergeCell ref="E8:E9"/>
    <mergeCell ref="F8:F9"/>
    <mergeCell ref="G8:H8"/>
    <mergeCell ref="B72:D72"/>
    <mergeCell ref="B93:D93"/>
    <mergeCell ref="B114:D114"/>
    <mergeCell ref="A8:A9"/>
    <mergeCell ref="B8:D9"/>
  </mergeCells>
  <pageMargins left="0.31496062992125984" right="0.15748031496062992" top="0.39370078740157483" bottom="0.35433070866141736" header="0.39370078740157483" footer="0.15748031496062992"/>
  <pageSetup paperSize="9" scale="80" orientation="landscape" r:id="rId1"/>
  <headerFooter>
    <oddHeader xml:space="preserve">&amp;Rแผ่นที่ &amp;P ใน &amp;N แผ่น          </oddHeader>
    <oddFooter xml:space="preserve">&amp;Rงานระบบสุขาภิบาล, ดับเพลิง และป้องกันอัคคีภัย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L219"/>
  <sheetViews>
    <sheetView showGridLines="0" view="pageBreakPreview" zoomScale="80" zoomScaleSheetLayoutView="80" workbookViewId="0">
      <selection activeCell="A8" sqref="A8:A9"/>
    </sheetView>
  </sheetViews>
  <sheetFormatPr defaultRowHeight="21.75"/>
  <cols>
    <col min="1" max="1" width="8.7109375" customWidth="1"/>
    <col min="2" max="2" width="7.42578125" customWidth="1"/>
    <col min="3" max="3" width="7.28515625" customWidth="1"/>
    <col min="4" max="4" width="54.85546875" customWidth="1"/>
    <col min="5" max="5" width="9.85546875" customWidth="1"/>
    <col min="6" max="6" width="7.5703125" bestFit="1" customWidth="1"/>
    <col min="7" max="7" width="15.7109375" customWidth="1"/>
    <col min="8" max="8" width="17.42578125" customWidth="1"/>
    <col min="9" max="9" width="13.7109375" customWidth="1"/>
    <col min="10" max="10" width="15.7109375" customWidth="1"/>
    <col min="11" max="11" width="17.42578125" customWidth="1"/>
    <col min="12" max="12" width="15" customWidth="1"/>
  </cols>
  <sheetData>
    <row r="1" spans="1:12" ht="26.25">
      <c r="E1" s="88" t="s">
        <v>62</v>
      </c>
      <c r="J1" s="125" t="s">
        <v>30</v>
      </c>
    </row>
    <row r="2" spans="1:12">
      <c r="A2" s="36" t="s">
        <v>43</v>
      </c>
      <c r="B2" s="37"/>
      <c r="C2" s="38"/>
      <c r="D2" s="38" t="s">
        <v>90</v>
      </c>
      <c r="E2" s="39"/>
      <c r="F2" s="38"/>
      <c r="G2" s="38"/>
      <c r="H2" s="38"/>
      <c r="I2" s="37"/>
      <c r="J2" s="40"/>
      <c r="K2" s="40"/>
      <c r="L2" s="40"/>
    </row>
    <row r="3" spans="1:12">
      <c r="A3" s="41" t="s">
        <v>78</v>
      </c>
      <c r="B3" s="42"/>
      <c r="C3" s="43"/>
      <c r="D3" s="43"/>
      <c r="E3" s="44"/>
      <c r="F3" s="43"/>
      <c r="G3" s="43"/>
      <c r="H3" s="43"/>
      <c r="I3" s="43"/>
      <c r="J3" s="45"/>
      <c r="K3" s="45"/>
      <c r="L3" s="45"/>
    </row>
    <row r="4" spans="1:12">
      <c r="A4" s="41" t="s">
        <v>44</v>
      </c>
      <c r="B4" s="42"/>
      <c r="C4" s="43"/>
      <c r="D4" s="43" t="s">
        <v>79</v>
      </c>
      <c r="E4" s="44"/>
      <c r="F4" s="46"/>
      <c r="I4" s="47" t="s">
        <v>31</v>
      </c>
      <c r="J4" s="45"/>
      <c r="K4" s="45"/>
      <c r="L4" s="45"/>
    </row>
    <row r="5" spans="1:12">
      <c r="A5" s="41" t="s">
        <v>80</v>
      </c>
      <c r="B5" s="42"/>
      <c r="C5" s="43"/>
      <c r="D5" s="43"/>
      <c r="E5" s="44"/>
      <c r="F5" s="46"/>
      <c r="G5" s="43"/>
      <c r="H5" s="43"/>
      <c r="I5" s="43"/>
      <c r="J5" s="45"/>
      <c r="K5" s="45"/>
      <c r="L5" s="45"/>
    </row>
    <row r="6" spans="1:12">
      <c r="A6" s="41" t="s">
        <v>42</v>
      </c>
      <c r="B6" s="42"/>
      <c r="C6" s="43"/>
      <c r="D6" s="43" t="s">
        <v>81</v>
      </c>
      <c r="E6" s="44" t="s">
        <v>28</v>
      </c>
      <c r="F6" s="43"/>
      <c r="G6" s="48" t="s">
        <v>32</v>
      </c>
      <c r="H6" s="49"/>
      <c r="I6" s="48" t="s">
        <v>33</v>
      </c>
      <c r="J6" s="41"/>
      <c r="K6" s="126" t="s">
        <v>65</v>
      </c>
      <c r="L6" s="50"/>
    </row>
    <row r="7" spans="1:12" ht="22.5" thickBot="1">
      <c r="A7" s="31"/>
      <c r="B7" s="32"/>
      <c r="C7" s="33"/>
      <c r="D7" s="33"/>
      <c r="E7" s="34"/>
      <c r="F7" s="33"/>
      <c r="G7" s="35"/>
      <c r="H7" s="103"/>
      <c r="I7" s="35"/>
      <c r="J7" s="32"/>
      <c r="K7" s="35"/>
      <c r="L7" s="51" t="s">
        <v>45</v>
      </c>
    </row>
    <row r="8" spans="1:12" ht="22.5" thickTop="1">
      <c r="A8" s="1984" t="s">
        <v>9</v>
      </c>
      <c r="B8" s="1986" t="s">
        <v>10</v>
      </c>
      <c r="C8" s="1987"/>
      <c r="D8" s="1988"/>
      <c r="E8" s="1999" t="s">
        <v>34</v>
      </c>
      <c r="F8" s="1984" t="s">
        <v>35</v>
      </c>
      <c r="G8" s="1997" t="s">
        <v>36</v>
      </c>
      <c r="H8" s="1998"/>
      <c r="I8" s="1997" t="s">
        <v>37</v>
      </c>
      <c r="J8" s="1998"/>
      <c r="K8" s="108" t="s">
        <v>38</v>
      </c>
      <c r="L8" s="1992" t="s">
        <v>13</v>
      </c>
    </row>
    <row r="9" spans="1:12" ht="22.5" thickBot="1">
      <c r="A9" s="1985"/>
      <c r="B9" s="1989"/>
      <c r="C9" s="1990"/>
      <c r="D9" s="1991"/>
      <c r="E9" s="2000"/>
      <c r="F9" s="1985"/>
      <c r="G9" s="110" t="s">
        <v>39</v>
      </c>
      <c r="H9" s="116" t="s">
        <v>40</v>
      </c>
      <c r="I9" s="110" t="s">
        <v>39</v>
      </c>
      <c r="J9" s="116" t="s">
        <v>40</v>
      </c>
      <c r="K9" s="109" t="s">
        <v>41</v>
      </c>
      <c r="L9" s="1993"/>
    </row>
    <row r="10" spans="1:12" ht="24.75" thickTop="1">
      <c r="A10" s="104">
        <v>4</v>
      </c>
      <c r="B10" s="1994" t="s">
        <v>89</v>
      </c>
      <c r="C10" s="1995"/>
      <c r="D10" s="1996"/>
      <c r="E10" s="105"/>
      <c r="F10" s="106"/>
      <c r="G10" s="111"/>
      <c r="H10" s="117"/>
      <c r="I10" s="111"/>
      <c r="J10" s="117"/>
      <c r="K10" s="63"/>
      <c r="L10" s="107"/>
    </row>
    <row r="11" spans="1:12" ht="24">
      <c r="A11" s="132">
        <f>A10+0.1</f>
        <v>4.0999999999999996</v>
      </c>
      <c r="B11" s="133" t="s">
        <v>164</v>
      </c>
      <c r="C11" s="54"/>
      <c r="D11" s="55"/>
      <c r="E11" s="56"/>
      <c r="F11" s="57"/>
      <c r="G11" s="112"/>
      <c r="H11" s="118"/>
      <c r="I11" s="123"/>
      <c r="J11" s="124"/>
      <c r="K11" s="57"/>
      <c r="L11" s="58"/>
    </row>
    <row r="12" spans="1:12" ht="24">
      <c r="A12" s="132"/>
      <c r="B12" s="133"/>
      <c r="C12" s="61" t="s">
        <v>165</v>
      </c>
      <c r="D12" s="62"/>
      <c r="E12" s="63"/>
      <c r="F12" s="64"/>
      <c r="G12" s="113"/>
      <c r="H12" s="119"/>
      <c r="I12" s="113"/>
      <c r="J12" s="120"/>
      <c r="K12" s="65"/>
      <c r="L12" s="66"/>
    </row>
    <row r="13" spans="1:12" ht="24">
      <c r="A13" s="132">
        <v>4.2</v>
      </c>
      <c r="B13" s="133" t="s">
        <v>162</v>
      </c>
      <c r="C13" s="61"/>
      <c r="D13" s="62"/>
      <c r="E13" s="63"/>
      <c r="F13" s="64"/>
      <c r="G13" s="113"/>
      <c r="H13" s="120"/>
      <c r="I13" s="113"/>
      <c r="J13" s="120"/>
      <c r="K13" s="65"/>
      <c r="L13" s="66"/>
    </row>
    <row r="14" spans="1:12" ht="24">
      <c r="A14" s="132"/>
      <c r="B14" s="133"/>
      <c r="C14" s="61" t="s">
        <v>163</v>
      </c>
      <c r="D14" s="67"/>
      <c r="E14" s="56"/>
      <c r="F14" s="57"/>
      <c r="G14" s="114"/>
      <c r="H14" s="121"/>
      <c r="I14" s="114"/>
      <c r="J14" s="121"/>
      <c r="K14" s="68"/>
      <c r="L14" s="58"/>
    </row>
    <row r="15" spans="1:12" ht="24">
      <c r="A15" s="132">
        <v>4.3</v>
      </c>
      <c r="B15" s="133" t="s">
        <v>166</v>
      </c>
      <c r="C15" s="61"/>
      <c r="D15" s="67"/>
      <c r="E15" s="56"/>
      <c r="F15" s="57"/>
      <c r="G15" s="114"/>
      <c r="H15" s="121"/>
      <c r="I15" s="114"/>
      <c r="J15" s="121"/>
      <c r="K15" s="68"/>
      <c r="L15" s="58"/>
    </row>
    <row r="16" spans="1:12" ht="24">
      <c r="A16" s="132">
        <v>4.4000000000000004</v>
      </c>
      <c r="B16" s="133" t="s">
        <v>167</v>
      </c>
      <c r="C16" s="61"/>
      <c r="D16" s="67"/>
      <c r="E16" s="56"/>
      <c r="F16" s="57"/>
      <c r="G16" s="114"/>
      <c r="H16" s="121"/>
      <c r="I16" s="114"/>
      <c r="J16" s="121"/>
      <c r="K16" s="68"/>
      <c r="L16" s="58"/>
    </row>
    <row r="17" spans="1:12" ht="24">
      <c r="A17" s="132">
        <v>4.5</v>
      </c>
      <c r="B17" s="133" t="s">
        <v>168</v>
      </c>
      <c r="C17" s="61"/>
      <c r="D17" s="67"/>
      <c r="E17" s="56"/>
      <c r="F17" s="57"/>
      <c r="G17" s="114"/>
      <c r="H17" s="121"/>
      <c r="I17" s="114"/>
      <c r="J17" s="121"/>
      <c r="K17" s="68"/>
      <c r="L17" s="58"/>
    </row>
    <row r="18" spans="1:12" ht="24">
      <c r="A18" s="59"/>
      <c r="B18" s="60"/>
      <c r="C18" s="61"/>
      <c r="D18" s="67"/>
      <c r="E18" s="56"/>
      <c r="F18" s="57"/>
      <c r="G18" s="114"/>
      <c r="H18" s="121"/>
      <c r="I18" s="114"/>
      <c r="J18" s="121"/>
      <c r="K18" s="68"/>
      <c r="L18" s="58"/>
    </row>
    <row r="19" spans="1:12" ht="24">
      <c r="A19" s="59"/>
      <c r="B19" s="60"/>
      <c r="C19" s="61"/>
      <c r="D19" s="67"/>
      <c r="E19" s="56"/>
      <c r="F19" s="57"/>
      <c r="G19" s="114"/>
      <c r="H19" s="121"/>
      <c r="I19" s="114"/>
      <c r="J19" s="121"/>
      <c r="K19" s="68"/>
      <c r="L19" s="58"/>
    </row>
    <row r="20" spans="1:12" ht="24">
      <c r="A20" s="59"/>
      <c r="B20" s="60"/>
      <c r="C20" s="61"/>
      <c r="D20" s="67"/>
      <c r="E20" s="56"/>
      <c r="F20" s="57"/>
      <c r="G20" s="114"/>
      <c r="H20" s="121"/>
      <c r="I20" s="114"/>
      <c r="J20" s="121"/>
      <c r="K20" s="68"/>
      <c r="L20" s="58"/>
    </row>
    <row r="21" spans="1:12" ht="24">
      <c r="A21" s="59"/>
      <c r="B21" s="60"/>
      <c r="C21" s="61"/>
      <c r="D21" s="67"/>
      <c r="E21" s="56"/>
      <c r="F21" s="57"/>
      <c r="G21" s="114"/>
      <c r="H21" s="121"/>
      <c r="I21" s="114"/>
      <c r="J21" s="121"/>
      <c r="K21" s="68"/>
      <c r="L21" s="58"/>
    </row>
    <row r="22" spans="1:12" ht="24">
      <c r="A22" s="59"/>
      <c r="B22" s="60"/>
      <c r="C22" s="61"/>
      <c r="D22" s="67"/>
      <c r="E22" s="56"/>
      <c r="F22" s="57"/>
      <c r="G22" s="114"/>
      <c r="H22" s="121"/>
      <c r="I22" s="114"/>
      <c r="J22" s="121"/>
      <c r="K22" s="68"/>
      <c r="L22" s="58"/>
    </row>
    <row r="23" spans="1:12" ht="24">
      <c r="A23" s="59"/>
      <c r="B23" s="60"/>
      <c r="C23" s="61"/>
      <c r="D23" s="67"/>
      <c r="E23" s="56"/>
      <c r="F23" s="57"/>
      <c r="G23" s="114"/>
      <c r="H23" s="121"/>
      <c r="I23" s="114"/>
      <c r="J23" s="121"/>
      <c r="K23" s="68"/>
      <c r="L23" s="58"/>
    </row>
    <row r="24" spans="1:12" ht="24">
      <c r="A24" s="59"/>
      <c r="B24" s="60"/>
      <c r="C24" s="61"/>
      <c r="D24" s="67"/>
      <c r="E24" s="56"/>
      <c r="F24" s="57"/>
      <c r="G24" s="114"/>
      <c r="H24" s="121"/>
      <c r="I24" s="114"/>
      <c r="J24" s="121"/>
      <c r="K24" s="68"/>
      <c r="L24" s="58"/>
    </row>
    <row r="25" spans="1:12" ht="24">
      <c r="A25" s="69"/>
      <c r="B25" s="60"/>
      <c r="C25" s="61"/>
      <c r="D25" s="67"/>
      <c r="E25" s="56"/>
      <c r="F25" s="57"/>
      <c r="G25" s="114"/>
      <c r="H25" s="121"/>
      <c r="I25" s="114"/>
      <c r="J25" s="121"/>
      <c r="K25" s="68"/>
      <c r="L25" s="58"/>
    </row>
    <row r="26" spans="1:12" ht="24">
      <c r="A26" s="69"/>
      <c r="B26" s="60"/>
      <c r="C26" s="61"/>
      <c r="D26" s="67"/>
      <c r="E26" s="56"/>
      <c r="F26" s="57"/>
      <c r="G26" s="114"/>
      <c r="H26" s="121"/>
      <c r="I26" s="114"/>
      <c r="J26" s="121"/>
      <c r="K26" s="68"/>
      <c r="L26" s="58"/>
    </row>
    <row r="27" spans="1:12" ht="24">
      <c r="A27" s="69"/>
      <c r="B27" s="60"/>
      <c r="C27" s="61"/>
      <c r="D27" s="67"/>
      <c r="E27" s="56"/>
      <c r="F27" s="57"/>
      <c r="G27" s="114"/>
      <c r="H27" s="121"/>
      <c r="I27" s="114"/>
      <c r="J27" s="121"/>
      <c r="K27" s="68"/>
      <c r="L27" s="58"/>
    </row>
    <row r="28" spans="1:12" ht="24">
      <c r="A28" s="69"/>
      <c r="B28" s="60"/>
      <c r="C28" s="61"/>
      <c r="D28" s="67"/>
      <c r="E28" s="56"/>
      <c r="F28" s="57"/>
      <c r="G28" s="114"/>
      <c r="H28" s="121"/>
      <c r="I28" s="114"/>
      <c r="J28" s="121"/>
      <c r="K28" s="68"/>
      <c r="L28" s="58"/>
    </row>
    <row r="29" spans="1:12" ht="24.75" thickBot="1">
      <c r="A29" s="69"/>
      <c r="B29" s="60"/>
      <c r="C29" s="61"/>
      <c r="D29" s="67"/>
      <c r="E29" s="56"/>
      <c r="F29" s="57"/>
      <c r="G29" s="114"/>
      <c r="H29" s="121"/>
      <c r="I29" s="114"/>
      <c r="J29" s="121"/>
      <c r="K29" s="68"/>
      <c r="L29" s="58"/>
    </row>
    <row r="30" spans="1:12" ht="24.75" thickTop="1">
      <c r="A30" s="70"/>
      <c r="B30" s="1981" t="s">
        <v>69</v>
      </c>
      <c r="C30" s="1982"/>
      <c r="D30" s="1983"/>
      <c r="E30" s="71"/>
      <c r="F30" s="72"/>
      <c r="G30" s="115"/>
      <c r="H30" s="122"/>
      <c r="I30" s="115"/>
      <c r="J30" s="122"/>
      <c r="K30" s="73"/>
      <c r="L30" s="74"/>
    </row>
    <row r="31" spans="1:12" ht="24">
      <c r="A31" s="132">
        <v>4.0999999999999996</v>
      </c>
      <c r="B31" s="133" t="s">
        <v>164</v>
      </c>
      <c r="C31" s="54"/>
      <c r="D31" s="137"/>
      <c r="E31" s="105"/>
      <c r="F31" s="106"/>
      <c r="G31" s="111"/>
      <c r="H31" s="117"/>
      <c r="I31" s="111"/>
      <c r="J31" s="117"/>
      <c r="K31" s="63"/>
      <c r="L31" s="107"/>
    </row>
    <row r="32" spans="1:12" ht="24">
      <c r="A32" s="52"/>
      <c r="B32" s="133"/>
      <c r="C32" s="61" t="s">
        <v>165</v>
      </c>
      <c r="D32" s="55"/>
      <c r="E32" s="56"/>
      <c r="F32" s="57"/>
      <c r="G32" s="112"/>
      <c r="H32" s="118"/>
      <c r="I32" s="123"/>
      <c r="J32" s="124"/>
      <c r="K32" s="57"/>
      <c r="L32" s="58"/>
    </row>
    <row r="33" spans="1:12" ht="24">
      <c r="A33" s="59"/>
      <c r="B33" s="60"/>
      <c r="C33" s="61"/>
      <c r="D33" s="62"/>
      <c r="E33" s="63"/>
      <c r="F33" s="64"/>
      <c r="G33" s="113"/>
      <c r="H33" s="119"/>
      <c r="I33" s="113"/>
      <c r="J33" s="120"/>
      <c r="K33" s="65"/>
      <c r="L33" s="66"/>
    </row>
    <row r="34" spans="1:12" ht="24">
      <c r="A34" s="59"/>
      <c r="B34" s="60"/>
      <c r="C34" s="61"/>
      <c r="D34" s="62"/>
      <c r="E34" s="63"/>
      <c r="F34" s="64"/>
      <c r="G34" s="113"/>
      <c r="H34" s="120"/>
      <c r="I34" s="113"/>
      <c r="J34" s="120"/>
      <c r="K34" s="65"/>
      <c r="L34" s="66"/>
    </row>
    <row r="35" spans="1:12" ht="24">
      <c r="A35" s="59"/>
      <c r="B35" s="60"/>
      <c r="C35" s="61"/>
      <c r="D35" s="67"/>
      <c r="E35" s="56"/>
      <c r="F35" s="57"/>
      <c r="G35" s="114"/>
      <c r="H35" s="121"/>
      <c r="I35" s="114"/>
      <c r="J35" s="121"/>
      <c r="K35" s="68"/>
      <c r="L35" s="58"/>
    </row>
    <row r="36" spans="1:12" ht="24">
      <c r="A36" s="59"/>
      <c r="B36" s="60"/>
      <c r="C36" s="61"/>
      <c r="D36" s="67"/>
      <c r="E36" s="56"/>
      <c r="F36" s="57"/>
      <c r="G36" s="114"/>
      <c r="H36" s="121"/>
      <c r="I36" s="114"/>
      <c r="J36" s="121"/>
      <c r="K36" s="68"/>
      <c r="L36" s="58"/>
    </row>
    <row r="37" spans="1:12" ht="24">
      <c r="A37" s="59"/>
      <c r="B37" s="60"/>
      <c r="C37" s="61"/>
      <c r="D37" s="67"/>
      <c r="E37" s="56"/>
      <c r="F37" s="57"/>
      <c r="G37" s="114"/>
      <c r="H37" s="121"/>
      <c r="I37" s="114"/>
      <c r="J37" s="121"/>
      <c r="K37" s="68"/>
      <c r="L37" s="58"/>
    </row>
    <row r="38" spans="1:12" ht="24">
      <c r="A38" s="59"/>
      <c r="B38" s="60"/>
      <c r="C38" s="61"/>
      <c r="D38" s="67"/>
      <c r="E38" s="56"/>
      <c r="F38" s="57"/>
      <c r="G38" s="114"/>
      <c r="H38" s="121"/>
      <c r="I38" s="114"/>
      <c r="J38" s="121"/>
      <c r="K38" s="68"/>
      <c r="L38" s="58"/>
    </row>
    <row r="39" spans="1:12" ht="24">
      <c r="A39" s="59"/>
      <c r="B39" s="60"/>
      <c r="C39" s="61"/>
      <c r="D39" s="67"/>
      <c r="E39" s="56"/>
      <c r="F39" s="57"/>
      <c r="G39" s="114"/>
      <c r="H39" s="121"/>
      <c r="I39" s="114"/>
      <c r="J39" s="121"/>
      <c r="K39" s="68"/>
      <c r="L39" s="58"/>
    </row>
    <row r="40" spans="1:12" ht="24">
      <c r="A40" s="59"/>
      <c r="B40" s="60"/>
      <c r="C40" s="61"/>
      <c r="D40" s="67"/>
      <c r="E40" s="56"/>
      <c r="F40" s="57"/>
      <c r="G40" s="114"/>
      <c r="H40" s="121"/>
      <c r="I40" s="114"/>
      <c r="J40" s="121"/>
      <c r="K40" s="68"/>
      <c r="L40" s="58"/>
    </row>
    <row r="41" spans="1:12" ht="24">
      <c r="A41" s="59"/>
      <c r="B41" s="60"/>
      <c r="C41" s="61"/>
      <c r="D41" s="67"/>
      <c r="E41" s="56"/>
      <c r="F41" s="57"/>
      <c r="G41" s="114"/>
      <c r="H41" s="121"/>
      <c r="I41" s="114"/>
      <c r="J41" s="121"/>
      <c r="K41" s="68"/>
      <c r="L41" s="58"/>
    </row>
    <row r="42" spans="1:12" ht="24">
      <c r="A42" s="59"/>
      <c r="B42" s="60"/>
      <c r="C42" s="61"/>
      <c r="D42" s="67"/>
      <c r="E42" s="56"/>
      <c r="F42" s="57"/>
      <c r="G42" s="114"/>
      <c r="H42" s="121"/>
      <c r="I42" s="114"/>
      <c r="J42" s="121"/>
      <c r="K42" s="68"/>
      <c r="L42" s="58"/>
    </row>
    <row r="43" spans="1:12" ht="24">
      <c r="A43" s="59"/>
      <c r="B43" s="60"/>
      <c r="C43" s="61"/>
      <c r="D43" s="67"/>
      <c r="E43" s="56"/>
      <c r="F43" s="57"/>
      <c r="G43" s="114"/>
      <c r="H43" s="121"/>
      <c r="I43" s="114"/>
      <c r="J43" s="121"/>
      <c r="K43" s="68"/>
      <c r="L43" s="58"/>
    </row>
    <row r="44" spans="1:12" ht="24">
      <c r="A44" s="59"/>
      <c r="B44" s="60"/>
      <c r="C44" s="61"/>
      <c r="D44" s="67"/>
      <c r="E44" s="56"/>
      <c r="F44" s="57"/>
      <c r="G44" s="114"/>
      <c r="H44" s="121"/>
      <c r="I44" s="114"/>
      <c r="J44" s="121"/>
      <c r="K44" s="68"/>
      <c r="L44" s="58"/>
    </row>
    <row r="45" spans="1:12" ht="24">
      <c r="A45" s="59"/>
      <c r="B45" s="60"/>
      <c r="C45" s="61"/>
      <c r="D45" s="67"/>
      <c r="E45" s="56"/>
      <c r="F45" s="57"/>
      <c r="G45" s="114"/>
      <c r="H45" s="121"/>
      <c r="I45" s="114"/>
      <c r="J45" s="121"/>
      <c r="K45" s="68"/>
      <c r="L45" s="58"/>
    </row>
    <row r="46" spans="1:12" ht="24">
      <c r="A46" s="69"/>
      <c r="B46" s="60"/>
      <c r="C46" s="61"/>
      <c r="D46" s="67"/>
      <c r="E46" s="56"/>
      <c r="F46" s="57"/>
      <c r="G46" s="114"/>
      <c r="H46" s="121"/>
      <c r="I46" s="114"/>
      <c r="J46" s="121"/>
      <c r="K46" s="68"/>
      <c r="L46" s="58"/>
    </row>
    <row r="47" spans="1:12" ht="24">
      <c r="A47" s="69"/>
      <c r="B47" s="60"/>
      <c r="C47" s="61"/>
      <c r="D47" s="67"/>
      <c r="E47" s="56"/>
      <c r="F47" s="57"/>
      <c r="G47" s="114"/>
      <c r="H47" s="121"/>
      <c r="I47" s="114"/>
      <c r="J47" s="121"/>
      <c r="K47" s="68"/>
      <c r="L47" s="58"/>
    </row>
    <row r="48" spans="1:12" ht="24">
      <c r="A48" s="69"/>
      <c r="B48" s="60"/>
      <c r="C48" s="61"/>
      <c r="D48" s="67"/>
      <c r="E48" s="56"/>
      <c r="F48" s="57"/>
      <c r="G48" s="114"/>
      <c r="H48" s="121"/>
      <c r="I48" s="114"/>
      <c r="J48" s="121"/>
      <c r="K48" s="68"/>
      <c r="L48" s="58"/>
    </row>
    <row r="49" spans="1:12" ht="24">
      <c r="A49" s="69"/>
      <c r="B49" s="60"/>
      <c r="C49" s="61"/>
      <c r="D49" s="67"/>
      <c r="E49" s="56"/>
      <c r="F49" s="57"/>
      <c r="G49" s="114"/>
      <c r="H49" s="121"/>
      <c r="I49" s="114"/>
      <c r="J49" s="121"/>
      <c r="K49" s="68"/>
      <c r="L49" s="58"/>
    </row>
    <row r="50" spans="1:12" ht="24.75" thickBot="1">
      <c r="A50" s="69"/>
      <c r="B50" s="60"/>
      <c r="C50" s="61"/>
      <c r="D50" s="67"/>
      <c r="E50" s="56"/>
      <c r="F50" s="57"/>
      <c r="G50" s="114"/>
      <c r="H50" s="121"/>
      <c r="I50" s="114"/>
      <c r="J50" s="121"/>
      <c r="K50" s="68"/>
      <c r="L50" s="58"/>
    </row>
    <row r="51" spans="1:12" ht="24.75" thickTop="1">
      <c r="A51" s="70"/>
      <c r="B51" s="1981" t="s">
        <v>69</v>
      </c>
      <c r="C51" s="1982"/>
      <c r="D51" s="1983"/>
      <c r="E51" s="71"/>
      <c r="F51" s="72"/>
      <c r="G51" s="115"/>
      <c r="H51" s="122"/>
      <c r="I51" s="115"/>
      <c r="J51" s="122"/>
      <c r="K51" s="73"/>
      <c r="L51" s="74"/>
    </row>
    <row r="52" spans="1:12" ht="24">
      <c r="A52" s="132">
        <v>4.2</v>
      </c>
      <c r="B52" s="133" t="s">
        <v>162</v>
      </c>
      <c r="C52" s="61"/>
      <c r="D52" s="137"/>
      <c r="E52" s="105"/>
      <c r="F52" s="106"/>
      <c r="G52" s="111"/>
      <c r="H52" s="117"/>
      <c r="I52" s="111"/>
      <c r="J52" s="117"/>
      <c r="K52" s="63"/>
      <c r="L52" s="107"/>
    </row>
    <row r="53" spans="1:12" ht="24">
      <c r="A53" s="52"/>
      <c r="B53" s="133"/>
      <c r="C53" s="61" t="s">
        <v>163</v>
      </c>
      <c r="D53" s="55"/>
      <c r="E53" s="56"/>
      <c r="F53" s="57"/>
      <c r="G53" s="112"/>
      <c r="H53" s="118"/>
      <c r="I53" s="123"/>
      <c r="J53" s="124"/>
      <c r="K53" s="57"/>
      <c r="L53" s="58"/>
    </row>
    <row r="54" spans="1:12" ht="24">
      <c r="A54" s="59"/>
      <c r="B54" s="60"/>
      <c r="C54" s="61"/>
      <c r="D54" s="62"/>
      <c r="E54" s="63"/>
      <c r="F54" s="64"/>
      <c r="G54" s="113"/>
      <c r="H54" s="119"/>
      <c r="I54" s="113"/>
      <c r="J54" s="120"/>
      <c r="K54" s="65"/>
      <c r="L54" s="66"/>
    </row>
    <row r="55" spans="1:12" ht="24">
      <c r="A55" s="59"/>
      <c r="B55" s="60"/>
      <c r="C55" s="61"/>
      <c r="D55" s="62"/>
      <c r="E55" s="63"/>
      <c r="F55" s="64"/>
      <c r="G55" s="113"/>
      <c r="H55" s="120"/>
      <c r="I55" s="113"/>
      <c r="J55" s="120"/>
      <c r="K55" s="65"/>
      <c r="L55" s="66"/>
    </row>
    <row r="56" spans="1:12" ht="24">
      <c r="A56" s="59"/>
      <c r="B56" s="60"/>
      <c r="C56" s="61"/>
      <c r="D56" s="67"/>
      <c r="E56" s="56"/>
      <c r="F56" s="57"/>
      <c r="G56" s="114"/>
      <c r="H56" s="121"/>
      <c r="I56" s="114"/>
      <c r="J56" s="121"/>
      <c r="K56" s="68"/>
      <c r="L56" s="58"/>
    </row>
    <row r="57" spans="1:12" ht="24">
      <c r="A57" s="59"/>
      <c r="B57" s="60"/>
      <c r="C57" s="61"/>
      <c r="D57" s="67"/>
      <c r="E57" s="56"/>
      <c r="F57" s="57"/>
      <c r="G57" s="114"/>
      <c r="H57" s="121"/>
      <c r="I57" s="114"/>
      <c r="J57" s="121"/>
      <c r="K57" s="68"/>
      <c r="L57" s="58"/>
    </row>
    <row r="58" spans="1:12" ht="24">
      <c r="A58" s="59"/>
      <c r="B58" s="60"/>
      <c r="C58" s="61"/>
      <c r="D58" s="67"/>
      <c r="E58" s="56"/>
      <c r="F58" s="57"/>
      <c r="G58" s="114"/>
      <c r="H58" s="121"/>
      <c r="I58" s="114"/>
      <c r="J58" s="121"/>
      <c r="K58" s="68"/>
      <c r="L58" s="58"/>
    </row>
    <row r="59" spans="1:12" ht="24">
      <c r="A59" s="59"/>
      <c r="B59" s="60"/>
      <c r="C59" s="61"/>
      <c r="D59" s="67"/>
      <c r="E59" s="56"/>
      <c r="F59" s="57"/>
      <c r="G59" s="114"/>
      <c r="H59" s="121"/>
      <c r="I59" s="114"/>
      <c r="J59" s="121"/>
      <c r="K59" s="68"/>
      <c r="L59" s="58"/>
    </row>
    <row r="60" spans="1:12" ht="24">
      <c r="A60" s="59"/>
      <c r="B60" s="60"/>
      <c r="C60" s="61"/>
      <c r="D60" s="67"/>
      <c r="E60" s="56"/>
      <c r="F60" s="57"/>
      <c r="G60" s="114"/>
      <c r="H60" s="121"/>
      <c r="I60" s="114"/>
      <c r="J60" s="121"/>
      <c r="K60" s="68"/>
      <c r="L60" s="58"/>
    </row>
    <row r="61" spans="1:12" ht="24">
      <c r="A61" s="59"/>
      <c r="B61" s="60"/>
      <c r="C61" s="61"/>
      <c r="D61" s="67"/>
      <c r="E61" s="56"/>
      <c r="F61" s="57"/>
      <c r="G61" s="114"/>
      <c r="H61" s="121"/>
      <c r="I61" s="114"/>
      <c r="J61" s="121"/>
      <c r="K61" s="68"/>
      <c r="L61" s="58"/>
    </row>
    <row r="62" spans="1:12" ht="24">
      <c r="A62" s="59"/>
      <c r="B62" s="60"/>
      <c r="C62" s="61"/>
      <c r="D62" s="67"/>
      <c r="E62" s="56"/>
      <c r="F62" s="57"/>
      <c r="G62" s="114"/>
      <c r="H62" s="121"/>
      <c r="I62" s="114"/>
      <c r="J62" s="121"/>
      <c r="K62" s="68"/>
      <c r="L62" s="58"/>
    </row>
    <row r="63" spans="1:12" ht="24">
      <c r="A63" s="59"/>
      <c r="B63" s="60"/>
      <c r="C63" s="61"/>
      <c r="D63" s="67"/>
      <c r="E63" s="56"/>
      <c r="F63" s="57"/>
      <c r="G63" s="114"/>
      <c r="H63" s="121"/>
      <c r="I63" s="114"/>
      <c r="J63" s="121"/>
      <c r="K63" s="68"/>
      <c r="L63" s="58"/>
    </row>
    <row r="64" spans="1:12" ht="24">
      <c r="A64" s="59"/>
      <c r="B64" s="60"/>
      <c r="C64" s="61"/>
      <c r="D64" s="67"/>
      <c r="E64" s="56"/>
      <c r="F64" s="57"/>
      <c r="G64" s="114"/>
      <c r="H64" s="121"/>
      <c r="I64" s="114"/>
      <c r="J64" s="121"/>
      <c r="K64" s="68"/>
      <c r="L64" s="58"/>
    </row>
    <row r="65" spans="1:12" ht="24">
      <c r="A65" s="59"/>
      <c r="B65" s="60"/>
      <c r="C65" s="61"/>
      <c r="D65" s="67"/>
      <c r="E65" s="56"/>
      <c r="F65" s="57"/>
      <c r="G65" s="114"/>
      <c r="H65" s="121"/>
      <c r="I65" s="114"/>
      <c r="J65" s="121"/>
      <c r="K65" s="68"/>
      <c r="L65" s="58"/>
    </row>
    <row r="66" spans="1:12" ht="24">
      <c r="A66" s="59"/>
      <c r="B66" s="60"/>
      <c r="C66" s="61"/>
      <c r="D66" s="67"/>
      <c r="E66" s="56"/>
      <c r="F66" s="57"/>
      <c r="G66" s="114"/>
      <c r="H66" s="121"/>
      <c r="I66" s="114"/>
      <c r="J66" s="121"/>
      <c r="K66" s="68"/>
      <c r="L66" s="58"/>
    </row>
    <row r="67" spans="1:12" ht="24">
      <c r="A67" s="69"/>
      <c r="B67" s="60"/>
      <c r="C67" s="61"/>
      <c r="D67" s="67"/>
      <c r="E67" s="56"/>
      <c r="F67" s="57"/>
      <c r="G67" s="114"/>
      <c r="H67" s="121"/>
      <c r="I67" s="114"/>
      <c r="J67" s="121"/>
      <c r="K67" s="68"/>
      <c r="L67" s="58"/>
    </row>
    <row r="68" spans="1:12" ht="24">
      <c r="A68" s="69"/>
      <c r="B68" s="60"/>
      <c r="C68" s="61"/>
      <c r="D68" s="67"/>
      <c r="E68" s="56"/>
      <c r="F68" s="57"/>
      <c r="G68" s="114"/>
      <c r="H68" s="121"/>
      <c r="I68" s="114"/>
      <c r="J68" s="121"/>
      <c r="K68" s="68"/>
      <c r="L68" s="58"/>
    </row>
    <row r="69" spans="1:12" ht="24">
      <c r="A69" s="69"/>
      <c r="B69" s="60"/>
      <c r="C69" s="61"/>
      <c r="D69" s="67"/>
      <c r="E69" s="56"/>
      <c r="F69" s="57"/>
      <c r="G69" s="114"/>
      <c r="H69" s="121"/>
      <c r="I69" s="114"/>
      <c r="J69" s="121"/>
      <c r="K69" s="68"/>
      <c r="L69" s="58"/>
    </row>
    <row r="70" spans="1:12" ht="24">
      <c r="A70" s="69"/>
      <c r="B70" s="60"/>
      <c r="C70" s="61"/>
      <c r="D70" s="67"/>
      <c r="E70" s="56"/>
      <c r="F70" s="57"/>
      <c r="G70" s="114"/>
      <c r="H70" s="121"/>
      <c r="I70" s="114"/>
      <c r="J70" s="121"/>
      <c r="K70" s="68"/>
      <c r="L70" s="58"/>
    </row>
    <row r="71" spans="1:12" ht="24.75" thickBot="1">
      <c r="A71" s="69"/>
      <c r="B71" s="60"/>
      <c r="C71" s="61"/>
      <c r="D71" s="67"/>
      <c r="E71" s="56"/>
      <c r="F71" s="57"/>
      <c r="G71" s="114"/>
      <c r="H71" s="121"/>
      <c r="I71" s="114"/>
      <c r="J71" s="121"/>
      <c r="K71" s="68"/>
      <c r="L71" s="58"/>
    </row>
    <row r="72" spans="1:12" ht="24.75" thickTop="1">
      <c r="A72" s="70"/>
      <c r="B72" s="1981" t="s">
        <v>69</v>
      </c>
      <c r="C72" s="1982"/>
      <c r="D72" s="1983"/>
      <c r="E72" s="71"/>
      <c r="F72" s="72"/>
      <c r="G72" s="115"/>
      <c r="H72" s="122"/>
      <c r="I72" s="115"/>
      <c r="J72" s="122"/>
      <c r="K72" s="73"/>
      <c r="L72" s="74"/>
    </row>
    <row r="73" spans="1:12" ht="24">
      <c r="A73" s="132">
        <v>4.3</v>
      </c>
      <c r="B73" s="133" t="s">
        <v>166</v>
      </c>
      <c r="C73" s="136"/>
      <c r="D73" s="137"/>
      <c r="E73" s="105"/>
      <c r="F73" s="106"/>
      <c r="G73" s="111"/>
      <c r="H73" s="117"/>
      <c r="I73" s="111"/>
      <c r="J73" s="117"/>
      <c r="K73" s="63"/>
      <c r="L73" s="107"/>
    </row>
    <row r="74" spans="1:12" ht="24">
      <c r="A74" s="52"/>
      <c r="B74" s="53"/>
      <c r="C74" s="54"/>
      <c r="D74" s="55"/>
      <c r="E74" s="56"/>
      <c r="F74" s="57"/>
      <c r="G74" s="112"/>
      <c r="H74" s="118"/>
      <c r="I74" s="123"/>
      <c r="J74" s="124"/>
      <c r="K74" s="57"/>
      <c r="L74" s="58"/>
    </row>
    <row r="75" spans="1:12" ht="24">
      <c r="A75" s="59"/>
      <c r="B75" s="60"/>
      <c r="C75" s="61"/>
      <c r="D75" s="62"/>
      <c r="E75" s="63"/>
      <c r="F75" s="64"/>
      <c r="G75" s="113"/>
      <c r="H75" s="119"/>
      <c r="I75" s="113"/>
      <c r="J75" s="120"/>
      <c r="K75" s="65"/>
      <c r="L75" s="66"/>
    </row>
    <row r="76" spans="1:12" ht="24">
      <c r="A76" s="59"/>
      <c r="B76" s="60"/>
      <c r="C76" s="61"/>
      <c r="D76" s="62"/>
      <c r="E76" s="63"/>
      <c r="F76" s="64"/>
      <c r="G76" s="113"/>
      <c r="H76" s="120"/>
      <c r="I76" s="113"/>
      <c r="J76" s="120"/>
      <c r="K76" s="65"/>
      <c r="L76" s="66"/>
    </row>
    <row r="77" spans="1:12" ht="24">
      <c r="A77" s="59"/>
      <c r="B77" s="60"/>
      <c r="C77" s="61"/>
      <c r="D77" s="67"/>
      <c r="E77" s="56"/>
      <c r="F77" s="57"/>
      <c r="G77" s="114"/>
      <c r="H77" s="121"/>
      <c r="I77" s="114"/>
      <c r="J77" s="121"/>
      <c r="K77" s="68"/>
      <c r="L77" s="58"/>
    </row>
    <row r="78" spans="1:12" ht="24">
      <c r="A78" s="59"/>
      <c r="B78" s="60"/>
      <c r="C78" s="61"/>
      <c r="D78" s="67"/>
      <c r="E78" s="56"/>
      <c r="F78" s="57"/>
      <c r="G78" s="114"/>
      <c r="H78" s="121"/>
      <c r="I78" s="114"/>
      <c r="J78" s="121"/>
      <c r="K78" s="68"/>
      <c r="L78" s="58"/>
    </row>
    <row r="79" spans="1:12" ht="24">
      <c r="A79" s="59"/>
      <c r="B79" s="60"/>
      <c r="C79" s="61"/>
      <c r="D79" s="67"/>
      <c r="E79" s="56"/>
      <c r="F79" s="57"/>
      <c r="G79" s="114"/>
      <c r="H79" s="121"/>
      <c r="I79" s="114"/>
      <c r="J79" s="121"/>
      <c r="K79" s="68"/>
      <c r="L79" s="58"/>
    </row>
    <row r="80" spans="1:12" ht="24">
      <c r="A80" s="59"/>
      <c r="B80" s="60"/>
      <c r="C80" s="61"/>
      <c r="D80" s="67"/>
      <c r="E80" s="56"/>
      <c r="F80" s="57"/>
      <c r="G80" s="114"/>
      <c r="H80" s="121"/>
      <c r="I80" s="114"/>
      <c r="J80" s="121"/>
      <c r="K80" s="68"/>
      <c r="L80" s="58"/>
    </row>
    <row r="81" spans="1:12" ht="24">
      <c r="A81" s="59"/>
      <c r="B81" s="60"/>
      <c r="C81" s="61"/>
      <c r="D81" s="67"/>
      <c r="E81" s="56"/>
      <c r="F81" s="57"/>
      <c r="G81" s="114"/>
      <c r="H81" s="121"/>
      <c r="I81" s="114"/>
      <c r="J81" s="121"/>
      <c r="K81" s="68"/>
      <c r="L81" s="58"/>
    </row>
    <row r="82" spans="1:12" ht="24">
      <c r="A82" s="59"/>
      <c r="B82" s="60"/>
      <c r="C82" s="61"/>
      <c r="D82" s="67"/>
      <c r="E82" s="56"/>
      <c r="F82" s="57"/>
      <c r="G82" s="114"/>
      <c r="H82" s="121"/>
      <c r="I82" s="114"/>
      <c r="J82" s="121"/>
      <c r="K82" s="68"/>
      <c r="L82" s="58"/>
    </row>
    <row r="83" spans="1:12" ht="24">
      <c r="A83" s="59"/>
      <c r="B83" s="60"/>
      <c r="C83" s="61"/>
      <c r="D83" s="67"/>
      <c r="E83" s="56"/>
      <c r="F83" s="57"/>
      <c r="G83" s="114"/>
      <c r="H83" s="121"/>
      <c r="I83" s="114"/>
      <c r="J83" s="121"/>
      <c r="K83" s="68"/>
      <c r="L83" s="58"/>
    </row>
    <row r="84" spans="1:12" ht="24">
      <c r="A84" s="59"/>
      <c r="B84" s="60"/>
      <c r="C84" s="61"/>
      <c r="D84" s="67"/>
      <c r="E84" s="56"/>
      <c r="F84" s="57"/>
      <c r="G84" s="114"/>
      <c r="H84" s="121"/>
      <c r="I84" s="114"/>
      <c r="J84" s="121"/>
      <c r="K84" s="68"/>
      <c r="L84" s="58"/>
    </row>
    <row r="85" spans="1:12" ht="24">
      <c r="A85" s="59"/>
      <c r="B85" s="60"/>
      <c r="C85" s="61"/>
      <c r="D85" s="67"/>
      <c r="E85" s="56"/>
      <c r="F85" s="57"/>
      <c r="G85" s="114"/>
      <c r="H85" s="121"/>
      <c r="I85" s="114"/>
      <c r="J85" s="121"/>
      <c r="K85" s="68"/>
      <c r="L85" s="58"/>
    </row>
    <row r="86" spans="1:12" ht="24">
      <c r="A86" s="59"/>
      <c r="B86" s="60"/>
      <c r="C86" s="61"/>
      <c r="D86" s="67"/>
      <c r="E86" s="56"/>
      <c r="F86" s="57"/>
      <c r="G86" s="114"/>
      <c r="H86" s="121"/>
      <c r="I86" s="114"/>
      <c r="J86" s="121"/>
      <c r="K86" s="68"/>
      <c r="L86" s="58"/>
    </row>
    <row r="87" spans="1:12" ht="24">
      <c r="A87" s="59"/>
      <c r="B87" s="60"/>
      <c r="C87" s="61"/>
      <c r="D87" s="67"/>
      <c r="E87" s="56"/>
      <c r="F87" s="57"/>
      <c r="G87" s="114"/>
      <c r="H87" s="121"/>
      <c r="I87" s="114"/>
      <c r="J87" s="121"/>
      <c r="K87" s="68"/>
      <c r="L87" s="58"/>
    </row>
    <row r="88" spans="1:12" ht="24">
      <c r="A88" s="69"/>
      <c r="B88" s="60"/>
      <c r="C88" s="61"/>
      <c r="D88" s="67"/>
      <c r="E88" s="56"/>
      <c r="F88" s="57"/>
      <c r="G88" s="114"/>
      <c r="H88" s="121"/>
      <c r="I88" s="114"/>
      <c r="J88" s="121"/>
      <c r="K88" s="68"/>
      <c r="L88" s="58"/>
    </row>
    <row r="89" spans="1:12" ht="24">
      <c r="A89" s="69"/>
      <c r="B89" s="60"/>
      <c r="C89" s="61"/>
      <c r="D89" s="67"/>
      <c r="E89" s="56"/>
      <c r="F89" s="57"/>
      <c r="G89" s="114"/>
      <c r="H89" s="121"/>
      <c r="I89" s="114"/>
      <c r="J89" s="121"/>
      <c r="K89" s="68"/>
      <c r="L89" s="58"/>
    </row>
    <row r="90" spans="1:12" ht="24">
      <c r="A90" s="69"/>
      <c r="B90" s="60"/>
      <c r="C90" s="61"/>
      <c r="D90" s="67"/>
      <c r="E90" s="56"/>
      <c r="F90" s="57"/>
      <c r="G90" s="114"/>
      <c r="H90" s="121"/>
      <c r="I90" s="114"/>
      <c r="J90" s="121"/>
      <c r="K90" s="68"/>
      <c r="L90" s="58"/>
    </row>
    <row r="91" spans="1:12" ht="24">
      <c r="A91" s="69"/>
      <c r="B91" s="60"/>
      <c r="C91" s="61"/>
      <c r="D91" s="67"/>
      <c r="E91" s="56"/>
      <c r="F91" s="57"/>
      <c r="G91" s="114"/>
      <c r="H91" s="121"/>
      <c r="I91" s="114"/>
      <c r="J91" s="121"/>
      <c r="K91" s="68"/>
      <c r="L91" s="58"/>
    </row>
    <row r="92" spans="1:12" ht="24.75" thickBot="1">
      <c r="A92" s="69"/>
      <c r="B92" s="60"/>
      <c r="C92" s="61"/>
      <c r="D92" s="67"/>
      <c r="E92" s="56"/>
      <c r="F92" s="57"/>
      <c r="G92" s="114"/>
      <c r="H92" s="121"/>
      <c r="I92" s="114"/>
      <c r="J92" s="121"/>
      <c r="K92" s="68"/>
      <c r="L92" s="58"/>
    </row>
    <row r="93" spans="1:12" ht="24.75" thickTop="1">
      <c r="A93" s="70"/>
      <c r="B93" s="1981" t="s">
        <v>69</v>
      </c>
      <c r="C93" s="1982"/>
      <c r="D93" s="1983"/>
      <c r="E93" s="71"/>
      <c r="F93" s="72"/>
      <c r="G93" s="115"/>
      <c r="H93" s="122"/>
      <c r="I93" s="115"/>
      <c r="J93" s="122"/>
      <c r="K93" s="73"/>
      <c r="L93" s="74"/>
    </row>
    <row r="94" spans="1:12" ht="24">
      <c r="A94" s="132">
        <v>4.4000000000000004</v>
      </c>
      <c r="B94" s="133" t="s">
        <v>167</v>
      </c>
      <c r="C94" s="136"/>
      <c r="D94" s="137"/>
      <c r="E94" s="105"/>
      <c r="F94" s="106"/>
      <c r="G94" s="111"/>
      <c r="H94" s="117"/>
      <c r="I94" s="111"/>
      <c r="J94" s="117"/>
      <c r="K94" s="63"/>
      <c r="L94" s="107"/>
    </row>
    <row r="95" spans="1:12" ht="24">
      <c r="A95" s="52"/>
      <c r="B95" s="53"/>
      <c r="C95" s="54"/>
      <c r="D95" s="55"/>
      <c r="E95" s="56"/>
      <c r="F95" s="57"/>
      <c r="G95" s="112"/>
      <c r="H95" s="118"/>
      <c r="I95" s="123"/>
      <c r="J95" s="124"/>
      <c r="K95" s="57"/>
      <c r="L95" s="58"/>
    </row>
    <row r="96" spans="1:12" ht="24">
      <c r="A96" s="59"/>
      <c r="B96" s="60"/>
      <c r="C96" s="61"/>
      <c r="D96" s="62"/>
      <c r="E96" s="63"/>
      <c r="F96" s="64"/>
      <c r="G96" s="113"/>
      <c r="H96" s="119"/>
      <c r="I96" s="113"/>
      <c r="J96" s="120"/>
      <c r="K96" s="65"/>
      <c r="L96" s="66"/>
    </row>
    <row r="97" spans="1:12" ht="24">
      <c r="A97" s="59"/>
      <c r="B97" s="60"/>
      <c r="C97" s="61"/>
      <c r="D97" s="62"/>
      <c r="E97" s="63"/>
      <c r="F97" s="64"/>
      <c r="G97" s="113"/>
      <c r="H97" s="120"/>
      <c r="I97" s="113"/>
      <c r="J97" s="120"/>
      <c r="K97" s="65"/>
      <c r="L97" s="66"/>
    </row>
    <row r="98" spans="1:12" ht="24">
      <c r="A98" s="59"/>
      <c r="B98" s="60"/>
      <c r="C98" s="61"/>
      <c r="D98" s="67"/>
      <c r="E98" s="56"/>
      <c r="F98" s="57"/>
      <c r="G98" s="114"/>
      <c r="H98" s="121"/>
      <c r="I98" s="114"/>
      <c r="J98" s="121"/>
      <c r="K98" s="68"/>
      <c r="L98" s="58"/>
    </row>
    <row r="99" spans="1:12" ht="24">
      <c r="A99" s="59"/>
      <c r="B99" s="60"/>
      <c r="C99" s="61"/>
      <c r="D99" s="67"/>
      <c r="E99" s="56"/>
      <c r="F99" s="57"/>
      <c r="G99" s="114"/>
      <c r="H99" s="121"/>
      <c r="I99" s="114"/>
      <c r="J99" s="121"/>
      <c r="K99" s="68"/>
      <c r="L99" s="58"/>
    </row>
    <row r="100" spans="1:12" ht="24">
      <c r="A100" s="59"/>
      <c r="B100" s="60"/>
      <c r="C100" s="61"/>
      <c r="D100" s="67"/>
      <c r="E100" s="56"/>
      <c r="F100" s="57"/>
      <c r="G100" s="114"/>
      <c r="H100" s="121"/>
      <c r="I100" s="114"/>
      <c r="J100" s="121"/>
      <c r="K100" s="68"/>
      <c r="L100" s="58"/>
    </row>
    <row r="101" spans="1:12" ht="24">
      <c r="A101" s="59"/>
      <c r="B101" s="60"/>
      <c r="C101" s="61"/>
      <c r="D101" s="67"/>
      <c r="E101" s="56"/>
      <c r="F101" s="57"/>
      <c r="G101" s="114"/>
      <c r="H101" s="121"/>
      <c r="I101" s="114"/>
      <c r="J101" s="121"/>
      <c r="K101" s="68"/>
      <c r="L101" s="58"/>
    </row>
    <row r="102" spans="1:12" ht="24">
      <c r="A102" s="59"/>
      <c r="B102" s="60"/>
      <c r="C102" s="61"/>
      <c r="D102" s="67"/>
      <c r="E102" s="56"/>
      <c r="F102" s="57"/>
      <c r="G102" s="114"/>
      <c r="H102" s="121"/>
      <c r="I102" s="114"/>
      <c r="J102" s="121"/>
      <c r="K102" s="68"/>
      <c r="L102" s="58"/>
    </row>
    <row r="103" spans="1:12" ht="24">
      <c r="A103" s="59"/>
      <c r="B103" s="60"/>
      <c r="C103" s="61"/>
      <c r="D103" s="67"/>
      <c r="E103" s="56"/>
      <c r="F103" s="57"/>
      <c r="G103" s="114"/>
      <c r="H103" s="121"/>
      <c r="I103" s="114"/>
      <c r="J103" s="121"/>
      <c r="K103" s="68"/>
      <c r="L103" s="58"/>
    </row>
    <row r="104" spans="1:12" ht="24">
      <c r="A104" s="59"/>
      <c r="B104" s="60"/>
      <c r="C104" s="61"/>
      <c r="D104" s="67"/>
      <c r="E104" s="56"/>
      <c r="F104" s="57"/>
      <c r="G104" s="114"/>
      <c r="H104" s="121"/>
      <c r="I104" s="114"/>
      <c r="J104" s="121"/>
      <c r="K104" s="68"/>
      <c r="L104" s="58"/>
    </row>
    <row r="105" spans="1:12" ht="24">
      <c r="A105" s="59"/>
      <c r="B105" s="60"/>
      <c r="C105" s="61"/>
      <c r="D105" s="67"/>
      <c r="E105" s="56"/>
      <c r="F105" s="57"/>
      <c r="G105" s="114"/>
      <c r="H105" s="121"/>
      <c r="I105" s="114"/>
      <c r="J105" s="121"/>
      <c r="K105" s="68"/>
      <c r="L105" s="58"/>
    </row>
    <row r="106" spans="1:12" ht="24">
      <c r="A106" s="59"/>
      <c r="B106" s="60"/>
      <c r="C106" s="61"/>
      <c r="D106" s="67"/>
      <c r="E106" s="56"/>
      <c r="F106" s="57"/>
      <c r="G106" s="114"/>
      <c r="H106" s="121"/>
      <c r="I106" s="114"/>
      <c r="J106" s="121"/>
      <c r="K106" s="68"/>
      <c r="L106" s="58"/>
    </row>
    <row r="107" spans="1:12" ht="24">
      <c r="A107" s="59"/>
      <c r="B107" s="60"/>
      <c r="C107" s="61"/>
      <c r="D107" s="67"/>
      <c r="E107" s="56"/>
      <c r="F107" s="57"/>
      <c r="G107" s="114"/>
      <c r="H107" s="121"/>
      <c r="I107" s="114"/>
      <c r="J107" s="121"/>
      <c r="K107" s="68"/>
      <c r="L107" s="58"/>
    </row>
    <row r="108" spans="1:12" ht="24">
      <c r="A108" s="59"/>
      <c r="B108" s="60"/>
      <c r="C108" s="61"/>
      <c r="D108" s="67"/>
      <c r="E108" s="56"/>
      <c r="F108" s="57"/>
      <c r="G108" s="114"/>
      <c r="H108" s="121"/>
      <c r="I108" s="114"/>
      <c r="J108" s="121"/>
      <c r="K108" s="68"/>
      <c r="L108" s="58"/>
    </row>
    <row r="109" spans="1:12" ht="24">
      <c r="A109" s="69"/>
      <c r="B109" s="60"/>
      <c r="C109" s="61"/>
      <c r="D109" s="67"/>
      <c r="E109" s="56"/>
      <c r="F109" s="57"/>
      <c r="G109" s="114"/>
      <c r="H109" s="121"/>
      <c r="I109" s="114"/>
      <c r="J109" s="121"/>
      <c r="K109" s="68"/>
      <c r="L109" s="58"/>
    </row>
    <row r="110" spans="1:12" ht="24">
      <c r="A110" s="69"/>
      <c r="B110" s="60"/>
      <c r="C110" s="61"/>
      <c r="D110" s="67"/>
      <c r="E110" s="56"/>
      <c r="F110" s="57"/>
      <c r="G110" s="114"/>
      <c r="H110" s="121"/>
      <c r="I110" s="114"/>
      <c r="J110" s="121"/>
      <c r="K110" s="68"/>
      <c r="L110" s="58"/>
    </row>
    <row r="111" spans="1:12" ht="24">
      <c r="A111" s="69"/>
      <c r="B111" s="60"/>
      <c r="C111" s="61"/>
      <c r="D111" s="67"/>
      <c r="E111" s="56"/>
      <c r="F111" s="57"/>
      <c r="G111" s="114"/>
      <c r="H111" s="121"/>
      <c r="I111" s="114"/>
      <c r="J111" s="121"/>
      <c r="K111" s="68"/>
      <c r="L111" s="58"/>
    </row>
    <row r="112" spans="1:12" ht="24">
      <c r="A112" s="69"/>
      <c r="B112" s="60"/>
      <c r="C112" s="61"/>
      <c r="D112" s="67"/>
      <c r="E112" s="56"/>
      <c r="F112" s="57"/>
      <c r="G112" s="114"/>
      <c r="H112" s="121"/>
      <c r="I112" s="114"/>
      <c r="J112" s="121"/>
      <c r="K112" s="68"/>
      <c r="L112" s="58"/>
    </row>
    <row r="113" spans="1:12" ht="24.75" thickBot="1">
      <c r="A113" s="69"/>
      <c r="B113" s="60"/>
      <c r="C113" s="61"/>
      <c r="D113" s="67"/>
      <c r="E113" s="56"/>
      <c r="F113" s="57"/>
      <c r="G113" s="114"/>
      <c r="H113" s="121"/>
      <c r="I113" s="114"/>
      <c r="J113" s="121"/>
      <c r="K113" s="68"/>
      <c r="L113" s="58"/>
    </row>
    <row r="114" spans="1:12" ht="24.75" thickTop="1">
      <c r="A114" s="70"/>
      <c r="B114" s="1981" t="s">
        <v>69</v>
      </c>
      <c r="C114" s="1982"/>
      <c r="D114" s="1983"/>
      <c r="E114" s="71"/>
      <c r="F114" s="72"/>
      <c r="G114" s="115"/>
      <c r="H114" s="122"/>
      <c r="I114" s="115"/>
      <c r="J114" s="122"/>
      <c r="K114" s="73"/>
      <c r="L114" s="74"/>
    </row>
    <row r="115" spans="1:12" ht="24">
      <c r="A115" s="132">
        <v>4.5</v>
      </c>
      <c r="B115" s="133" t="s">
        <v>168</v>
      </c>
      <c r="C115" s="136"/>
      <c r="D115" s="137"/>
      <c r="E115" s="105"/>
      <c r="F115" s="106"/>
      <c r="G115" s="111"/>
      <c r="H115" s="117"/>
      <c r="I115" s="111"/>
      <c r="J115" s="117"/>
      <c r="K115" s="63"/>
      <c r="L115" s="107"/>
    </row>
    <row r="116" spans="1:12" ht="24">
      <c r="A116" s="52"/>
      <c r="B116" s="53"/>
      <c r="C116" s="54"/>
      <c r="D116" s="55"/>
      <c r="E116" s="56"/>
      <c r="F116" s="57"/>
      <c r="G116" s="112"/>
      <c r="H116" s="118"/>
      <c r="I116" s="123"/>
      <c r="J116" s="124"/>
      <c r="K116" s="57"/>
      <c r="L116" s="58"/>
    </row>
    <row r="117" spans="1:12" ht="24">
      <c r="A117" s="59"/>
      <c r="B117" s="60"/>
      <c r="C117" s="61"/>
      <c r="D117" s="62"/>
      <c r="E117" s="63"/>
      <c r="F117" s="64"/>
      <c r="G117" s="113"/>
      <c r="H117" s="119"/>
      <c r="I117" s="113"/>
      <c r="J117" s="120"/>
      <c r="K117" s="65"/>
      <c r="L117" s="66"/>
    </row>
    <row r="118" spans="1:12" ht="24">
      <c r="A118" s="59"/>
      <c r="B118" s="60"/>
      <c r="C118" s="61"/>
      <c r="D118" s="62"/>
      <c r="E118" s="63"/>
      <c r="F118" s="64"/>
      <c r="G118" s="113"/>
      <c r="H118" s="120"/>
      <c r="I118" s="113"/>
      <c r="J118" s="120"/>
      <c r="K118" s="65"/>
      <c r="L118" s="66"/>
    </row>
    <row r="119" spans="1:12" ht="24">
      <c r="A119" s="59"/>
      <c r="B119" s="60"/>
      <c r="C119" s="61"/>
      <c r="D119" s="67"/>
      <c r="E119" s="56"/>
      <c r="F119" s="57"/>
      <c r="G119" s="114"/>
      <c r="H119" s="121"/>
      <c r="I119" s="114"/>
      <c r="J119" s="121"/>
      <c r="K119" s="68"/>
      <c r="L119" s="58"/>
    </row>
    <row r="120" spans="1:12" ht="24">
      <c r="A120" s="59"/>
      <c r="B120" s="60"/>
      <c r="C120" s="61"/>
      <c r="D120" s="67"/>
      <c r="E120" s="56"/>
      <c r="F120" s="57"/>
      <c r="G120" s="114"/>
      <c r="H120" s="121"/>
      <c r="I120" s="114"/>
      <c r="J120" s="121"/>
      <c r="K120" s="68"/>
      <c r="L120" s="58"/>
    </row>
    <row r="121" spans="1:12" ht="24">
      <c r="A121" s="59"/>
      <c r="B121" s="60"/>
      <c r="C121" s="61"/>
      <c r="D121" s="67"/>
      <c r="E121" s="56"/>
      <c r="F121" s="57"/>
      <c r="G121" s="114"/>
      <c r="H121" s="121"/>
      <c r="I121" s="114"/>
      <c r="J121" s="121"/>
      <c r="K121" s="68"/>
      <c r="L121" s="58"/>
    </row>
    <row r="122" spans="1:12" ht="24">
      <c r="A122" s="59"/>
      <c r="B122" s="60"/>
      <c r="C122" s="61"/>
      <c r="D122" s="67"/>
      <c r="E122" s="56"/>
      <c r="F122" s="57"/>
      <c r="G122" s="114"/>
      <c r="H122" s="121"/>
      <c r="I122" s="114"/>
      <c r="J122" s="121"/>
      <c r="K122" s="68"/>
      <c r="L122" s="58"/>
    </row>
    <row r="123" spans="1:12" ht="24">
      <c r="A123" s="59"/>
      <c r="B123" s="60"/>
      <c r="C123" s="61"/>
      <c r="D123" s="67"/>
      <c r="E123" s="56"/>
      <c r="F123" s="57"/>
      <c r="G123" s="114"/>
      <c r="H123" s="121"/>
      <c r="I123" s="114"/>
      <c r="J123" s="121"/>
      <c r="K123" s="68"/>
      <c r="L123" s="58"/>
    </row>
    <row r="124" spans="1:12" ht="24">
      <c r="A124" s="59"/>
      <c r="B124" s="60"/>
      <c r="C124" s="61"/>
      <c r="D124" s="67"/>
      <c r="E124" s="56"/>
      <c r="F124" s="57"/>
      <c r="G124" s="114"/>
      <c r="H124" s="121"/>
      <c r="I124" s="114"/>
      <c r="J124" s="121"/>
      <c r="K124" s="68"/>
      <c r="L124" s="58"/>
    </row>
    <row r="125" spans="1:12" ht="24">
      <c r="A125" s="59"/>
      <c r="B125" s="60"/>
      <c r="C125" s="61"/>
      <c r="D125" s="67"/>
      <c r="E125" s="56"/>
      <c r="F125" s="57"/>
      <c r="G125" s="114"/>
      <c r="H125" s="121"/>
      <c r="I125" s="114"/>
      <c r="J125" s="121"/>
      <c r="K125" s="68"/>
      <c r="L125" s="58"/>
    </row>
    <row r="126" spans="1:12" ht="24">
      <c r="A126" s="59"/>
      <c r="B126" s="60"/>
      <c r="C126" s="61"/>
      <c r="D126" s="67"/>
      <c r="E126" s="56"/>
      <c r="F126" s="57"/>
      <c r="G126" s="114"/>
      <c r="H126" s="121"/>
      <c r="I126" s="114"/>
      <c r="J126" s="121"/>
      <c r="K126" s="68"/>
      <c r="L126" s="58"/>
    </row>
    <row r="127" spans="1:12" ht="24">
      <c r="A127" s="59"/>
      <c r="B127" s="60"/>
      <c r="C127" s="61"/>
      <c r="D127" s="67"/>
      <c r="E127" s="56"/>
      <c r="F127" s="57"/>
      <c r="G127" s="114"/>
      <c r="H127" s="121"/>
      <c r="I127" s="114"/>
      <c r="J127" s="121"/>
      <c r="K127" s="68"/>
      <c r="L127" s="58"/>
    </row>
    <row r="128" spans="1:12" ht="24">
      <c r="A128" s="59"/>
      <c r="B128" s="60"/>
      <c r="C128" s="61"/>
      <c r="D128" s="67"/>
      <c r="E128" s="56"/>
      <c r="F128" s="57"/>
      <c r="G128" s="114"/>
      <c r="H128" s="121"/>
      <c r="I128" s="114"/>
      <c r="J128" s="121"/>
      <c r="K128" s="68"/>
      <c r="L128" s="58"/>
    </row>
    <row r="129" spans="1:12" ht="24">
      <c r="A129" s="59"/>
      <c r="B129" s="60"/>
      <c r="C129" s="61"/>
      <c r="D129" s="67"/>
      <c r="E129" s="56"/>
      <c r="F129" s="57"/>
      <c r="G129" s="114"/>
      <c r="H129" s="121"/>
      <c r="I129" s="114"/>
      <c r="J129" s="121"/>
      <c r="K129" s="68"/>
      <c r="L129" s="58"/>
    </row>
    <row r="130" spans="1:12" ht="24">
      <c r="A130" s="69"/>
      <c r="B130" s="60"/>
      <c r="C130" s="61"/>
      <c r="D130" s="67"/>
      <c r="E130" s="56"/>
      <c r="F130" s="57"/>
      <c r="G130" s="114"/>
      <c r="H130" s="121"/>
      <c r="I130" s="114"/>
      <c r="J130" s="121"/>
      <c r="K130" s="68"/>
      <c r="L130" s="58"/>
    </row>
    <row r="131" spans="1:12" ht="24">
      <c r="A131" s="69"/>
      <c r="B131" s="60"/>
      <c r="C131" s="61"/>
      <c r="D131" s="67"/>
      <c r="E131" s="56"/>
      <c r="F131" s="57"/>
      <c r="G131" s="114"/>
      <c r="H131" s="121"/>
      <c r="I131" s="114"/>
      <c r="J131" s="121"/>
      <c r="K131" s="68"/>
      <c r="L131" s="58"/>
    </row>
    <row r="132" spans="1:12" ht="24">
      <c r="A132" s="69"/>
      <c r="B132" s="60"/>
      <c r="C132" s="61"/>
      <c r="D132" s="67"/>
      <c r="E132" s="56"/>
      <c r="F132" s="57"/>
      <c r="G132" s="114"/>
      <c r="H132" s="121"/>
      <c r="I132" s="114"/>
      <c r="J132" s="121"/>
      <c r="K132" s="68"/>
      <c r="L132" s="58"/>
    </row>
    <row r="133" spans="1:12" ht="24">
      <c r="A133" s="69"/>
      <c r="B133" s="60"/>
      <c r="C133" s="61"/>
      <c r="D133" s="67"/>
      <c r="E133" s="56"/>
      <c r="F133" s="57"/>
      <c r="G133" s="114"/>
      <c r="H133" s="121"/>
      <c r="I133" s="114"/>
      <c r="J133" s="121"/>
      <c r="K133" s="68"/>
      <c r="L133" s="58"/>
    </row>
    <row r="134" spans="1:12" ht="24.75" thickBot="1">
      <c r="A134" s="69"/>
      <c r="B134" s="60"/>
      <c r="C134" s="61"/>
      <c r="D134" s="67"/>
      <c r="E134" s="56"/>
      <c r="F134" s="57"/>
      <c r="G134" s="114"/>
      <c r="H134" s="121"/>
      <c r="I134" s="114"/>
      <c r="J134" s="121"/>
      <c r="K134" s="68"/>
      <c r="L134" s="58"/>
    </row>
    <row r="135" spans="1:12" ht="24.75" thickTop="1">
      <c r="A135" s="70"/>
      <c r="B135" s="1981" t="s">
        <v>69</v>
      </c>
      <c r="C135" s="1982"/>
      <c r="D135" s="1983"/>
      <c r="E135" s="71"/>
      <c r="F135" s="72"/>
      <c r="G135" s="115"/>
      <c r="H135" s="122"/>
      <c r="I135" s="115"/>
      <c r="J135" s="122"/>
      <c r="K135" s="73"/>
      <c r="L135" s="74"/>
    </row>
    <row r="136" spans="1:12" ht="24">
      <c r="A136" s="104"/>
      <c r="B136" s="135"/>
      <c r="C136" s="136"/>
      <c r="D136" s="137"/>
      <c r="E136" s="105"/>
      <c r="F136" s="106"/>
      <c r="G136" s="111"/>
      <c r="H136" s="117"/>
      <c r="I136" s="111"/>
      <c r="J136" s="117"/>
      <c r="K136" s="63"/>
      <c r="L136" s="107"/>
    </row>
    <row r="137" spans="1:12" ht="24">
      <c r="A137" s="52"/>
      <c r="B137" s="53"/>
      <c r="C137" s="54"/>
      <c r="D137" s="55"/>
      <c r="E137" s="56"/>
      <c r="F137" s="57"/>
      <c r="G137" s="112"/>
      <c r="H137" s="118"/>
      <c r="I137" s="123"/>
      <c r="J137" s="124"/>
      <c r="K137" s="57"/>
      <c r="L137" s="58"/>
    </row>
    <row r="138" spans="1:12" ht="24">
      <c r="A138" s="59"/>
      <c r="B138" s="60"/>
      <c r="C138" s="61"/>
      <c r="D138" s="62"/>
      <c r="E138" s="63"/>
      <c r="F138" s="64"/>
      <c r="G138" s="113"/>
      <c r="H138" s="119"/>
      <c r="I138" s="113"/>
      <c r="J138" s="120"/>
      <c r="K138" s="65"/>
      <c r="L138" s="66"/>
    </row>
    <row r="139" spans="1:12" ht="24">
      <c r="A139" s="59"/>
      <c r="B139" s="60"/>
      <c r="C139" s="61"/>
      <c r="D139" s="62"/>
      <c r="E139" s="63"/>
      <c r="F139" s="64"/>
      <c r="G139" s="113"/>
      <c r="H139" s="120"/>
      <c r="I139" s="113"/>
      <c r="J139" s="120"/>
      <c r="K139" s="65"/>
      <c r="L139" s="66"/>
    </row>
    <row r="140" spans="1:12" ht="24">
      <c r="A140" s="59"/>
      <c r="B140" s="60"/>
      <c r="C140" s="61"/>
      <c r="D140" s="67"/>
      <c r="E140" s="56"/>
      <c r="F140" s="57"/>
      <c r="G140" s="114"/>
      <c r="H140" s="121"/>
      <c r="I140" s="114"/>
      <c r="J140" s="121"/>
      <c r="K140" s="68"/>
      <c r="L140" s="58"/>
    </row>
    <row r="141" spans="1:12" ht="24">
      <c r="A141" s="59"/>
      <c r="B141" s="60"/>
      <c r="C141" s="61"/>
      <c r="D141" s="67"/>
      <c r="E141" s="56"/>
      <c r="F141" s="57"/>
      <c r="G141" s="114"/>
      <c r="H141" s="121"/>
      <c r="I141" s="114"/>
      <c r="J141" s="121"/>
      <c r="K141" s="68"/>
      <c r="L141" s="58"/>
    </row>
    <row r="142" spans="1:12" ht="24">
      <c r="A142" s="59"/>
      <c r="B142" s="60"/>
      <c r="C142" s="61"/>
      <c r="D142" s="67"/>
      <c r="E142" s="56"/>
      <c r="F142" s="57"/>
      <c r="G142" s="114"/>
      <c r="H142" s="121"/>
      <c r="I142" s="114"/>
      <c r="J142" s="121"/>
      <c r="K142" s="68"/>
      <c r="L142" s="58"/>
    </row>
    <row r="143" spans="1:12" ht="24">
      <c r="A143" s="59"/>
      <c r="B143" s="60"/>
      <c r="C143" s="61"/>
      <c r="D143" s="67"/>
      <c r="E143" s="56"/>
      <c r="F143" s="57"/>
      <c r="G143" s="114"/>
      <c r="H143" s="121"/>
      <c r="I143" s="114"/>
      <c r="J143" s="121"/>
      <c r="K143" s="68"/>
      <c r="L143" s="58"/>
    </row>
    <row r="144" spans="1:12" ht="24">
      <c r="A144" s="59"/>
      <c r="B144" s="60"/>
      <c r="C144" s="61"/>
      <c r="D144" s="67"/>
      <c r="E144" s="56"/>
      <c r="F144" s="57"/>
      <c r="G144" s="114"/>
      <c r="H144" s="121"/>
      <c r="I144" s="114"/>
      <c r="J144" s="121"/>
      <c r="K144" s="68"/>
      <c r="L144" s="58"/>
    </row>
    <row r="145" spans="1:12" ht="24">
      <c r="A145" s="59"/>
      <c r="B145" s="60"/>
      <c r="C145" s="61"/>
      <c r="D145" s="67"/>
      <c r="E145" s="56"/>
      <c r="F145" s="57"/>
      <c r="G145" s="114"/>
      <c r="H145" s="121"/>
      <c r="I145" s="114"/>
      <c r="J145" s="121"/>
      <c r="K145" s="68"/>
      <c r="L145" s="58"/>
    </row>
    <row r="146" spans="1:12" ht="24">
      <c r="A146" s="59"/>
      <c r="B146" s="60"/>
      <c r="C146" s="61"/>
      <c r="D146" s="67"/>
      <c r="E146" s="56"/>
      <c r="F146" s="57"/>
      <c r="G146" s="114"/>
      <c r="H146" s="121"/>
      <c r="I146" s="114"/>
      <c r="J146" s="121"/>
      <c r="K146" s="68"/>
      <c r="L146" s="58"/>
    </row>
    <row r="147" spans="1:12" ht="24">
      <c r="A147" s="59"/>
      <c r="B147" s="60"/>
      <c r="C147" s="61"/>
      <c r="D147" s="67"/>
      <c r="E147" s="56"/>
      <c r="F147" s="57"/>
      <c r="G147" s="114"/>
      <c r="H147" s="121"/>
      <c r="I147" s="114"/>
      <c r="J147" s="121"/>
      <c r="K147" s="68"/>
      <c r="L147" s="58"/>
    </row>
    <row r="148" spans="1:12" ht="24">
      <c r="A148" s="59"/>
      <c r="B148" s="60"/>
      <c r="C148" s="61"/>
      <c r="D148" s="67"/>
      <c r="E148" s="56"/>
      <c r="F148" s="57"/>
      <c r="G148" s="114"/>
      <c r="H148" s="121"/>
      <c r="I148" s="114"/>
      <c r="J148" s="121"/>
      <c r="K148" s="68"/>
      <c r="L148" s="58"/>
    </row>
    <row r="149" spans="1:12" ht="24">
      <c r="A149" s="59"/>
      <c r="B149" s="60"/>
      <c r="C149" s="61"/>
      <c r="D149" s="67"/>
      <c r="E149" s="56"/>
      <c r="F149" s="57"/>
      <c r="G149" s="114"/>
      <c r="H149" s="121"/>
      <c r="I149" s="114"/>
      <c r="J149" s="121"/>
      <c r="K149" s="68"/>
      <c r="L149" s="58"/>
    </row>
    <row r="150" spans="1:12" ht="24">
      <c r="A150" s="59"/>
      <c r="B150" s="60"/>
      <c r="C150" s="61"/>
      <c r="D150" s="67"/>
      <c r="E150" s="56"/>
      <c r="F150" s="57"/>
      <c r="G150" s="114"/>
      <c r="H150" s="121"/>
      <c r="I150" s="114"/>
      <c r="J150" s="121"/>
      <c r="K150" s="68"/>
      <c r="L150" s="58"/>
    </row>
    <row r="151" spans="1:12" ht="24">
      <c r="A151" s="69"/>
      <c r="B151" s="60"/>
      <c r="C151" s="61"/>
      <c r="D151" s="67"/>
      <c r="E151" s="56"/>
      <c r="F151" s="57"/>
      <c r="G151" s="114"/>
      <c r="H151" s="121"/>
      <c r="I151" s="114"/>
      <c r="J151" s="121"/>
      <c r="K151" s="68"/>
      <c r="L151" s="58"/>
    </row>
    <row r="152" spans="1:12" ht="24">
      <c r="A152" s="69"/>
      <c r="B152" s="60"/>
      <c r="C152" s="61"/>
      <c r="D152" s="67"/>
      <c r="E152" s="56"/>
      <c r="F152" s="57"/>
      <c r="G152" s="114"/>
      <c r="H152" s="121"/>
      <c r="I152" s="114"/>
      <c r="J152" s="121"/>
      <c r="K152" s="68"/>
      <c r="L152" s="58"/>
    </row>
    <row r="153" spans="1:12" ht="24">
      <c r="A153" s="69"/>
      <c r="B153" s="60"/>
      <c r="C153" s="61"/>
      <c r="D153" s="67"/>
      <c r="E153" s="56"/>
      <c r="F153" s="57"/>
      <c r="G153" s="114"/>
      <c r="H153" s="121"/>
      <c r="I153" s="114"/>
      <c r="J153" s="121"/>
      <c r="K153" s="68"/>
      <c r="L153" s="58"/>
    </row>
    <row r="154" spans="1:12" ht="24">
      <c r="A154" s="69"/>
      <c r="B154" s="60"/>
      <c r="C154" s="61"/>
      <c r="D154" s="67"/>
      <c r="E154" s="56"/>
      <c r="F154" s="57"/>
      <c r="G154" s="114"/>
      <c r="H154" s="121"/>
      <c r="I154" s="114"/>
      <c r="J154" s="121"/>
      <c r="K154" s="68"/>
      <c r="L154" s="58"/>
    </row>
    <row r="155" spans="1:12" ht="24.75" thickBot="1">
      <c r="A155" s="69"/>
      <c r="B155" s="60"/>
      <c r="C155" s="61"/>
      <c r="D155" s="67"/>
      <c r="E155" s="56"/>
      <c r="F155" s="57"/>
      <c r="G155" s="114"/>
      <c r="H155" s="121"/>
      <c r="I155" s="114"/>
      <c r="J155" s="121"/>
      <c r="K155" s="68"/>
      <c r="L155" s="58"/>
    </row>
    <row r="156" spans="1:12" ht="24.75" thickTop="1">
      <c r="A156" s="70"/>
      <c r="B156" s="1981" t="s">
        <v>69</v>
      </c>
      <c r="C156" s="1982"/>
      <c r="D156" s="1983"/>
      <c r="E156" s="71"/>
      <c r="F156" s="72"/>
      <c r="G156" s="115"/>
      <c r="H156" s="122"/>
      <c r="I156" s="115"/>
      <c r="J156" s="122"/>
      <c r="K156" s="73"/>
      <c r="L156" s="74"/>
    </row>
    <row r="157" spans="1:12" ht="24">
      <c r="A157" s="104"/>
      <c r="B157" s="135"/>
      <c r="C157" s="136"/>
      <c r="D157" s="137"/>
      <c r="E157" s="105"/>
      <c r="F157" s="106"/>
      <c r="G157" s="111"/>
      <c r="H157" s="117"/>
      <c r="I157" s="111"/>
      <c r="J157" s="117"/>
      <c r="K157" s="63"/>
      <c r="L157" s="107"/>
    </row>
    <row r="158" spans="1:12" ht="24">
      <c r="A158" s="52"/>
      <c r="B158" s="53"/>
      <c r="C158" s="54"/>
      <c r="D158" s="55"/>
      <c r="E158" s="56"/>
      <c r="F158" s="57"/>
      <c r="G158" s="112"/>
      <c r="H158" s="118"/>
      <c r="I158" s="123"/>
      <c r="J158" s="124"/>
      <c r="K158" s="57"/>
      <c r="L158" s="58"/>
    </row>
    <row r="159" spans="1:12" ht="24">
      <c r="A159" s="59"/>
      <c r="B159" s="60"/>
      <c r="C159" s="61"/>
      <c r="D159" s="62"/>
      <c r="E159" s="63"/>
      <c r="F159" s="64"/>
      <c r="G159" s="113"/>
      <c r="H159" s="119"/>
      <c r="I159" s="113"/>
      <c r="J159" s="120"/>
      <c r="K159" s="65"/>
      <c r="L159" s="66"/>
    </row>
    <row r="160" spans="1:12" ht="24">
      <c r="A160" s="59"/>
      <c r="B160" s="60"/>
      <c r="C160" s="61"/>
      <c r="D160" s="62"/>
      <c r="E160" s="63"/>
      <c r="F160" s="64"/>
      <c r="G160" s="113"/>
      <c r="H160" s="120"/>
      <c r="I160" s="113"/>
      <c r="J160" s="120"/>
      <c r="K160" s="65"/>
      <c r="L160" s="66"/>
    </row>
    <row r="161" spans="1:12" ht="24">
      <c r="A161" s="59"/>
      <c r="B161" s="60"/>
      <c r="C161" s="61"/>
      <c r="D161" s="67"/>
      <c r="E161" s="56"/>
      <c r="F161" s="57"/>
      <c r="G161" s="114"/>
      <c r="H161" s="121"/>
      <c r="I161" s="114"/>
      <c r="J161" s="121"/>
      <c r="K161" s="68"/>
      <c r="L161" s="58"/>
    </row>
    <row r="162" spans="1:12" ht="24">
      <c r="A162" s="59"/>
      <c r="B162" s="60"/>
      <c r="C162" s="61"/>
      <c r="D162" s="67"/>
      <c r="E162" s="56"/>
      <c r="F162" s="57"/>
      <c r="G162" s="114"/>
      <c r="H162" s="121"/>
      <c r="I162" s="114"/>
      <c r="J162" s="121"/>
      <c r="K162" s="68"/>
      <c r="L162" s="58"/>
    </row>
    <row r="163" spans="1:12" ht="24">
      <c r="A163" s="59"/>
      <c r="B163" s="60"/>
      <c r="C163" s="61"/>
      <c r="D163" s="67"/>
      <c r="E163" s="56"/>
      <c r="F163" s="57"/>
      <c r="G163" s="114"/>
      <c r="H163" s="121"/>
      <c r="I163" s="114"/>
      <c r="J163" s="121"/>
      <c r="K163" s="68"/>
      <c r="L163" s="58"/>
    </row>
    <row r="164" spans="1:12" ht="24">
      <c r="A164" s="59"/>
      <c r="B164" s="60"/>
      <c r="C164" s="61"/>
      <c r="D164" s="67"/>
      <c r="E164" s="56"/>
      <c r="F164" s="57"/>
      <c r="G164" s="114"/>
      <c r="H164" s="121"/>
      <c r="I164" s="114"/>
      <c r="J164" s="121"/>
      <c r="K164" s="68"/>
      <c r="L164" s="58"/>
    </row>
    <row r="165" spans="1:12" ht="24">
      <c r="A165" s="59"/>
      <c r="B165" s="60"/>
      <c r="C165" s="61"/>
      <c r="D165" s="67"/>
      <c r="E165" s="56"/>
      <c r="F165" s="57"/>
      <c r="G165" s="114"/>
      <c r="H165" s="121"/>
      <c r="I165" s="114"/>
      <c r="J165" s="121"/>
      <c r="K165" s="68"/>
      <c r="L165" s="58"/>
    </row>
    <row r="166" spans="1:12" ht="24">
      <c r="A166" s="59"/>
      <c r="B166" s="60"/>
      <c r="C166" s="61"/>
      <c r="D166" s="67"/>
      <c r="E166" s="56"/>
      <c r="F166" s="57"/>
      <c r="G166" s="114"/>
      <c r="H166" s="121"/>
      <c r="I166" s="114"/>
      <c r="J166" s="121"/>
      <c r="K166" s="68"/>
      <c r="L166" s="58"/>
    </row>
    <row r="167" spans="1:12" ht="24">
      <c r="A167" s="59"/>
      <c r="B167" s="60"/>
      <c r="C167" s="61"/>
      <c r="D167" s="67"/>
      <c r="E167" s="56"/>
      <c r="F167" s="57"/>
      <c r="G167" s="114"/>
      <c r="H167" s="121"/>
      <c r="I167" s="114"/>
      <c r="J167" s="121"/>
      <c r="K167" s="68"/>
      <c r="L167" s="58"/>
    </row>
    <row r="168" spans="1:12" ht="24">
      <c r="A168" s="59"/>
      <c r="B168" s="60"/>
      <c r="C168" s="61"/>
      <c r="D168" s="67"/>
      <c r="E168" s="56"/>
      <c r="F168" s="57"/>
      <c r="G168" s="114"/>
      <c r="H168" s="121"/>
      <c r="I168" s="114"/>
      <c r="J168" s="121"/>
      <c r="K168" s="68"/>
      <c r="L168" s="58"/>
    </row>
    <row r="169" spans="1:12" ht="24">
      <c r="A169" s="59"/>
      <c r="B169" s="60"/>
      <c r="C169" s="61"/>
      <c r="D169" s="67"/>
      <c r="E169" s="56"/>
      <c r="F169" s="57"/>
      <c r="G169" s="114"/>
      <c r="H169" s="121"/>
      <c r="I169" s="114"/>
      <c r="J169" s="121"/>
      <c r="K169" s="68"/>
      <c r="L169" s="58"/>
    </row>
    <row r="170" spans="1:12" ht="24">
      <c r="A170" s="59"/>
      <c r="B170" s="60"/>
      <c r="C170" s="61"/>
      <c r="D170" s="67"/>
      <c r="E170" s="56"/>
      <c r="F170" s="57"/>
      <c r="G170" s="114"/>
      <c r="H170" s="121"/>
      <c r="I170" s="114"/>
      <c r="J170" s="121"/>
      <c r="K170" s="68"/>
      <c r="L170" s="58"/>
    </row>
    <row r="171" spans="1:12" ht="24">
      <c r="A171" s="59"/>
      <c r="B171" s="60"/>
      <c r="C171" s="61"/>
      <c r="D171" s="67"/>
      <c r="E171" s="56"/>
      <c r="F171" s="57"/>
      <c r="G171" s="114"/>
      <c r="H171" s="121"/>
      <c r="I171" s="114"/>
      <c r="J171" s="121"/>
      <c r="K171" s="68"/>
      <c r="L171" s="58"/>
    </row>
    <row r="172" spans="1:12" ht="24">
      <c r="A172" s="69"/>
      <c r="B172" s="60"/>
      <c r="C172" s="61"/>
      <c r="D172" s="67"/>
      <c r="E172" s="56"/>
      <c r="F172" s="57"/>
      <c r="G172" s="114"/>
      <c r="H172" s="121"/>
      <c r="I172" s="114"/>
      <c r="J172" s="121"/>
      <c r="K172" s="68"/>
      <c r="L172" s="58"/>
    </row>
    <row r="173" spans="1:12" ht="24">
      <c r="A173" s="69"/>
      <c r="B173" s="60"/>
      <c r="C173" s="61"/>
      <c r="D173" s="67"/>
      <c r="E173" s="56"/>
      <c r="F173" s="57"/>
      <c r="G173" s="114"/>
      <c r="H173" s="121"/>
      <c r="I173" s="114"/>
      <c r="J173" s="121"/>
      <c r="K173" s="68"/>
      <c r="L173" s="58"/>
    </row>
    <row r="174" spans="1:12" ht="24">
      <c r="A174" s="69"/>
      <c r="B174" s="60"/>
      <c r="C174" s="61"/>
      <c r="D174" s="67"/>
      <c r="E174" s="56"/>
      <c r="F174" s="57"/>
      <c r="G174" s="114"/>
      <c r="H174" s="121"/>
      <c r="I174" s="114"/>
      <c r="J174" s="121"/>
      <c r="K174" s="68"/>
      <c r="L174" s="58"/>
    </row>
    <row r="175" spans="1:12" ht="24">
      <c r="A175" s="69"/>
      <c r="B175" s="60"/>
      <c r="C175" s="61"/>
      <c r="D175" s="67"/>
      <c r="E175" s="56"/>
      <c r="F175" s="57"/>
      <c r="G175" s="114"/>
      <c r="H175" s="121"/>
      <c r="I175" s="114"/>
      <c r="J175" s="121"/>
      <c r="K175" s="68"/>
      <c r="L175" s="58"/>
    </row>
    <row r="176" spans="1:12" ht="24.75" thickBot="1">
      <c r="A176" s="69"/>
      <c r="B176" s="60"/>
      <c r="C176" s="61"/>
      <c r="D176" s="67"/>
      <c r="E176" s="56"/>
      <c r="F176" s="57"/>
      <c r="G176" s="114"/>
      <c r="H176" s="121"/>
      <c r="I176" s="114"/>
      <c r="J176" s="121"/>
      <c r="K176" s="68"/>
      <c r="L176" s="58"/>
    </row>
    <row r="177" spans="1:12" ht="24.75" thickTop="1">
      <c r="A177" s="70"/>
      <c r="B177" s="1981" t="s">
        <v>69</v>
      </c>
      <c r="C177" s="1982"/>
      <c r="D177" s="1983"/>
      <c r="E177" s="71"/>
      <c r="F177" s="72"/>
      <c r="G177" s="115"/>
      <c r="H177" s="122"/>
      <c r="I177" s="115"/>
      <c r="J177" s="122"/>
      <c r="K177" s="73"/>
      <c r="L177" s="74"/>
    </row>
    <row r="178" spans="1:12" ht="24">
      <c r="A178" s="104"/>
      <c r="B178" s="135"/>
      <c r="C178" s="136"/>
      <c r="D178" s="137"/>
      <c r="E178" s="105"/>
      <c r="F178" s="106"/>
      <c r="G178" s="111"/>
      <c r="H178" s="117"/>
      <c r="I178" s="111"/>
      <c r="J178" s="117"/>
      <c r="K178" s="63"/>
      <c r="L178" s="107"/>
    </row>
    <row r="179" spans="1:12" ht="24">
      <c r="A179" s="52"/>
      <c r="B179" s="53"/>
      <c r="C179" s="54"/>
      <c r="D179" s="55"/>
      <c r="E179" s="56"/>
      <c r="F179" s="57"/>
      <c r="G179" s="112"/>
      <c r="H179" s="118"/>
      <c r="I179" s="123"/>
      <c r="J179" s="124"/>
      <c r="K179" s="57"/>
      <c r="L179" s="58"/>
    </row>
    <row r="180" spans="1:12" ht="24">
      <c r="A180" s="59"/>
      <c r="B180" s="60"/>
      <c r="C180" s="61"/>
      <c r="D180" s="62"/>
      <c r="E180" s="63"/>
      <c r="F180" s="64"/>
      <c r="G180" s="113"/>
      <c r="H180" s="119"/>
      <c r="I180" s="113"/>
      <c r="J180" s="120"/>
      <c r="K180" s="65"/>
      <c r="L180" s="66"/>
    </row>
    <row r="181" spans="1:12" ht="24">
      <c r="A181" s="59"/>
      <c r="B181" s="60"/>
      <c r="C181" s="61"/>
      <c r="D181" s="62"/>
      <c r="E181" s="63"/>
      <c r="F181" s="64"/>
      <c r="G181" s="113"/>
      <c r="H181" s="120"/>
      <c r="I181" s="113"/>
      <c r="J181" s="120"/>
      <c r="K181" s="65"/>
      <c r="L181" s="66"/>
    </row>
    <row r="182" spans="1:12" ht="24">
      <c r="A182" s="59"/>
      <c r="B182" s="60"/>
      <c r="C182" s="61"/>
      <c r="D182" s="67"/>
      <c r="E182" s="56"/>
      <c r="F182" s="57"/>
      <c r="G182" s="114"/>
      <c r="H182" s="121"/>
      <c r="I182" s="114"/>
      <c r="J182" s="121"/>
      <c r="K182" s="68"/>
      <c r="L182" s="58"/>
    </row>
    <row r="183" spans="1:12" ht="24">
      <c r="A183" s="59"/>
      <c r="B183" s="60"/>
      <c r="C183" s="61"/>
      <c r="D183" s="67"/>
      <c r="E183" s="56"/>
      <c r="F183" s="57"/>
      <c r="G183" s="114"/>
      <c r="H183" s="121"/>
      <c r="I183" s="114"/>
      <c r="J183" s="121"/>
      <c r="K183" s="68"/>
      <c r="L183" s="58"/>
    </row>
    <row r="184" spans="1:12" ht="24">
      <c r="A184" s="59"/>
      <c r="B184" s="60"/>
      <c r="C184" s="61"/>
      <c r="D184" s="67"/>
      <c r="E184" s="56"/>
      <c r="F184" s="57"/>
      <c r="G184" s="114"/>
      <c r="H184" s="121"/>
      <c r="I184" s="114"/>
      <c r="J184" s="121"/>
      <c r="K184" s="68"/>
      <c r="L184" s="58"/>
    </row>
    <row r="185" spans="1:12" ht="24">
      <c r="A185" s="59"/>
      <c r="B185" s="60"/>
      <c r="C185" s="61"/>
      <c r="D185" s="67"/>
      <c r="E185" s="56"/>
      <c r="F185" s="57"/>
      <c r="G185" s="114"/>
      <c r="H185" s="121"/>
      <c r="I185" s="114"/>
      <c r="J185" s="121"/>
      <c r="K185" s="68"/>
      <c r="L185" s="58"/>
    </row>
    <row r="186" spans="1:12" ht="24">
      <c r="A186" s="59"/>
      <c r="B186" s="60"/>
      <c r="C186" s="61"/>
      <c r="D186" s="67"/>
      <c r="E186" s="56"/>
      <c r="F186" s="57"/>
      <c r="G186" s="114"/>
      <c r="H186" s="121"/>
      <c r="I186" s="114"/>
      <c r="J186" s="121"/>
      <c r="K186" s="68"/>
      <c r="L186" s="58"/>
    </row>
    <row r="187" spans="1:12" ht="24">
      <c r="A187" s="59"/>
      <c r="B187" s="60"/>
      <c r="C187" s="61"/>
      <c r="D187" s="67"/>
      <c r="E187" s="56"/>
      <c r="F187" s="57"/>
      <c r="G187" s="114"/>
      <c r="H187" s="121"/>
      <c r="I187" s="114"/>
      <c r="J187" s="121"/>
      <c r="K187" s="68"/>
      <c r="L187" s="58"/>
    </row>
    <row r="188" spans="1:12" ht="24">
      <c r="A188" s="59"/>
      <c r="B188" s="60"/>
      <c r="C188" s="61"/>
      <c r="D188" s="67"/>
      <c r="E188" s="56"/>
      <c r="F188" s="57"/>
      <c r="G188" s="114"/>
      <c r="H188" s="121"/>
      <c r="I188" s="114"/>
      <c r="J188" s="121"/>
      <c r="K188" s="68"/>
      <c r="L188" s="58"/>
    </row>
    <row r="189" spans="1:12" ht="24">
      <c r="A189" s="59"/>
      <c r="B189" s="60"/>
      <c r="C189" s="61"/>
      <c r="D189" s="67"/>
      <c r="E189" s="56"/>
      <c r="F189" s="57"/>
      <c r="G189" s="114"/>
      <c r="H189" s="121"/>
      <c r="I189" s="114"/>
      <c r="J189" s="121"/>
      <c r="K189" s="68"/>
      <c r="L189" s="58"/>
    </row>
    <row r="190" spans="1:12" ht="24">
      <c r="A190" s="59"/>
      <c r="B190" s="60"/>
      <c r="C190" s="61"/>
      <c r="D190" s="67"/>
      <c r="E190" s="56"/>
      <c r="F190" s="57"/>
      <c r="G190" s="114"/>
      <c r="H190" s="121"/>
      <c r="I190" s="114"/>
      <c r="J190" s="121"/>
      <c r="K190" s="68"/>
      <c r="L190" s="58"/>
    </row>
    <row r="191" spans="1:12" ht="24">
      <c r="A191" s="59"/>
      <c r="B191" s="60"/>
      <c r="C191" s="61"/>
      <c r="D191" s="67"/>
      <c r="E191" s="56"/>
      <c r="F191" s="57"/>
      <c r="G191" s="114"/>
      <c r="H191" s="121"/>
      <c r="I191" s="114"/>
      <c r="J191" s="121"/>
      <c r="K191" s="68"/>
      <c r="L191" s="58"/>
    </row>
    <row r="192" spans="1:12" ht="24">
      <c r="A192" s="59"/>
      <c r="B192" s="60"/>
      <c r="C192" s="61"/>
      <c r="D192" s="67"/>
      <c r="E192" s="56"/>
      <c r="F192" s="57"/>
      <c r="G192" s="114"/>
      <c r="H192" s="121"/>
      <c r="I192" s="114"/>
      <c r="J192" s="121"/>
      <c r="K192" s="68"/>
      <c r="L192" s="58"/>
    </row>
    <row r="193" spans="1:12" ht="24">
      <c r="A193" s="69"/>
      <c r="B193" s="60"/>
      <c r="C193" s="61"/>
      <c r="D193" s="67"/>
      <c r="E193" s="56"/>
      <c r="F193" s="57"/>
      <c r="G193" s="114"/>
      <c r="H193" s="121"/>
      <c r="I193" s="114"/>
      <c r="J193" s="121"/>
      <c r="K193" s="68"/>
      <c r="L193" s="58"/>
    </row>
    <row r="194" spans="1:12" ht="24">
      <c r="A194" s="69"/>
      <c r="B194" s="60"/>
      <c r="C194" s="61"/>
      <c r="D194" s="67"/>
      <c r="E194" s="56"/>
      <c r="F194" s="57"/>
      <c r="G194" s="114"/>
      <c r="H194" s="121"/>
      <c r="I194" s="114"/>
      <c r="J194" s="121"/>
      <c r="K194" s="68"/>
      <c r="L194" s="58"/>
    </row>
    <row r="195" spans="1:12" ht="24">
      <c r="A195" s="69"/>
      <c r="B195" s="60"/>
      <c r="C195" s="61"/>
      <c r="D195" s="67"/>
      <c r="E195" s="56"/>
      <c r="F195" s="57"/>
      <c r="G195" s="114"/>
      <c r="H195" s="121"/>
      <c r="I195" s="114"/>
      <c r="J195" s="121"/>
      <c r="K195" s="68"/>
      <c r="L195" s="58"/>
    </row>
    <row r="196" spans="1:12" ht="24">
      <c r="A196" s="69"/>
      <c r="B196" s="60"/>
      <c r="C196" s="61"/>
      <c r="D196" s="67"/>
      <c r="E196" s="56"/>
      <c r="F196" s="57"/>
      <c r="G196" s="114"/>
      <c r="H196" s="121"/>
      <c r="I196" s="114"/>
      <c r="J196" s="121"/>
      <c r="K196" s="68"/>
      <c r="L196" s="58"/>
    </row>
    <row r="197" spans="1:12" ht="24.75" thickBot="1">
      <c r="A197" s="69"/>
      <c r="B197" s="60"/>
      <c r="C197" s="61"/>
      <c r="D197" s="67"/>
      <c r="E197" s="56"/>
      <c r="F197" s="57"/>
      <c r="G197" s="114"/>
      <c r="H197" s="121"/>
      <c r="I197" s="114"/>
      <c r="J197" s="121"/>
      <c r="K197" s="68"/>
      <c r="L197" s="58"/>
    </row>
    <row r="198" spans="1:12" ht="24.75" thickTop="1">
      <c r="A198" s="70"/>
      <c r="B198" s="1981" t="s">
        <v>69</v>
      </c>
      <c r="C198" s="1982"/>
      <c r="D198" s="1983"/>
      <c r="E198" s="71"/>
      <c r="F198" s="72"/>
      <c r="G198" s="115"/>
      <c r="H198" s="122"/>
      <c r="I198" s="115"/>
      <c r="J198" s="122"/>
      <c r="K198" s="73"/>
      <c r="L198" s="74"/>
    </row>
    <row r="199" spans="1:12" ht="24">
      <c r="A199" s="104"/>
      <c r="B199" s="135"/>
      <c r="C199" s="136"/>
      <c r="D199" s="137"/>
      <c r="E199" s="105"/>
      <c r="F199" s="106"/>
      <c r="G199" s="111"/>
      <c r="H199" s="117"/>
      <c r="I199" s="111"/>
      <c r="J199" s="117"/>
      <c r="K199" s="63"/>
      <c r="L199" s="107"/>
    </row>
    <row r="200" spans="1:12" ht="24">
      <c r="A200" s="52"/>
      <c r="B200" s="53"/>
      <c r="C200" s="54"/>
      <c r="D200" s="55"/>
      <c r="E200" s="56"/>
      <c r="F200" s="57"/>
      <c r="G200" s="112"/>
      <c r="H200" s="118"/>
      <c r="I200" s="123"/>
      <c r="J200" s="124"/>
      <c r="K200" s="57"/>
      <c r="L200" s="58"/>
    </row>
    <row r="201" spans="1:12" ht="24">
      <c r="A201" s="59"/>
      <c r="B201" s="60"/>
      <c r="C201" s="61"/>
      <c r="D201" s="62"/>
      <c r="E201" s="63"/>
      <c r="F201" s="64"/>
      <c r="G201" s="113"/>
      <c r="H201" s="119"/>
      <c r="I201" s="113"/>
      <c r="J201" s="120"/>
      <c r="K201" s="65"/>
      <c r="L201" s="66"/>
    </row>
    <row r="202" spans="1:12" ht="24">
      <c r="A202" s="59"/>
      <c r="B202" s="60"/>
      <c r="C202" s="61"/>
      <c r="D202" s="62"/>
      <c r="E202" s="63"/>
      <c r="F202" s="64"/>
      <c r="G202" s="113"/>
      <c r="H202" s="120"/>
      <c r="I202" s="113"/>
      <c r="J202" s="120"/>
      <c r="K202" s="65"/>
      <c r="L202" s="66"/>
    </row>
    <row r="203" spans="1:12" ht="24">
      <c r="A203" s="59"/>
      <c r="B203" s="60"/>
      <c r="C203" s="61"/>
      <c r="D203" s="67"/>
      <c r="E203" s="56"/>
      <c r="F203" s="57"/>
      <c r="G203" s="114"/>
      <c r="H203" s="121"/>
      <c r="I203" s="114"/>
      <c r="J203" s="121"/>
      <c r="K203" s="68"/>
      <c r="L203" s="58"/>
    </row>
    <row r="204" spans="1:12" ht="24">
      <c r="A204" s="59"/>
      <c r="B204" s="60"/>
      <c r="C204" s="61"/>
      <c r="D204" s="67"/>
      <c r="E204" s="56"/>
      <c r="F204" s="57"/>
      <c r="G204" s="114"/>
      <c r="H204" s="121"/>
      <c r="I204" s="114"/>
      <c r="J204" s="121"/>
      <c r="K204" s="68"/>
      <c r="L204" s="58"/>
    </row>
    <row r="205" spans="1:12" ht="24">
      <c r="A205" s="59"/>
      <c r="B205" s="60"/>
      <c r="C205" s="61"/>
      <c r="D205" s="67"/>
      <c r="E205" s="56"/>
      <c r="F205" s="57"/>
      <c r="G205" s="114"/>
      <c r="H205" s="121"/>
      <c r="I205" s="114"/>
      <c r="J205" s="121"/>
      <c r="K205" s="68"/>
      <c r="L205" s="58"/>
    </row>
    <row r="206" spans="1:12" ht="24">
      <c r="A206" s="59"/>
      <c r="B206" s="60"/>
      <c r="C206" s="61"/>
      <c r="D206" s="67"/>
      <c r="E206" s="56"/>
      <c r="F206" s="57"/>
      <c r="G206" s="114"/>
      <c r="H206" s="121"/>
      <c r="I206" s="114"/>
      <c r="J206" s="121"/>
      <c r="K206" s="68"/>
      <c r="L206" s="58"/>
    </row>
    <row r="207" spans="1:12" ht="24">
      <c r="A207" s="59"/>
      <c r="B207" s="60"/>
      <c r="C207" s="61"/>
      <c r="D207" s="67"/>
      <c r="E207" s="56"/>
      <c r="F207" s="57"/>
      <c r="G207" s="114"/>
      <c r="H207" s="121"/>
      <c r="I207" s="114"/>
      <c r="J207" s="121"/>
      <c r="K207" s="68"/>
      <c r="L207" s="58"/>
    </row>
    <row r="208" spans="1:12" ht="24">
      <c r="A208" s="59"/>
      <c r="B208" s="60"/>
      <c r="C208" s="61"/>
      <c r="D208" s="67"/>
      <c r="E208" s="56"/>
      <c r="F208" s="57"/>
      <c r="G208" s="114"/>
      <c r="H208" s="121"/>
      <c r="I208" s="114"/>
      <c r="J208" s="121"/>
      <c r="K208" s="68"/>
      <c r="L208" s="58"/>
    </row>
    <row r="209" spans="1:12" ht="24">
      <c r="A209" s="59"/>
      <c r="B209" s="60"/>
      <c r="C209" s="61"/>
      <c r="D209" s="67"/>
      <c r="E209" s="56"/>
      <c r="F209" s="57"/>
      <c r="G209" s="114"/>
      <c r="H209" s="121"/>
      <c r="I209" s="114"/>
      <c r="J209" s="121"/>
      <c r="K209" s="68"/>
      <c r="L209" s="58"/>
    </row>
    <row r="210" spans="1:12" ht="24">
      <c r="A210" s="59"/>
      <c r="B210" s="60"/>
      <c r="C210" s="61"/>
      <c r="D210" s="67"/>
      <c r="E210" s="56"/>
      <c r="F210" s="57"/>
      <c r="G210" s="114"/>
      <c r="H210" s="121"/>
      <c r="I210" s="114"/>
      <c r="J210" s="121"/>
      <c r="K210" s="68"/>
      <c r="L210" s="58"/>
    </row>
    <row r="211" spans="1:12" ht="24">
      <c r="A211" s="59"/>
      <c r="B211" s="60"/>
      <c r="C211" s="61"/>
      <c r="D211" s="67"/>
      <c r="E211" s="56"/>
      <c r="F211" s="57"/>
      <c r="G211" s="114"/>
      <c r="H211" s="121"/>
      <c r="I211" s="114"/>
      <c r="J211" s="121"/>
      <c r="K211" s="68"/>
      <c r="L211" s="58"/>
    </row>
    <row r="212" spans="1:12" ht="24">
      <c r="A212" s="59"/>
      <c r="B212" s="60"/>
      <c r="C212" s="61"/>
      <c r="D212" s="67"/>
      <c r="E212" s="56"/>
      <c r="F212" s="57"/>
      <c r="G212" s="114"/>
      <c r="H212" s="121"/>
      <c r="I212" s="114"/>
      <c r="J212" s="121"/>
      <c r="K212" s="68"/>
      <c r="L212" s="58"/>
    </row>
    <row r="213" spans="1:12" ht="24">
      <c r="A213" s="59"/>
      <c r="B213" s="60"/>
      <c r="C213" s="61"/>
      <c r="D213" s="67"/>
      <c r="E213" s="56"/>
      <c r="F213" s="57"/>
      <c r="G213" s="114"/>
      <c r="H213" s="121"/>
      <c r="I213" s="114"/>
      <c r="J213" s="121"/>
      <c r="K213" s="68"/>
      <c r="L213" s="58"/>
    </row>
    <row r="214" spans="1:12" ht="24">
      <c r="A214" s="69"/>
      <c r="B214" s="60"/>
      <c r="C214" s="61"/>
      <c r="D214" s="67"/>
      <c r="E214" s="56"/>
      <c r="F214" s="57"/>
      <c r="G214" s="114"/>
      <c r="H214" s="121"/>
      <c r="I214" s="114"/>
      <c r="J214" s="121"/>
      <c r="K214" s="68"/>
      <c r="L214" s="58"/>
    </row>
    <row r="215" spans="1:12" ht="24">
      <c r="A215" s="69"/>
      <c r="B215" s="60"/>
      <c r="C215" s="61"/>
      <c r="D215" s="67"/>
      <c r="E215" s="56"/>
      <c r="F215" s="57"/>
      <c r="G215" s="114"/>
      <c r="H215" s="121"/>
      <c r="I215" s="114"/>
      <c r="J215" s="121"/>
      <c r="K215" s="68"/>
      <c r="L215" s="58"/>
    </row>
    <row r="216" spans="1:12" ht="24">
      <c r="A216" s="69"/>
      <c r="B216" s="60"/>
      <c r="C216" s="61"/>
      <c r="D216" s="67"/>
      <c r="E216" s="56"/>
      <c r="F216" s="57"/>
      <c r="G216" s="114"/>
      <c r="H216" s="121"/>
      <c r="I216" s="114"/>
      <c r="J216" s="121"/>
      <c r="K216" s="68"/>
      <c r="L216" s="58"/>
    </row>
    <row r="217" spans="1:12" ht="24">
      <c r="A217" s="69"/>
      <c r="B217" s="60"/>
      <c r="C217" s="61"/>
      <c r="D217" s="67"/>
      <c r="E217" s="56"/>
      <c r="F217" s="57"/>
      <c r="G217" s="114"/>
      <c r="H217" s="121"/>
      <c r="I217" s="114"/>
      <c r="J217" s="121"/>
      <c r="K217" s="68"/>
      <c r="L217" s="58"/>
    </row>
    <row r="218" spans="1:12" ht="24.75" thickBot="1">
      <c r="A218" s="69"/>
      <c r="B218" s="60"/>
      <c r="C218" s="61"/>
      <c r="D218" s="67"/>
      <c r="E218" s="56"/>
      <c r="F218" s="57"/>
      <c r="G218" s="114"/>
      <c r="H218" s="121"/>
      <c r="I218" s="114"/>
      <c r="J218" s="121"/>
      <c r="K218" s="68"/>
      <c r="L218" s="58"/>
    </row>
    <row r="219" spans="1:12" ht="24.75" thickTop="1">
      <c r="A219" s="70"/>
      <c r="B219" s="1981" t="s">
        <v>69</v>
      </c>
      <c r="C219" s="1982"/>
      <c r="D219" s="1983"/>
      <c r="E219" s="71"/>
      <c r="F219" s="72"/>
      <c r="G219" s="115"/>
      <c r="H219" s="122"/>
      <c r="I219" s="115"/>
      <c r="J219" s="122"/>
      <c r="K219" s="73"/>
      <c r="L219" s="74"/>
    </row>
  </sheetData>
  <mergeCells count="18">
    <mergeCell ref="B198:D198"/>
    <mergeCell ref="B219:D219"/>
    <mergeCell ref="B135:D135"/>
    <mergeCell ref="B156:D156"/>
    <mergeCell ref="B177:D177"/>
    <mergeCell ref="L8:L9"/>
    <mergeCell ref="B10:D10"/>
    <mergeCell ref="B30:D30"/>
    <mergeCell ref="B51:D51"/>
    <mergeCell ref="I8:J8"/>
    <mergeCell ref="E8:E9"/>
    <mergeCell ref="F8:F9"/>
    <mergeCell ref="G8:H8"/>
    <mergeCell ref="B72:D72"/>
    <mergeCell ref="B93:D93"/>
    <mergeCell ref="B114:D114"/>
    <mergeCell ref="A8:A9"/>
    <mergeCell ref="B8:D9"/>
  </mergeCells>
  <pageMargins left="0.31496062992125984" right="0.15748031496062992" top="0.35433070866141736" bottom="0.35433070866141736" header="0.32" footer="0.19685039370078741"/>
  <pageSetup paperSize="9" scale="80" orientation="landscape" r:id="rId1"/>
  <headerFooter>
    <oddHeader xml:space="preserve">&amp;Rแผ่นที่ &amp;P ใน &amp;N แผ่น          </oddHeader>
    <oddFooter xml:space="preserve">&amp;Rงานระบบไฟฟ้า และสื่อสาร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34</vt:i4>
      </vt:variant>
      <vt:variant>
        <vt:lpstr>ช่วงที่มีชื่อ</vt:lpstr>
      </vt:variant>
      <vt:variant>
        <vt:i4>47</vt:i4>
      </vt:variant>
    </vt:vector>
  </HeadingPairs>
  <TitlesOfParts>
    <vt:vector size="81" baseType="lpstr">
      <vt:lpstr>ปร.6</vt:lpstr>
      <vt:lpstr>ปร.5(ก) </vt:lpstr>
      <vt:lpstr>ปร.5(ข)</vt:lpstr>
      <vt:lpstr>ปร.4พ</vt:lpstr>
      <vt:lpstr>ปร.5(ก)</vt:lpstr>
      <vt:lpstr>ปร.4-ST</vt:lpstr>
      <vt:lpstr>ปร.4-AR</vt:lpstr>
      <vt:lpstr>ปร.4-Sn_FP</vt:lpstr>
      <vt:lpstr>ปร.4-EE_Com</vt:lpstr>
      <vt:lpstr>ปร.4-AC</vt:lpstr>
      <vt:lpstr>ปร.4(พ)</vt:lpstr>
      <vt:lpstr>sum</vt:lpstr>
      <vt:lpstr>ปร.6 (2)</vt:lpstr>
      <vt:lpstr>ปร.5(ก) (2)</vt:lpstr>
      <vt:lpstr>ปร.5(ข) (2)</vt:lpstr>
      <vt:lpstr>01-ปร.4-ST</vt:lpstr>
      <vt:lpstr>02-ปร.4-AR</vt:lpstr>
      <vt:lpstr>03-ปร.4-SN</vt:lpstr>
      <vt:lpstr>04-ปร.4-EE</vt:lpstr>
      <vt:lpstr>05-ปร.4-AC</vt:lpstr>
      <vt:lpstr>06-ปร.4-BF</vt:lpstr>
      <vt:lpstr>07-ปร.4-Int</vt:lpstr>
      <vt:lpstr>08-ปร.4-Loose</vt:lpstr>
      <vt:lpstr>ปร.6 (3)</vt:lpstr>
      <vt:lpstr>ปร.5(ก) (3)</vt:lpstr>
      <vt:lpstr>ปร.5(ข) (3)</vt:lpstr>
      <vt:lpstr>01-ปร.4-ST (2)</vt:lpstr>
      <vt:lpstr>02-ปร.4-AR (2)</vt:lpstr>
      <vt:lpstr>03-ปร.4-SN (2)</vt:lpstr>
      <vt:lpstr>04-ปร.4-EE (2)</vt:lpstr>
      <vt:lpstr>05-ปร.4-AC (2)</vt:lpstr>
      <vt:lpstr>06-ปร.4-LA</vt:lpstr>
      <vt:lpstr>07-ปร.4-บริเวณ</vt:lpstr>
      <vt:lpstr>08-ปร.4-ครุภัณฑ์จัดชื้อ</vt:lpstr>
      <vt:lpstr>'01-ปร.4-ST'!Print_Area</vt:lpstr>
      <vt:lpstr>'01-ปร.4-ST (2)'!Print_Area</vt:lpstr>
      <vt:lpstr>'02-ปร.4-AR'!Print_Area</vt:lpstr>
      <vt:lpstr>'02-ปร.4-AR (2)'!Print_Area</vt:lpstr>
      <vt:lpstr>'03-ปร.4-SN'!Print_Area</vt:lpstr>
      <vt:lpstr>'03-ปร.4-SN (2)'!Print_Area</vt:lpstr>
      <vt:lpstr>'04-ปร.4-EE'!Print_Area</vt:lpstr>
      <vt:lpstr>'04-ปร.4-EE (2)'!Print_Area</vt:lpstr>
      <vt:lpstr>'05-ปร.4-AC'!Print_Area</vt:lpstr>
      <vt:lpstr>'05-ปร.4-AC (2)'!Print_Area</vt:lpstr>
      <vt:lpstr>'06-ปร.4-BF'!Print_Area</vt:lpstr>
      <vt:lpstr>'07-ปร.4-Int'!Print_Area</vt:lpstr>
      <vt:lpstr>'08-ปร.4-Loose'!Print_Area</vt:lpstr>
      <vt:lpstr>'ปร.4-AR'!Print_Area</vt:lpstr>
      <vt:lpstr>ปร.4พ!Print_Area</vt:lpstr>
      <vt:lpstr>'ปร.5(ก)'!Print_Area</vt:lpstr>
      <vt:lpstr>'ปร.5(ก) '!Print_Area</vt:lpstr>
      <vt:lpstr>'ปร.5(ก) (2)'!Print_Area</vt:lpstr>
      <vt:lpstr>'ปร.5(ก) (3)'!Print_Area</vt:lpstr>
      <vt:lpstr>'ปร.5(ข)'!Print_Area</vt:lpstr>
      <vt:lpstr>'ปร.5(ข) (3)'!Print_Area</vt:lpstr>
      <vt:lpstr>ปร.6!Print_Area</vt:lpstr>
      <vt:lpstr>'ปร.6 (2)'!Print_Area</vt:lpstr>
      <vt:lpstr>'ปร.6 (3)'!Print_Area</vt:lpstr>
      <vt:lpstr>'01-ปร.4-ST'!Print_Titles</vt:lpstr>
      <vt:lpstr>'01-ปร.4-ST (2)'!Print_Titles</vt:lpstr>
      <vt:lpstr>'02-ปร.4-AR'!Print_Titles</vt:lpstr>
      <vt:lpstr>'02-ปร.4-AR (2)'!Print_Titles</vt:lpstr>
      <vt:lpstr>'03-ปร.4-SN'!Print_Titles</vt:lpstr>
      <vt:lpstr>'03-ปร.4-SN (2)'!Print_Titles</vt:lpstr>
      <vt:lpstr>'04-ปร.4-EE'!Print_Titles</vt:lpstr>
      <vt:lpstr>'04-ปร.4-EE (2)'!Print_Titles</vt:lpstr>
      <vt:lpstr>'05-ปร.4-AC'!Print_Titles</vt:lpstr>
      <vt:lpstr>'05-ปร.4-AC (2)'!Print_Titles</vt:lpstr>
      <vt:lpstr>'06-ปร.4-BF'!Print_Titles</vt:lpstr>
      <vt:lpstr>'06-ปร.4-LA'!Print_Titles</vt:lpstr>
      <vt:lpstr>'07-ปร.4-Int'!Print_Titles</vt:lpstr>
      <vt:lpstr>'07-ปร.4-บริเวณ'!Print_Titles</vt:lpstr>
      <vt:lpstr>'08-ปร.4-Loose'!Print_Titles</vt:lpstr>
      <vt:lpstr>'08-ปร.4-ครุภัณฑ์จัดชื้อ'!Print_Titles</vt:lpstr>
      <vt:lpstr>'ปร.4-AC'!Print_Titles</vt:lpstr>
      <vt:lpstr>'ปร.4-AR'!Print_Titles</vt:lpstr>
      <vt:lpstr>'ปร.4-EE_Com'!Print_Titles</vt:lpstr>
      <vt:lpstr>'ปร.4-Sn_FP'!Print_Titles</vt:lpstr>
      <vt:lpstr>'ปร.4-ST'!Print_Titles</vt:lpstr>
      <vt:lpstr>'ปร.5(ก)'!Print_Titles</vt:lpstr>
      <vt:lpstr>'ปร.5(ก)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D+D</dc:creator>
  <cp:lastModifiedBy>Aeaw</cp:lastModifiedBy>
  <cp:lastPrinted>2015-12-08T11:16:27Z</cp:lastPrinted>
  <dcterms:created xsi:type="dcterms:W3CDTF">2012-10-20T04:30:55Z</dcterms:created>
  <dcterms:modified xsi:type="dcterms:W3CDTF">2015-12-08T11:38:46Z</dcterms:modified>
</cp:coreProperties>
</file>